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odp_powergrid_in/Documents/RHQ/C&amp;M/00 Updating Folder/01 Open Tender/20) Diversion of Rengali-Indravati line - NHAI/Bid Docs/"/>
    </mc:Choice>
  </mc:AlternateContent>
  <xr:revisionPtr revIDLastSave="4" documentId="13_ncr:4800b_{58D0243E-C067-4773-8E2F-4EC14D218209}" xr6:coauthVersionLast="47" xr6:coauthVersionMax="47" xr10:uidLastSave="{C1AF1233-0E44-4FEF-BF87-64CEA7E1B396}"/>
  <workbookProtection workbookAlgorithmName="SHA-512" workbookHashValue="a61PbpRa4qWGqVqr4oLRz8cnWFs47XE5C3tHn9BO/CNu6LTnIvZoEur5DPmnFaRocj2SeLHKTSWnomXcKTFcsg==" workbookSaltValue="vKz5f1t+kg5xjReKap8uCw==" workbookSpinCount="100000" lockStructure="1"/>
  <bookViews>
    <workbookView xWindow="-120" yWindow="-120" windowWidth="29040" windowHeight="15840" tabRatio="875" firstSheet="1" activeTab="11" xr2:uid="{00000000-000D-0000-FFFF-FFFF00000000}"/>
  </bookViews>
  <sheets>
    <sheet name="Basic Data" sheetId="1" state="hidden" r:id="rId1"/>
    <sheet name="Cover" sheetId="2" r:id="rId2"/>
    <sheet name="Instructions" sheetId="3" r:id="rId3"/>
    <sheet name="Names of Bidder" sheetId="25" r:id="rId4"/>
    <sheet name="Sch-1" sheetId="5" r:id="rId5"/>
    <sheet name="Sch-1 Dis" sheetId="6" state="hidden" r:id="rId6"/>
    <sheet name="Sch-2" sheetId="7" r:id="rId7"/>
    <sheet name="Sch-2 Dis" sheetId="8" state="hidden" r:id="rId8"/>
    <sheet name="Sch-3 " sheetId="9" r:id="rId9"/>
    <sheet name="Sch-4" sheetId="10" r:id="rId10"/>
    <sheet name="Sch-4 Dis" sheetId="11" state="hidden" r:id="rId11"/>
    <sheet name="Sch-5" sheetId="12" r:id="rId12"/>
    <sheet name="Sch-5 After Discount" sheetId="13" state="hidden" r:id="rId13"/>
    <sheet name="Sch-6 Dis" sheetId="15" state="hidden" r:id="rId14"/>
    <sheet name="Discount" sheetId="16" state="hidden" r:id="rId15"/>
    <sheet name="Octroi" sheetId="17" state="hidden" r:id="rId16"/>
    <sheet name="Entry Tax" sheetId="18" state="hidden" r:id="rId17"/>
    <sheet name="Other Taxes &amp; Duties" sheetId="19" state="hidden" r:id="rId18"/>
    <sheet name="Bid Form 2nd Envelope" sheetId="20" r:id="rId19"/>
    <sheet name="Q &amp; C" sheetId="21" state="hidden" r:id="rId20"/>
    <sheet name="T &amp; D" sheetId="22" state="hidden" r:id="rId21"/>
    <sheet name="N to W" sheetId="23" state="hidden" r:id="rId22"/>
  </sheets>
  <externalReferences>
    <externalReference r:id="rId23"/>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8">'Bid Form 2nd Envelope'!$A$1:$F$51</definedName>
    <definedName name="_xlnm.Print_Area" localSheetId="1">Cover!$B$1:$E$15</definedName>
    <definedName name="_xlnm.Print_Area" localSheetId="14">Discount!$A$2:$G$41</definedName>
    <definedName name="_xlnm.Print_Area" localSheetId="16">'Entry Tax'!$A$1:$E$16</definedName>
    <definedName name="_xlnm.Print_Area" localSheetId="2">Instructions!$A$1:$C$49</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4">'Sch-1'!$A$1:$N$82</definedName>
    <definedName name="_xlnm.Print_Area" localSheetId="5">'Sch-1 Dis'!$A$1:$H$32</definedName>
    <definedName name="_xlnm.Print_Area" localSheetId="6">'Sch-2'!$A$1:$G$70</definedName>
    <definedName name="_xlnm.Print_Area" localSheetId="7">'Sch-2 Dis'!$A$1:$G$24</definedName>
    <definedName name="_xlnm.Print_Area" localSheetId="8">'Sch-3 '!$A$1:$L$67</definedName>
    <definedName name="_xlnm.Print_Area" localSheetId="9">'Sch-4'!$A$1:$E$40</definedName>
    <definedName name="_xlnm.Print_Area" localSheetId="10">'Sch-4 Dis'!$A$1:$E$44</definedName>
    <definedName name="_xlnm.Print_Area" localSheetId="11">'Sch-5'!$A$1:$D$27</definedName>
    <definedName name="_xlnm.Print_Area" localSheetId="12">'Sch-5 After Discount'!$A$1:$D$32</definedName>
    <definedName name="_xlnm.Print_Area" localSheetId="13">'Sch-6 Dis'!$A$1:$F$28</definedName>
    <definedName name="_xlnm.Print_Area" localSheetId="20">'T &amp; D'!$A$1:$E$12</definedName>
    <definedName name="_xlnm.Print_Titles" localSheetId="4">'Sch-1'!$14:$16</definedName>
    <definedName name="_xlnm.Print_Titles" localSheetId="5">'Sch-1 Dis'!$15:$17</definedName>
    <definedName name="_xlnm.Print_Titles" localSheetId="6">'Sch-2'!$13:$15</definedName>
    <definedName name="_xlnm.Print_Titles" localSheetId="7">'Sch-2 Dis'!$13:$15</definedName>
    <definedName name="_xlnm.Print_Titles" localSheetId="8">'Sch-3 '!$14:$16</definedName>
    <definedName name="_xlnm.Print_Titles" localSheetId="9">'Sch-4'!$3:$13</definedName>
    <definedName name="_xlnm.Print_Titles" localSheetId="10">'Sch-4 Dis'!$3:$13</definedName>
    <definedName name="_xlnm.Print_Titles" localSheetId="11">'Sch-5'!$3:$13</definedName>
    <definedName name="_xlnm.Print_Titles" localSheetId="12">'Sch-5 After Discount'!$3:$13</definedName>
    <definedName name="_xlnm.Print_Titles" localSheetId="13">'Sch-6 Dis'!$14:$14</definedName>
    <definedName name="_xlnm.Recorder">#REF!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08A645C4_A23F_4400_B0CE_1685BC312A6F_.wvu.Cols" localSheetId="14" hidden="1">Discount!$H:$O</definedName>
    <definedName name="Z_08A645C4_A23F_4400_B0CE_1685BC312A6F_.wvu.Cols" localSheetId="4" hidden="1">'Sch-1'!$P:$U</definedName>
    <definedName name="Z_08A645C4_A23F_4400_B0CE_1685BC312A6F_.wvu.Cols" localSheetId="5" hidden="1">'Sch-1 Dis'!$K:$K</definedName>
    <definedName name="Z_08A645C4_A23F_4400_B0CE_1685BC312A6F_.wvu.Cols" localSheetId="6" hidden="1">'Sch-2'!$I:$J</definedName>
    <definedName name="Z_08A645C4_A23F_4400_B0CE_1685BC312A6F_.wvu.Cols" localSheetId="9" hidden="1">'Sch-4'!$G:$G</definedName>
    <definedName name="Z_08A645C4_A23F_4400_B0CE_1685BC312A6F_.wvu.PrintArea" localSheetId="18" hidden="1">'Bid Form 2nd Envelope'!$A$1:$F$51</definedName>
    <definedName name="Z_08A645C4_A23F_4400_B0CE_1685BC312A6F_.wvu.PrintArea" localSheetId="1" hidden="1">Cover!$B$1:$E$15</definedName>
    <definedName name="Z_08A645C4_A23F_4400_B0CE_1685BC312A6F_.wvu.PrintArea" localSheetId="14" hidden="1">Discount!$A$2:$G$41</definedName>
    <definedName name="Z_08A645C4_A23F_4400_B0CE_1685BC312A6F_.wvu.PrintArea" localSheetId="16" hidden="1">'Entry Tax'!$A$1:$E$16</definedName>
    <definedName name="Z_08A645C4_A23F_4400_B0CE_1685BC312A6F_.wvu.PrintArea" localSheetId="2" hidden="1">Instructions!$A$1:$C$49</definedName>
    <definedName name="Z_08A645C4_A23F_4400_B0CE_1685BC312A6F_.wvu.PrintArea" localSheetId="15" hidden="1">Octroi!$A$1:$E$16</definedName>
    <definedName name="Z_08A645C4_A23F_4400_B0CE_1685BC312A6F_.wvu.PrintArea" localSheetId="17" hidden="1">'Other Taxes &amp; Duties'!$A$1:$F$16</definedName>
    <definedName name="Z_08A645C4_A23F_4400_B0CE_1685BC312A6F_.wvu.PrintArea" localSheetId="19" hidden="1">'Q &amp; C'!$A$1:$F$43</definedName>
    <definedName name="Z_08A645C4_A23F_4400_B0CE_1685BC312A6F_.wvu.PrintArea" localSheetId="4" hidden="1">'Sch-1'!$A$1:$N$82</definedName>
    <definedName name="Z_08A645C4_A23F_4400_B0CE_1685BC312A6F_.wvu.PrintArea" localSheetId="5" hidden="1">'Sch-1 Dis'!$A$1:$H$32</definedName>
    <definedName name="Z_08A645C4_A23F_4400_B0CE_1685BC312A6F_.wvu.PrintArea" localSheetId="6" hidden="1">'Sch-2'!$A$1:$G$70</definedName>
    <definedName name="Z_08A645C4_A23F_4400_B0CE_1685BC312A6F_.wvu.PrintArea" localSheetId="7" hidden="1">'Sch-2 Dis'!$A$1:$G$24</definedName>
    <definedName name="Z_08A645C4_A23F_4400_B0CE_1685BC312A6F_.wvu.PrintArea" localSheetId="8" hidden="1">'Sch-3 '!$A$1:$L$67</definedName>
    <definedName name="Z_08A645C4_A23F_4400_B0CE_1685BC312A6F_.wvu.PrintArea" localSheetId="9" hidden="1">'Sch-4'!$A$1:$E$40</definedName>
    <definedName name="Z_08A645C4_A23F_4400_B0CE_1685BC312A6F_.wvu.PrintArea" localSheetId="10" hidden="1">'Sch-4 Dis'!$A$1:$E$44</definedName>
    <definedName name="Z_08A645C4_A23F_4400_B0CE_1685BC312A6F_.wvu.PrintArea" localSheetId="11" hidden="1">'Sch-5'!$A$1:$D$27</definedName>
    <definedName name="Z_08A645C4_A23F_4400_B0CE_1685BC312A6F_.wvu.PrintArea" localSheetId="12" hidden="1">'Sch-5 After Discount'!$A$1:$D$32</definedName>
    <definedName name="Z_08A645C4_A23F_4400_B0CE_1685BC312A6F_.wvu.PrintArea" localSheetId="13" hidden="1">'Sch-6 Dis'!$A$1:$F$28</definedName>
    <definedName name="Z_08A645C4_A23F_4400_B0CE_1685BC312A6F_.wvu.PrintArea" localSheetId="20" hidden="1">'T &amp; D'!$A$1:$E$12</definedName>
    <definedName name="Z_08A645C4_A23F_4400_B0CE_1685BC312A6F_.wvu.PrintTitles" localSheetId="4" hidden="1">'Sch-1'!$14:$16</definedName>
    <definedName name="Z_08A645C4_A23F_4400_B0CE_1685BC312A6F_.wvu.PrintTitles" localSheetId="5" hidden="1">'Sch-1 Dis'!$15:$17</definedName>
    <definedName name="Z_08A645C4_A23F_4400_B0CE_1685BC312A6F_.wvu.PrintTitles" localSheetId="6" hidden="1">'Sch-2'!$13:$15</definedName>
    <definedName name="Z_08A645C4_A23F_4400_B0CE_1685BC312A6F_.wvu.PrintTitles" localSheetId="7" hidden="1">'Sch-2 Dis'!$13:$15</definedName>
    <definedName name="Z_08A645C4_A23F_4400_B0CE_1685BC312A6F_.wvu.PrintTitles" localSheetId="8" hidden="1">'Sch-3 '!$14:$16</definedName>
    <definedName name="Z_08A645C4_A23F_4400_B0CE_1685BC312A6F_.wvu.PrintTitles" localSheetId="9" hidden="1">'Sch-4'!$3:$13</definedName>
    <definedName name="Z_08A645C4_A23F_4400_B0CE_1685BC312A6F_.wvu.PrintTitles" localSheetId="10" hidden="1">'Sch-4 Dis'!$3:$13</definedName>
    <definedName name="Z_08A645C4_A23F_4400_B0CE_1685BC312A6F_.wvu.PrintTitles" localSheetId="11" hidden="1">'Sch-5'!$3:$13</definedName>
    <definedName name="Z_08A645C4_A23F_4400_B0CE_1685BC312A6F_.wvu.PrintTitles" localSheetId="12" hidden="1">'Sch-5 After Discount'!$3:$13</definedName>
    <definedName name="Z_08A645C4_A23F_4400_B0CE_1685BC312A6F_.wvu.PrintTitles" localSheetId="13" hidden="1">'Sch-6 Dis'!$14:$14</definedName>
    <definedName name="Z_08A645C4_A23F_4400_B0CE_1685BC312A6F_.wvu.Rows" localSheetId="0" hidden="1">'Basic Data'!$11:$12,'Basic Data'!$15:$18</definedName>
    <definedName name="Z_08A645C4_A23F_4400_B0CE_1685BC312A6F_.wvu.Rows" localSheetId="18" hidden="1">'Bid Form 2nd Envelope'!$23:$23</definedName>
    <definedName name="Z_08A645C4_A23F_4400_B0CE_1685BC312A6F_.wvu.Rows" localSheetId="1" hidden="1">Cover!$7:$7,Cover!$10:$10</definedName>
    <definedName name="Z_08A645C4_A23F_4400_B0CE_1685BC312A6F_.wvu.Rows" localSheetId="14" hidden="1">Discount!$21:$22,Discount!$27:$28,Discount!$30:$31</definedName>
    <definedName name="Z_08A645C4_A23F_4400_B0CE_1685BC312A6F_.wvu.Rows" localSheetId="2" hidden="1">Instructions!$16:$17,Instructions!$25:$25,Instructions!$31:$31,Instructions!$38:$40</definedName>
    <definedName name="Z_08A645C4_A23F_4400_B0CE_1685BC312A6F_.wvu.Rows" localSheetId="4" hidden="1">'Sch-1'!#REF!</definedName>
    <definedName name="Z_14D7F02E_BCCA_4517_ABC7_537FF4AEB67A_.wvu.PrintArea" localSheetId="2" hidden="1">Instructions!$A$1:$C$49</definedName>
    <definedName name="Z_27A45B7A_04F2_4516_B80B_5ED0825D4ED3_.wvu.PrintArea" localSheetId="2" hidden="1">Instructions!$A$1:$C$49</definedName>
    <definedName name="Z_374BB220_87F1_4A3E_ABA5_7B2BD812CABA_.wvu.PrintArea" localSheetId="2" hidden="1">Instructions!$A$1:$C$49</definedName>
    <definedName name="Z_374BB220_87F1_4A3E_ABA5_7B2BD812CABA_.wvu.Rows" localSheetId="2" hidden="1">Instructions!$25:$25,Instructions!$38:$40</definedName>
    <definedName name="Z_3D662AA8_535D_445A_A535_5FFD33E1146F_.wvu.PrintArea" localSheetId="19" hidden="1">'Q &amp; C'!$A$1:$F$43</definedName>
    <definedName name="Z_420F5FBD_E556_4311_8218_D9BF2725836B_.wvu.PrintArea" localSheetId="19" hidden="1">'Q &amp; C'!$A$1:$F$43</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Instructions!$A$1:$C$49</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4" hidden="1">'Sch-1'!$A$1:$N$82</definedName>
    <definedName name="Z_4F65FF32_EC61_4022_A399_2986D7B6B8B3_.wvu.PrintArea" localSheetId="5" hidden="1">'Sch-1 Dis'!$A$1:$H$32</definedName>
    <definedName name="Z_4F65FF32_EC61_4022_A399_2986D7B6B8B3_.wvu.PrintArea" localSheetId="6" hidden="1">'Sch-2'!$A$1:$G$70</definedName>
    <definedName name="Z_4F65FF32_EC61_4022_A399_2986D7B6B8B3_.wvu.PrintArea" localSheetId="7" hidden="1">'Sch-2 Dis'!$A$1:$G$24</definedName>
    <definedName name="Z_4F65FF32_EC61_4022_A399_2986D7B6B8B3_.wvu.PrintArea" localSheetId="8" hidden="1">'Sch-3 '!$A$1:$L$67</definedName>
    <definedName name="Z_4F65FF32_EC61_4022_A399_2986D7B6B8B3_.wvu.PrintArea" localSheetId="9" hidden="1">'Sch-4'!$A$1:$E$41</definedName>
    <definedName name="Z_4F65FF32_EC61_4022_A399_2986D7B6B8B3_.wvu.PrintArea" localSheetId="10" hidden="1">'Sch-4 Dis'!$A$1:$E$44</definedName>
    <definedName name="Z_4F65FF32_EC61_4022_A399_2986D7B6B8B3_.wvu.PrintArea" localSheetId="11" hidden="1">'Sch-5'!$A$1:$D$27</definedName>
    <definedName name="Z_4F65FF32_EC61_4022_A399_2986D7B6B8B3_.wvu.PrintArea" localSheetId="12" hidden="1">'Sch-5 After Discount'!$A$1:$D$32</definedName>
    <definedName name="Z_4F65FF32_EC61_4022_A399_2986D7B6B8B3_.wvu.PrintArea" localSheetId="13" hidden="1">'Sch-6 Dis'!$A$1:$F$29</definedName>
    <definedName name="Z_4F65FF32_EC61_4022_A399_2986D7B6B8B3_.wvu.PrintTitles" localSheetId="4" hidden="1">'Sch-1'!$14:$16</definedName>
    <definedName name="Z_4F65FF32_EC61_4022_A399_2986D7B6B8B3_.wvu.PrintTitles" localSheetId="5" hidden="1">'Sch-1 Dis'!$15:$17</definedName>
    <definedName name="Z_4F65FF32_EC61_4022_A399_2986D7B6B8B3_.wvu.PrintTitles" localSheetId="6" hidden="1">'Sch-2'!$13:$15</definedName>
    <definedName name="Z_4F65FF32_EC61_4022_A399_2986D7B6B8B3_.wvu.PrintTitles" localSheetId="7" hidden="1">'Sch-2 Dis'!$13:$15</definedName>
    <definedName name="Z_4F65FF32_EC61_4022_A399_2986D7B6B8B3_.wvu.PrintTitles" localSheetId="8" hidden="1">'Sch-3 '!$14:$16</definedName>
    <definedName name="Z_4F65FF32_EC61_4022_A399_2986D7B6B8B3_.wvu.PrintTitles" localSheetId="9" hidden="1">'Sch-4'!$3:$13</definedName>
    <definedName name="Z_4F65FF32_EC61_4022_A399_2986D7B6B8B3_.wvu.PrintTitles" localSheetId="10" hidden="1">'Sch-4 Dis'!$3:$13</definedName>
    <definedName name="Z_4F65FF32_EC61_4022_A399_2986D7B6B8B3_.wvu.PrintTitles" localSheetId="11" hidden="1">'Sch-5'!$3:$13</definedName>
    <definedName name="Z_4F65FF32_EC61_4022_A399_2986D7B6B8B3_.wvu.PrintTitles" localSheetId="12" hidden="1">'Sch-5 After Discount'!$3:$13</definedName>
    <definedName name="Z_4F65FF32_EC61_4022_A399_2986D7B6B8B3_.wvu.PrintTitles" localSheetId="13" hidden="1">'Sch-6 Dis'!$14:$14</definedName>
    <definedName name="Z_58D82F59_8CF6_455F_B9F4_081499FDF243_.wvu.Cols" localSheetId="14" hidden="1">Discount!$I:$P</definedName>
    <definedName name="Z_58D82F59_8CF6_455F_B9F4_081499FDF243_.wvu.Cols" localSheetId="4" hidden="1">'Sch-1'!$P:$T</definedName>
    <definedName name="Z_58D82F59_8CF6_455F_B9F4_081499FDF243_.wvu.Cols" localSheetId="5" hidden="1">'Sch-1 Dis'!$K:$K</definedName>
    <definedName name="Z_58D82F59_8CF6_455F_B9F4_081499FDF243_.wvu.Cols" localSheetId="6" hidden="1">'Sch-2'!$I:$J</definedName>
    <definedName name="Z_58D82F59_8CF6_455F_B9F4_081499FDF243_.wvu.PrintArea" localSheetId="18" hidden="1">'Bid Form 2nd Envelope'!$A$1:$F$53</definedName>
    <definedName name="Z_58D82F59_8CF6_455F_B9F4_081499FDF243_.wvu.PrintArea" localSheetId="1" hidden="1">Cover!$B$1:$E$15</definedName>
    <definedName name="Z_58D82F59_8CF6_455F_B9F4_081499FDF243_.wvu.PrintArea" localSheetId="14" hidden="1">Discount!$A$2:$G$41</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4" hidden="1">'Sch-1'!$A$1:$N$82</definedName>
    <definedName name="Z_58D82F59_8CF6_455F_B9F4_081499FDF243_.wvu.PrintArea" localSheetId="5" hidden="1">'Sch-1 Dis'!$A$1:$H$32</definedName>
    <definedName name="Z_58D82F59_8CF6_455F_B9F4_081499FDF243_.wvu.PrintArea" localSheetId="6" hidden="1">'Sch-2'!$A$1:$G$70</definedName>
    <definedName name="Z_58D82F59_8CF6_455F_B9F4_081499FDF243_.wvu.PrintArea" localSheetId="7" hidden="1">'Sch-2 Dis'!$A$1:$G$24</definedName>
    <definedName name="Z_58D82F59_8CF6_455F_B9F4_081499FDF243_.wvu.PrintArea" localSheetId="8" hidden="1">'Sch-3 '!$A$1:$L$67</definedName>
    <definedName name="Z_58D82F59_8CF6_455F_B9F4_081499FDF243_.wvu.PrintArea" localSheetId="9" hidden="1">'Sch-4'!$A$1:$E$40</definedName>
    <definedName name="Z_58D82F59_8CF6_455F_B9F4_081499FDF243_.wvu.PrintArea" localSheetId="10" hidden="1">'Sch-4 Dis'!$A$1:$E$44</definedName>
    <definedName name="Z_58D82F59_8CF6_455F_B9F4_081499FDF243_.wvu.PrintArea" localSheetId="11" hidden="1">'Sch-5'!$A$1:$D$27</definedName>
    <definedName name="Z_58D82F59_8CF6_455F_B9F4_081499FDF243_.wvu.PrintArea" localSheetId="12" hidden="1">'Sch-5 After Discount'!$A$1:$D$32</definedName>
    <definedName name="Z_58D82F59_8CF6_455F_B9F4_081499FDF243_.wvu.PrintArea" localSheetId="13" hidden="1">'Sch-6 Dis'!$A$1:$F$28</definedName>
    <definedName name="Z_58D82F59_8CF6_455F_B9F4_081499FDF243_.wvu.PrintTitles" localSheetId="4" hidden="1">'Sch-1'!$14:$16</definedName>
    <definedName name="Z_58D82F59_8CF6_455F_B9F4_081499FDF243_.wvu.PrintTitles" localSheetId="5" hidden="1">'Sch-1 Dis'!$15:$17</definedName>
    <definedName name="Z_58D82F59_8CF6_455F_B9F4_081499FDF243_.wvu.PrintTitles" localSheetId="6" hidden="1">'Sch-2'!$13:$15</definedName>
    <definedName name="Z_58D82F59_8CF6_455F_B9F4_081499FDF243_.wvu.PrintTitles" localSheetId="7" hidden="1">'Sch-2 Dis'!$13:$15</definedName>
    <definedName name="Z_58D82F59_8CF6_455F_B9F4_081499FDF243_.wvu.PrintTitles" localSheetId="8" hidden="1">'Sch-3 '!$14:$16</definedName>
    <definedName name="Z_58D82F59_8CF6_455F_B9F4_081499FDF243_.wvu.PrintTitles" localSheetId="9" hidden="1">'Sch-4'!$3:$13</definedName>
    <definedName name="Z_58D82F59_8CF6_455F_B9F4_081499FDF243_.wvu.PrintTitles" localSheetId="10" hidden="1">'Sch-4 Dis'!$3:$13</definedName>
    <definedName name="Z_58D82F59_8CF6_455F_B9F4_081499FDF243_.wvu.PrintTitles" localSheetId="11" hidden="1">'Sch-5'!$3:$13</definedName>
    <definedName name="Z_58D82F59_8CF6_455F_B9F4_081499FDF243_.wvu.PrintTitles" localSheetId="12" hidden="1">'Sch-5 After Discount'!$3:$13</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4" hidden="1">'Sch-1'!#REF!</definedName>
    <definedName name="Z_59ACD8B6_730E_4199_8297_1160D2A0693D_.wvu.PrintArea" localSheetId="19" hidden="1">'Q &amp; C'!$A$1:$F$43</definedName>
    <definedName name="Z_5C6610A7_30B1_43C5_B47D_FDA0FBB789C6_.wvu.PrintArea" localSheetId="2" hidden="1">Instructions!$A$1:$C$49</definedName>
    <definedName name="Z_606714DA_2176_4491_94C0_B9ECC35CF656_.wvu.PrintArea" localSheetId="2" hidden="1">Instructions!$A$1:$C$49</definedName>
    <definedName name="Z_606714DA_2176_4491_94C0_B9ECC35CF656_.wvu.Rows" localSheetId="2" hidden="1">Instructions!$25:$25,Instructions!$38:$40</definedName>
    <definedName name="Z_696D9240_6693_44E8_B9A4_2BFADD101EE2_.wvu.Cols" localSheetId="14" hidden="1">Discount!$I:$P</definedName>
    <definedName name="Z_696D9240_6693_44E8_B9A4_2BFADD101EE2_.wvu.Cols" localSheetId="4" hidden="1">'Sch-1'!$Q:$S</definedName>
    <definedName name="Z_696D9240_6693_44E8_B9A4_2BFADD101EE2_.wvu.Cols" localSheetId="5" hidden="1">'Sch-1 Dis'!$K:$K</definedName>
    <definedName name="Z_696D9240_6693_44E8_B9A4_2BFADD101EE2_.wvu.Cols" localSheetId="6" hidden="1">'Sch-2'!$I:$J</definedName>
    <definedName name="Z_696D9240_6693_44E8_B9A4_2BFADD101EE2_.wvu.PrintArea" localSheetId="18" hidden="1">'Bid Form 2nd Envelope'!$A$1:$F$57</definedName>
    <definedName name="Z_696D9240_6693_44E8_B9A4_2BFADD101EE2_.wvu.PrintArea" localSheetId="1" hidden="1">Cover!$B$1:$E$15</definedName>
    <definedName name="Z_696D9240_6693_44E8_B9A4_2BFADD101EE2_.wvu.PrintArea" localSheetId="14" hidden="1">Discount!$A$2:$G$41</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4" hidden="1">'Sch-1'!$A$1:$N$82</definedName>
    <definedName name="Z_696D9240_6693_44E8_B9A4_2BFADD101EE2_.wvu.PrintArea" localSheetId="5" hidden="1">'Sch-1 Dis'!$A$1:$H$32</definedName>
    <definedName name="Z_696D9240_6693_44E8_B9A4_2BFADD101EE2_.wvu.PrintArea" localSheetId="6" hidden="1">'Sch-2'!$A$1:$G$70</definedName>
    <definedName name="Z_696D9240_6693_44E8_B9A4_2BFADD101EE2_.wvu.PrintArea" localSheetId="7" hidden="1">'Sch-2 Dis'!$A$1:$G$24</definedName>
    <definedName name="Z_696D9240_6693_44E8_B9A4_2BFADD101EE2_.wvu.PrintArea" localSheetId="8" hidden="1">'Sch-3 '!$A$1:$L$67</definedName>
    <definedName name="Z_696D9240_6693_44E8_B9A4_2BFADD101EE2_.wvu.PrintArea" localSheetId="9" hidden="1">'Sch-4'!$A$1:$E$40</definedName>
    <definedName name="Z_696D9240_6693_44E8_B9A4_2BFADD101EE2_.wvu.PrintArea" localSheetId="10" hidden="1">'Sch-4 Dis'!$A$1:$E$44</definedName>
    <definedName name="Z_696D9240_6693_44E8_B9A4_2BFADD101EE2_.wvu.PrintArea" localSheetId="11" hidden="1">'Sch-5'!$A$1:$D$27</definedName>
    <definedName name="Z_696D9240_6693_44E8_B9A4_2BFADD101EE2_.wvu.PrintArea" localSheetId="12" hidden="1">'Sch-5 After Discount'!$A$1:$D$32</definedName>
    <definedName name="Z_696D9240_6693_44E8_B9A4_2BFADD101EE2_.wvu.PrintArea" localSheetId="13" hidden="1">'Sch-6 Dis'!$A$1:$F$28</definedName>
    <definedName name="Z_696D9240_6693_44E8_B9A4_2BFADD101EE2_.wvu.PrintTitles" localSheetId="4" hidden="1">'Sch-1'!$14:$16</definedName>
    <definedName name="Z_696D9240_6693_44E8_B9A4_2BFADD101EE2_.wvu.PrintTitles" localSheetId="5" hidden="1">'Sch-1 Dis'!$15:$17</definedName>
    <definedName name="Z_696D9240_6693_44E8_B9A4_2BFADD101EE2_.wvu.PrintTitles" localSheetId="6" hidden="1">'Sch-2'!$13:$15</definedName>
    <definedName name="Z_696D9240_6693_44E8_B9A4_2BFADD101EE2_.wvu.PrintTitles" localSheetId="7" hidden="1">'Sch-2 Dis'!$13:$15</definedName>
    <definedName name="Z_696D9240_6693_44E8_B9A4_2BFADD101EE2_.wvu.PrintTitles" localSheetId="8" hidden="1">'Sch-3 '!$14:$16</definedName>
    <definedName name="Z_696D9240_6693_44E8_B9A4_2BFADD101EE2_.wvu.PrintTitles" localSheetId="9" hidden="1">'Sch-4'!$3:$13</definedName>
    <definedName name="Z_696D9240_6693_44E8_B9A4_2BFADD101EE2_.wvu.PrintTitles" localSheetId="10" hidden="1">'Sch-4 Dis'!$3:$13</definedName>
    <definedName name="Z_696D9240_6693_44E8_B9A4_2BFADD101EE2_.wvu.PrintTitles" localSheetId="11" hidden="1">'Sch-5'!$3:$13</definedName>
    <definedName name="Z_696D9240_6693_44E8_B9A4_2BFADD101EE2_.wvu.PrintTitles" localSheetId="12" hidden="1">'Sch-5 After Discount'!$3:$13</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4" hidden="1">'Sch-1'!#REF!</definedName>
    <definedName name="Z_6E345679_47E0_4044_94F8_40B7719CE719_.wvu.PrintArea" localSheetId="19" hidden="1">'Q &amp; C'!$A$1:$F$43</definedName>
    <definedName name="Z_9CA44E70_650F_49CD_967F_298619682CA2_.wvu.Cols" localSheetId="14" hidden="1">Discount!$I:$O</definedName>
    <definedName name="Z_9CA44E70_650F_49CD_967F_298619682CA2_.wvu.Cols" localSheetId="4" hidden="1">'Sch-1'!$P:$T</definedName>
    <definedName name="Z_9CA44E70_650F_49CD_967F_298619682CA2_.wvu.Cols" localSheetId="5" hidden="1">'Sch-1 Dis'!$K:$K</definedName>
    <definedName name="Z_9CA44E70_650F_49CD_967F_298619682CA2_.wvu.Cols" localSheetId="6" hidden="1">'Sch-2'!$I:$J</definedName>
    <definedName name="Z_9CA44E70_650F_49CD_967F_298619682CA2_.wvu.PrintArea" localSheetId="18" hidden="1">'Bid Form 2nd Envelope'!$A$1:$F$51</definedName>
    <definedName name="Z_9CA44E70_650F_49CD_967F_298619682CA2_.wvu.PrintArea" localSheetId="1" hidden="1">Cover!$B$1:$E$15</definedName>
    <definedName name="Z_9CA44E70_650F_49CD_967F_298619682CA2_.wvu.PrintArea" localSheetId="14" hidden="1">Discount!$A$2:$G$41</definedName>
    <definedName name="Z_9CA44E70_650F_49CD_967F_298619682CA2_.wvu.PrintArea" localSheetId="16" hidden="1">'Entry Tax'!$A$1:$E$16</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4" hidden="1">'Sch-1'!$A$1:$N$82</definedName>
    <definedName name="Z_9CA44E70_650F_49CD_967F_298619682CA2_.wvu.PrintArea" localSheetId="5" hidden="1">'Sch-1 Dis'!$A$1:$H$32</definedName>
    <definedName name="Z_9CA44E70_650F_49CD_967F_298619682CA2_.wvu.PrintArea" localSheetId="6" hidden="1">'Sch-2'!$A$1:$G$70</definedName>
    <definedName name="Z_9CA44E70_650F_49CD_967F_298619682CA2_.wvu.PrintArea" localSheetId="7" hidden="1">'Sch-2 Dis'!$A$1:$G$24</definedName>
    <definedName name="Z_9CA44E70_650F_49CD_967F_298619682CA2_.wvu.PrintArea" localSheetId="8" hidden="1">'Sch-3 '!$A$1:$L$67</definedName>
    <definedName name="Z_9CA44E70_650F_49CD_967F_298619682CA2_.wvu.PrintArea" localSheetId="9" hidden="1">'Sch-4'!$A$1:$E$40</definedName>
    <definedName name="Z_9CA44E70_650F_49CD_967F_298619682CA2_.wvu.PrintArea" localSheetId="10" hidden="1">'Sch-4 Dis'!$A$1:$E$44</definedName>
    <definedName name="Z_9CA44E70_650F_49CD_967F_298619682CA2_.wvu.PrintArea" localSheetId="11" hidden="1">'Sch-5'!$A$1:$D$27</definedName>
    <definedName name="Z_9CA44E70_650F_49CD_967F_298619682CA2_.wvu.PrintArea" localSheetId="12" hidden="1">'Sch-5 After Discount'!$A$1:$D$32</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4" hidden="1">'Sch-1'!$14:$16</definedName>
    <definedName name="Z_9CA44E70_650F_49CD_967F_298619682CA2_.wvu.PrintTitles" localSheetId="5" hidden="1">'Sch-1 Dis'!$15:$17</definedName>
    <definedName name="Z_9CA44E70_650F_49CD_967F_298619682CA2_.wvu.PrintTitles" localSheetId="6" hidden="1">'Sch-2'!$13:$15</definedName>
    <definedName name="Z_9CA44E70_650F_49CD_967F_298619682CA2_.wvu.PrintTitles" localSheetId="7" hidden="1">'Sch-2 Dis'!$13:$15</definedName>
    <definedName name="Z_9CA44E70_650F_49CD_967F_298619682CA2_.wvu.PrintTitles" localSheetId="8" hidden="1">'Sch-3 '!$14:$16</definedName>
    <definedName name="Z_9CA44E70_650F_49CD_967F_298619682CA2_.wvu.PrintTitles" localSheetId="9" hidden="1">'Sch-4'!$3:$13</definedName>
    <definedName name="Z_9CA44E70_650F_49CD_967F_298619682CA2_.wvu.PrintTitles" localSheetId="10" hidden="1">'Sch-4 Dis'!$3:$13</definedName>
    <definedName name="Z_9CA44E70_650F_49CD_967F_298619682CA2_.wvu.PrintTitles" localSheetId="11" hidden="1">'Sch-5'!$3:$13</definedName>
    <definedName name="Z_9CA44E70_650F_49CD_967F_298619682CA2_.wvu.PrintTitles" localSheetId="12" hidden="1">'Sch-5 After Discount'!$3:$13</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Discount!$19:$19,Discount!$21:$21,Discount!$25:$25,Discount!$27:$27,Discount!$30:$31</definedName>
    <definedName name="Z_9CA44E70_650F_49CD_967F_298619682CA2_.wvu.Rows" localSheetId="4" hidden="1">'Sch-1'!#REF!</definedName>
    <definedName name="Z_B0EE7D76_5806_4718_BDAD_3A3EA691E5E4_.wvu.Cols" localSheetId="14" hidden="1">Discount!$I:$P</definedName>
    <definedName name="Z_B0EE7D76_5806_4718_BDAD_3A3EA691E5E4_.wvu.Cols" localSheetId="4" hidden="1">'Sch-1'!$P:$T</definedName>
    <definedName name="Z_B0EE7D76_5806_4718_BDAD_3A3EA691E5E4_.wvu.Cols" localSheetId="5" hidden="1">'Sch-1 Dis'!$K:$K</definedName>
    <definedName name="Z_B0EE7D76_5806_4718_BDAD_3A3EA691E5E4_.wvu.Cols" localSheetId="6" hidden="1">'Sch-2'!$I:$J</definedName>
    <definedName name="Z_B0EE7D76_5806_4718_BDAD_3A3EA691E5E4_.wvu.PrintArea" localSheetId="18" hidden="1">'Bid Form 2nd Envelope'!$A$1:$F$53</definedName>
    <definedName name="Z_B0EE7D76_5806_4718_BDAD_3A3EA691E5E4_.wvu.PrintArea" localSheetId="1" hidden="1">Cover!$B$1:$E$15</definedName>
    <definedName name="Z_B0EE7D76_5806_4718_BDAD_3A3EA691E5E4_.wvu.PrintArea" localSheetId="14" hidden="1">Discount!$A$2:$G$41</definedName>
    <definedName name="Z_B0EE7D76_5806_4718_BDAD_3A3EA691E5E4_.wvu.PrintArea" localSheetId="16" hidden="1">'Entry Tax'!$A$1:$E$16</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4" hidden="1">'Sch-1'!$A$1:$N$82</definedName>
    <definedName name="Z_B0EE7D76_5806_4718_BDAD_3A3EA691E5E4_.wvu.PrintArea" localSheetId="5" hidden="1">'Sch-1 Dis'!$A$1:$H$32</definedName>
    <definedName name="Z_B0EE7D76_5806_4718_BDAD_3A3EA691E5E4_.wvu.PrintArea" localSheetId="6" hidden="1">'Sch-2'!$A$1:$G$70</definedName>
    <definedName name="Z_B0EE7D76_5806_4718_BDAD_3A3EA691E5E4_.wvu.PrintArea" localSheetId="7" hidden="1">'Sch-2 Dis'!$A$1:$G$24</definedName>
    <definedName name="Z_B0EE7D76_5806_4718_BDAD_3A3EA691E5E4_.wvu.PrintArea" localSheetId="8" hidden="1">'Sch-3 '!$A$1:$L$67</definedName>
    <definedName name="Z_B0EE7D76_5806_4718_BDAD_3A3EA691E5E4_.wvu.PrintArea" localSheetId="9" hidden="1">'Sch-4'!$A$1:$E$40</definedName>
    <definedName name="Z_B0EE7D76_5806_4718_BDAD_3A3EA691E5E4_.wvu.PrintArea" localSheetId="10" hidden="1">'Sch-4 Dis'!$A$1:$E$44</definedName>
    <definedName name="Z_B0EE7D76_5806_4718_BDAD_3A3EA691E5E4_.wvu.PrintArea" localSheetId="11" hidden="1">'Sch-5'!$A$1:$D$27</definedName>
    <definedName name="Z_B0EE7D76_5806_4718_BDAD_3A3EA691E5E4_.wvu.PrintArea" localSheetId="12" hidden="1">'Sch-5 After Discount'!$A$1:$D$32</definedName>
    <definedName name="Z_B0EE7D76_5806_4718_BDAD_3A3EA691E5E4_.wvu.PrintArea" localSheetId="13" hidden="1">'Sch-6 Dis'!$A$1:$F$28</definedName>
    <definedName name="Z_B0EE7D76_5806_4718_BDAD_3A3EA691E5E4_.wvu.PrintTitles" localSheetId="4" hidden="1">'Sch-1'!$14:$16</definedName>
    <definedName name="Z_B0EE7D76_5806_4718_BDAD_3A3EA691E5E4_.wvu.PrintTitles" localSheetId="5" hidden="1">'Sch-1 Dis'!$15:$17</definedName>
    <definedName name="Z_B0EE7D76_5806_4718_BDAD_3A3EA691E5E4_.wvu.PrintTitles" localSheetId="6" hidden="1">'Sch-2'!$13:$15</definedName>
    <definedName name="Z_B0EE7D76_5806_4718_BDAD_3A3EA691E5E4_.wvu.PrintTitles" localSheetId="7" hidden="1">'Sch-2 Dis'!$13:$15</definedName>
    <definedName name="Z_B0EE7D76_5806_4718_BDAD_3A3EA691E5E4_.wvu.PrintTitles" localSheetId="8" hidden="1">'Sch-3 '!$14:$16</definedName>
    <definedName name="Z_B0EE7D76_5806_4718_BDAD_3A3EA691E5E4_.wvu.PrintTitles" localSheetId="9" hidden="1">'Sch-4'!$3:$13</definedName>
    <definedName name="Z_B0EE7D76_5806_4718_BDAD_3A3EA691E5E4_.wvu.PrintTitles" localSheetId="10" hidden="1">'Sch-4 Dis'!$3:$13</definedName>
    <definedName name="Z_B0EE7D76_5806_4718_BDAD_3A3EA691E5E4_.wvu.PrintTitles" localSheetId="11" hidden="1">'Sch-5'!$3:$13</definedName>
    <definedName name="Z_B0EE7D76_5806_4718_BDAD_3A3EA691E5E4_.wvu.PrintTitles" localSheetId="12" hidden="1">'Sch-5 After Discount'!$3:$13</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4" hidden="1">'Sch-1'!#REF!</definedName>
    <definedName name="Z_B1277D53_29D6_4226_81E2_084FB62977B6_.wvu.Cols" localSheetId="14" hidden="1">Discount!$I:$P</definedName>
    <definedName name="Z_B1277D53_29D6_4226_81E2_084FB62977B6_.wvu.Cols" localSheetId="4" hidden="1">'Sch-1'!$P:$T</definedName>
    <definedName name="Z_B1277D53_29D6_4226_81E2_084FB62977B6_.wvu.Cols" localSheetId="5" hidden="1">'Sch-1 Dis'!$K:$K</definedName>
    <definedName name="Z_B1277D53_29D6_4226_81E2_084FB62977B6_.wvu.Cols" localSheetId="6" hidden="1">'Sch-2'!$I:$J</definedName>
    <definedName name="Z_B1277D53_29D6_4226_81E2_084FB62977B6_.wvu.PrintArea" localSheetId="18" hidden="1">'Bid Form 2nd Envelope'!$A$1:$F$51</definedName>
    <definedName name="Z_B1277D53_29D6_4226_81E2_084FB62977B6_.wvu.PrintArea" localSheetId="1" hidden="1">Cover!$B$1:$E$15</definedName>
    <definedName name="Z_B1277D53_29D6_4226_81E2_084FB62977B6_.wvu.PrintArea" localSheetId="14" hidden="1">Discount!$A$2:$G$41</definedName>
    <definedName name="Z_B1277D53_29D6_4226_81E2_084FB62977B6_.wvu.PrintArea" localSheetId="16" hidden="1">'Entry Tax'!$A$1:$E$16</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4" hidden="1">'Sch-1'!$A$1:$N$82</definedName>
    <definedName name="Z_B1277D53_29D6_4226_81E2_084FB62977B6_.wvu.PrintArea" localSheetId="5" hidden="1">'Sch-1 Dis'!$A$1:$H$32</definedName>
    <definedName name="Z_B1277D53_29D6_4226_81E2_084FB62977B6_.wvu.PrintArea" localSheetId="6" hidden="1">'Sch-2'!$A$1:$G$70</definedName>
    <definedName name="Z_B1277D53_29D6_4226_81E2_084FB62977B6_.wvu.PrintArea" localSheetId="7" hidden="1">'Sch-2 Dis'!$A$1:$G$24</definedName>
    <definedName name="Z_B1277D53_29D6_4226_81E2_084FB62977B6_.wvu.PrintArea" localSheetId="8" hidden="1">'Sch-3 '!$A$1:$L$67</definedName>
    <definedName name="Z_B1277D53_29D6_4226_81E2_084FB62977B6_.wvu.PrintArea" localSheetId="9" hidden="1">'Sch-4'!$A$1:$E$40</definedName>
    <definedName name="Z_B1277D53_29D6_4226_81E2_084FB62977B6_.wvu.PrintArea" localSheetId="10" hidden="1">'Sch-4 Dis'!$A$1:$E$44</definedName>
    <definedName name="Z_B1277D53_29D6_4226_81E2_084FB62977B6_.wvu.PrintArea" localSheetId="11" hidden="1">'Sch-5'!$A$1:$D$27</definedName>
    <definedName name="Z_B1277D53_29D6_4226_81E2_084FB62977B6_.wvu.PrintArea" localSheetId="12" hidden="1">'Sch-5 After Discount'!$A$1:$D$32</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4" hidden="1">'Sch-1'!$14:$16</definedName>
    <definedName name="Z_B1277D53_29D6_4226_81E2_084FB62977B6_.wvu.PrintTitles" localSheetId="5" hidden="1">'Sch-1 Dis'!$15:$17</definedName>
    <definedName name="Z_B1277D53_29D6_4226_81E2_084FB62977B6_.wvu.PrintTitles" localSheetId="6" hidden="1">'Sch-2'!$13:$15</definedName>
    <definedName name="Z_B1277D53_29D6_4226_81E2_084FB62977B6_.wvu.PrintTitles" localSheetId="7" hidden="1">'Sch-2 Dis'!$13:$15</definedName>
    <definedName name="Z_B1277D53_29D6_4226_81E2_084FB62977B6_.wvu.PrintTitles" localSheetId="8" hidden="1">'Sch-3 '!$14:$16</definedName>
    <definedName name="Z_B1277D53_29D6_4226_81E2_084FB62977B6_.wvu.PrintTitles" localSheetId="9" hidden="1">'Sch-4'!$3:$13</definedName>
    <definedName name="Z_B1277D53_29D6_4226_81E2_084FB62977B6_.wvu.PrintTitles" localSheetId="10" hidden="1">'Sch-4 Dis'!$3:$13</definedName>
    <definedName name="Z_B1277D53_29D6_4226_81E2_084FB62977B6_.wvu.PrintTitles" localSheetId="11" hidden="1">'Sch-5'!$3:$13</definedName>
    <definedName name="Z_B1277D53_29D6_4226_81E2_084FB62977B6_.wvu.PrintTitles" localSheetId="12" hidden="1">'Sch-5 After Discount'!$3:$13</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4" hidden="1">'Sch-1'!#REF!</definedName>
    <definedName name="Z_C39F923C_6CD3_45D8_86F8_6C4D806DDD7E_.wvu.Cols" localSheetId="14" hidden="1">Discount!$I:$P</definedName>
    <definedName name="Z_C39F923C_6CD3_45D8_86F8_6C4D806DDD7E_.wvu.Cols" localSheetId="4" hidden="1">'Sch-1'!$P:$T</definedName>
    <definedName name="Z_C39F923C_6CD3_45D8_86F8_6C4D806DDD7E_.wvu.Cols" localSheetId="5" hidden="1">'Sch-1 Dis'!$K:$K</definedName>
    <definedName name="Z_C39F923C_6CD3_45D8_86F8_6C4D806DDD7E_.wvu.Cols" localSheetId="6" hidden="1">'Sch-2'!$I:$J</definedName>
    <definedName name="Z_C39F923C_6CD3_45D8_86F8_6C4D806DDD7E_.wvu.PrintArea" localSheetId="18" hidden="1">'Bid Form 2nd Envelope'!$A$1:$F$51</definedName>
    <definedName name="Z_C39F923C_6CD3_45D8_86F8_6C4D806DDD7E_.wvu.PrintArea" localSheetId="1" hidden="1">Cover!$B$1:$E$15</definedName>
    <definedName name="Z_C39F923C_6CD3_45D8_86F8_6C4D806DDD7E_.wvu.PrintArea" localSheetId="14" hidden="1">Discount!$A$2:$G$41</definedName>
    <definedName name="Z_C39F923C_6CD3_45D8_86F8_6C4D806DDD7E_.wvu.PrintArea" localSheetId="16" hidden="1">'Entry Tax'!$A$1:$E$16</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4" hidden="1">'Sch-1'!$A$1:$N$82</definedName>
    <definedName name="Z_C39F923C_6CD3_45D8_86F8_6C4D806DDD7E_.wvu.PrintArea" localSheetId="5" hidden="1">'Sch-1 Dis'!$A$1:$H$32</definedName>
    <definedName name="Z_C39F923C_6CD3_45D8_86F8_6C4D806DDD7E_.wvu.PrintArea" localSheetId="6" hidden="1">'Sch-2'!$A$1:$G$70</definedName>
    <definedName name="Z_C39F923C_6CD3_45D8_86F8_6C4D806DDD7E_.wvu.PrintArea" localSheetId="7" hidden="1">'Sch-2 Dis'!$A$1:$G$24</definedName>
    <definedName name="Z_C39F923C_6CD3_45D8_86F8_6C4D806DDD7E_.wvu.PrintArea" localSheetId="8" hidden="1">'Sch-3 '!$A$1:$L$67</definedName>
    <definedName name="Z_C39F923C_6CD3_45D8_86F8_6C4D806DDD7E_.wvu.PrintArea" localSheetId="9" hidden="1">'Sch-4'!$A$1:$E$40</definedName>
    <definedName name="Z_C39F923C_6CD3_45D8_86F8_6C4D806DDD7E_.wvu.PrintArea" localSheetId="10" hidden="1">'Sch-4 Dis'!$A$1:$E$44</definedName>
    <definedName name="Z_C39F923C_6CD3_45D8_86F8_6C4D806DDD7E_.wvu.PrintArea" localSheetId="11" hidden="1">'Sch-5'!$A$1:$D$27</definedName>
    <definedName name="Z_C39F923C_6CD3_45D8_86F8_6C4D806DDD7E_.wvu.PrintArea" localSheetId="12" hidden="1">'Sch-5 After Discount'!$A$1:$D$32</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4" hidden="1">'Sch-1'!$14:$16</definedName>
    <definedName name="Z_C39F923C_6CD3_45D8_86F8_6C4D806DDD7E_.wvu.PrintTitles" localSheetId="5" hidden="1">'Sch-1 Dis'!$15:$17</definedName>
    <definedName name="Z_C39F923C_6CD3_45D8_86F8_6C4D806DDD7E_.wvu.PrintTitles" localSheetId="6" hidden="1">'Sch-2'!$13:$15</definedName>
    <definedName name="Z_C39F923C_6CD3_45D8_86F8_6C4D806DDD7E_.wvu.PrintTitles" localSheetId="7" hidden="1">'Sch-2 Dis'!$13:$15</definedName>
    <definedName name="Z_C39F923C_6CD3_45D8_86F8_6C4D806DDD7E_.wvu.PrintTitles" localSheetId="8" hidden="1">'Sch-3 '!$14:$16</definedName>
    <definedName name="Z_C39F923C_6CD3_45D8_86F8_6C4D806DDD7E_.wvu.PrintTitles" localSheetId="9" hidden="1">'Sch-4'!$3:$13</definedName>
    <definedName name="Z_C39F923C_6CD3_45D8_86F8_6C4D806DDD7E_.wvu.PrintTitles" localSheetId="10" hidden="1">'Sch-4 Dis'!$3:$13</definedName>
    <definedName name="Z_C39F923C_6CD3_45D8_86F8_6C4D806DDD7E_.wvu.PrintTitles" localSheetId="11" hidden="1">'Sch-5'!$3:$13</definedName>
    <definedName name="Z_C39F923C_6CD3_45D8_86F8_6C4D806DDD7E_.wvu.PrintTitles" localSheetId="12" hidden="1">'Sch-5 After Discount'!$3:$13</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4" hidden="1">'Sch-1'!#REF!</definedName>
    <definedName name="Z_E95B21C1_D936_4435_AF6F_90CF0B6A7506_.wvu.Cols" localSheetId="14" hidden="1">Discount!$I:$P</definedName>
    <definedName name="Z_E95B21C1_D936_4435_AF6F_90CF0B6A7506_.wvu.Cols" localSheetId="4" hidden="1">'Sch-1'!$P:$T</definedName>
    <definedName name="Z_E95B21C1_D936_4435_AF6F_90CF0B6A7506_.wvu.Cols" localSheetId="5" hidden="1">'Sch-1 Dis'!$K:$K</definedName>
    <definedName name="Z_E95B21C1_D936_4435_AF6F_90CF0B6A7506_.wvu.Cols" localSheetId="6" hidden="1">'Sch-2'!$I:$J</definedName>
    <definedName name="Z_E95B21C1_D936_4435_AF6F_90CF0B6A7506_.wvu.PrintArea" localSheetId="18" hidden="1">'Bid Form 2nd Envelope'!$A$1:$F$51</definedName>
    <definedName name="Z_E95B21C1_D936_4435_AF6F_90CF0B6A7506_.wvu.PrintArea" localSheetId="1" hidden="1">Cover!$B$1:$E$15</definedName>
    <definedName name="Z_E95B21C1_D936_4435_AF6F_90CF0B6A7506_.wvu.PrintArea" localSheetId="14" hidden="1">Discount!$A$2:$G$41</definedName>
    <definedName name="Z_E95B21C1_D936_4435_AF6F_90CF0B6A7506_.wvu.PrintArea" localSheetId="16" hidden="1">'Entry Tax'!$A$1:$E$16</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4" hidden="1">'Sch-1'!$A$1:$N$82</definedName>
    <definedName name="Z_E95B21C1_D936_4435_AF6F_90CF0B6A7506_.wvu.PrintArea" localSheetId="5" hidden="1">'Sch-1 Dis'!$A$1:$H$32</definedName>
    <definedName name="Z_E95B21C1_D936_4435_AF6F_90CF0B6A7506_.wvu.PrintArea" localSheetId="6" hidden="1">'Sch-2'!$A$1:$G$70</definedName>
    <definedName name="Z_E95B21C1_D936_4435_AF6F_90CF0B6A7506_.wvu.PrintArea" localSheetId="7" hidden="1">'Sch-2 Dis'!$A$1:$G$24</definedName>
    <definedName name="Z_E95B21C1_D936_4435_AF6F_90CF0B6A7506_.wvu.PrintArea" localSheetId="8" hidden="1">'Sch-3 '!$A$1:$L$67</definedName>
    <definedName name="Z_E95B21C1_D936_4435_AF6F_90CF0B6A7506_.wvu.PrintArea" localSheetId="9" hidden="1">'Sch-4'!$A$1:$E$40</definedName>
    <definedName name="Z_E95B21C1_D936_4435_AF6F_90CF0B6A7506_.wvu.PrintArea" localSheetId="10" hidden="1">'Sch-4 Dis'!$A$1:$E$44</definedName>
    <definedName name="Z_E95B21C1_D936_4435_AF6F_90CF0B6A7506_.wvu.PrintArea" localSheetId="11" hidden="1">'Sch-5'!$A$1:$D$27</definedName>
    <definedName name="Z_E95B21C1_D936_4435_AF6F_90CF0B6A7506_.wvu.PrintArea" localSheetId="12" hidden="1">'Sch-5 After Discount'!$A$1:$D$32</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4" hidden="1">'Sch-1'!$14:$16</definedName>
    <definedName name="Z_E95B21C1_D936_4435_AF6F_90CF0B6A7506_.wvu.PrintTitles" localSheetId="5" hidden="1">'Sch-1 Dis'!$15:$17</definedName>
    <definedName name="Z_E95B21C1_D936_4435_AF6F_90CF0B6A7506_.wvu.PrintTitles" localSheetId="6" hidden="1">'Sch-2'!$13:$15</definedName>
    <definedName name="Z_E95B21C1_D936_4435_AF6F_90CF0B6A7506_.wvu.PrintTitles" localSheetId="7" hidden="1">'Sch-2 Dis'!$13:$15</definedName>
    <definedName name="Z_E95B21C1_D936_4435_AF6F_90CF0B6A7506_.wvu.PrintTitles" localSheetId="8" hidden="1">'Sch-3 '!$14:$16</definedName>
    <definedName name="Z_E95B21C1_D936_4435_AF6F_90CF0B6A7506_.wvu.PrintTitles" localSheetId="9" hidden="1">'Sch-4'!$3:$13</definedName>
    <definedName name="Z_E95B21C1_D936_4435_AF6F_90CF0B6A7506_.wvu.PrintTitles" localSheetId="10" hidden="1">'Sch-4 Dis'!$3:$13</definedName>
    <definedName name="Z_E95B21C1_D936_4435_AF6F_90CF0B6A7506_.wvu.PrintTitles" localSheetId="11" hidden="1">'Sch-5'!$3:$13</definedName>
    <definedName name="Z_E95B21C1_D936_4435_AF6F_90CF0B6A7506_.wvu.PrintTitles" localSheetId="12" hidden="1">'Sch-5 After Discount'!$3:$13</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4" hidden="1">'Sch-1'!#REF!</definedName>
    <definedName name="Z_F51A1875_E3DE_4601_ADCE_E0FEEC04A5F8_.wvu.PrintArea" localSheetId="2" hidden="1">Instructions!$A$1:$C$49</definedName>
  </definedNames>
  <calcPr calcId="181029"/>
  <customWorkbookViews>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6"/>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2"/>
    <customWorkbookView name="01487 - Personal View" guid="{E95B21C1-D936-4435-AF6F-90CF0B6A7506}" mergeInterval="0" personalView="1" maximized="1" windowWidth="1362" windowHeight="509" activeSheetId="20"/>
    <customWorkbookView name="65005 - Personal View" guid="{08A645C4-A23F-4400-B0CE-1685BC312A6F}" mergeInterval="0" personalView="1" maximized="1" windowWidth="1362" windowHeight="543" tabRatio="875" activeSheetId="20"/>
  </customWorkbookViews>
</workbook>
</file>

<file path=xl/calcChain.xml><?xml version="1.0" encoding="utf-8"?>
<calcChain xmlns="http://schemas.openxmlformats.org/spreadsheetml/2006/main">
  <c r="M70" i="5" l="1"/>
  <c r="L70" i="5"/>
  <c r="G68" i="7"/>
  <c r="G67" i="7"/>
  <c r="G65" i="7"/>
  <c r="G62" i="7"/>
  <c r="G61" i="7"/>
  <c r="G60" i="7"/>
  <c r="G59" i="7"/>
  <c r="G55" i="7"/>
  <c r="G54" i="7"/>
  <c r="G53" i="7"/>
  <c r="G48" i="7"/>
  <c r="G47" i="7"/>
  <c r="G39" i="7"/>
  <c r="G38" i="7"/>
  <c r="G37" i="7"/>
  <c r="G36" i="7"/>
  <c r="G31" i="7"/>
  <c r="G30" i="7"/>
  <c r="G21" i="7"/>
  <c r="L58" i="9"/>
  <c r="K58" i="9" s="1"/>
  <c r="L57" i="9"/>
  <c r="K57" i="9" s="1"/>
  <c r="L56" i="9"/>
  <c r="K56" i="9"/>
  <c r="L54" i="9"/>
  <c r="K54" i="9" s="1"/>
  <c r="L53" i="9"/>
  <c r="K53" i="9" s="1"/>
  <c r="L51" i="9"/>
  <c r="K51" i="9" s="1"/>
  <c r="L49" i="9"/>
  <c r="K49" i="9" s="1"/>
  <c r="L46" i="9"/>
  <c r="K46" i="9" s="1"/>
  <c r="L45" i="9"/>
  <c r="K45" i="9" s="1"/>
  <c r="L44" i="9"/>
  <c r="K44" i="9"/>
  <c r="L43" i="9"/>
  <c r="K43" i="9" s="1"/>
  <c r="L41" i="9"/>
  <c r="K41" i="9" s="1"/>
  <c r="L40" i="9"/>
  <c r="K40" i="9" s="1"/>
  <c r="L39" i="9"/>
  <c r="K39" i="9" s="1"/>
  <c r="L38" i="9"/>
  <c r="K38" i="9" s="1"/>
  <c r="L36" i="9"/>
  <c r="K36" i="9" s="1"/>
  <c r="L35" i="9"/>
  <c r="K35" i="9" s="1"/>
  <c r="L33" i="9"/>
  <c r="K33" i="9" s="1"/>
  <c r="L32" i="9"/>
  <c r="K32" i="9" s="1"/>
  <c r="L30" i="9"/>
  <c r="K30" i="9" s="1"/>
  <c r="L29" i="9"/>
  <c r="K29" i="9" s="1"/>
  <c r="L26" i="9"/>
  <c r="K26" i="9" s="1"/>
  <c r="L24" i="9"/>
  <c r="K24" i="9" s="1"/>
  <c r="L22" i="9"/>
  <c r="K22" i="9"/>
  <c r="L21" i="9"/>
  <c r="K21" i="9" s="1"/>
  <c r="G64" i="7"/>
  <c r="G63" i="7"/>
  <c r="G58" i="7"/>
  <c r="G57" i="7"/>
  <c r="G52" i="7"/>
  <c r="G50" i="7"/>
  <c r="G49" i="7"/>
  <c r="G46" i="7"/>
  <c r="G44" i="7"/>
  <c r="G43" i="7"/>
  <c r="G42" i="7"/>
  <c r="G33" i="7"/>
  <c r="G32" i="7"/>
  <c r="G27" i="7"/>
  <c r="G26" i="7"/>
  <c r="G24" i="7"/>
  <c r="G23" i="7"/>
  <c r="M69" i="5"/>
  <c r="L69" i="5" s="1"/>
  <c r="M68" i="5"/>
  <c r="L68" i="5" s="1"/>
  <c r="M66" i="5"/>
  <c r="L66" i="5" s="1"/>
  <c r="M65" i="5"/>
  <c r="L65" i="5" s="1"/>
  <c r="M64" i="5"/>
  <c r="L64" i="5" s="1"/>
  <c r="M63" i="5"/>
  <c r="L63" i="5" s="1"/>
  <c r="M62" i="5"/>
  <c r="L62" i="5" s="1"/>
  <c r="M61" i="5"/>
  <c r="L61" i="5" s="1"/>
  <c r="M60" i="5"/>
  <c r="L60" i="5" s="1"/>
  <c r="M59" i="5"/>
  <c r="L59" i="5" s="1"/>
  <c r="M58" i="5"/>
  <c r="L58" i="5" s="1"/>
  <c r="M56" i="5"/>
  <c r="L56" i="5"/>
  <c r="M55" i="5"/>
  <c r="L55" i="5" s="1"/>
  <c r="M54" i="5"/>
  <c r="L54" i="5" s="1"/>
  <c r="M53" i="5"/>
  <c r="L53" i="5" s="1"/>
  <c r="M51" i="5"/>
  <c r="L51" i="5" s="1"/>
  <c r="M50" i="5"/>
  <c r="L50" i="5" s="1"/>
  <c r="M49" i="5"/>
  <c r="L49" i="5" s="1"/>
  <c r="M48" i="5"/>
  <c r="L48" i="5" s="1"/>
  <c r="M47" i="5"/>
  <c r="L47" i="5" s="1"/>
  <c r="M45" i="5"/>
  <c r="L45" i="5" s="1"/>
  <c r="M44" i="5"/>
  <c r="L44" i="5" s="1"/>
  <c r="M43" i="5"/>
  <c r="L43" i="5" s="1"/>
  <c r="M40" i="5"/>
  <c r="L40" i="5" s="1"/>
  <c r="M39" i="5"/>
  <c r="L39" i="5" s="1"/>
  <c r="M38" i="5"/>
  <c r="L38" i="5" s="1"/>
  <c r="M37" i="5"/>
  <c r="L37" i="5" s="1"/>
  <c r="M34" i="5"/>
  <c r="L34" i="5" s="1"/>
  <c r="M33" i="5"/>
  <c r="L33" i="5" s="1"/>
  <c r="M32" i="5"/>
  <c r="L32" i="5" s="1"/>
  <c r="M31" i="5"/>
  <c r="L31" i="5" s="1"/>
  <c r="M28" i="5"/>
  <c r="L28" i="5" s="1"/>
  <c r="M27" i="5"/>
  <c r="L27" i="5" s="1"/>
  <c r="M25" i="5"/>
  <c r="L25" i="5" s="1"/>
  <c r="M24" i="5"/>
  <c r="L24" i="5" s="1"/>
  <c r="M22" i="5"/>
  <c r="L22" i="5"/>
  <c r="B2" i="25" l="1"/>
  <c r="B1" i="25"/>
  <c r="L20" i="9"/>
  <c r="G20" i="7"/>
  <c r="G69" i="7" s="1"/>
  <c r="M21" i="5"/>
  <c r="B42" i="20"/>
  <c r="B41" i="20"/>
  <c r="B25" i="12"/>
  <c r="B24" i="12"/>
  <c r="B39" i="10"/>
  <c r="B38" i="10"/>
  <c r="C65" i="9"/>
  <c r="C64" i="9"/>
  <c r="B75" i="7"/>
  <c r="B74" i="7"/>
  <c r="M81" i="5"/>
  <c r="E40" i="10" s="1"/>
  <c r="M80" i="5"/>
  <c r="D29" i="13" s="1"/>
  <c r="A7" i="5"/>
  <c r="A7" i="11" s="1"/>
  <c r="C10" i="5"/>
  <c r="C10" i="9" s="1"/>
  <c r="C11" i="5"/>
  <c r="C11" i="9" s="1"/>
  <c r="C9" i="5"/>
  <c r="B9" i="7" s="1"/>
  <c r="C8" i="5"/>
  <c r="B8" i="7" s="1"/>
  <c r="B7" i="25"/>
  <c r="B2" i="2"/>
  <c r="A3" i="10" s="1"/>
  <c r="C12" i="16"/>
  <c r="A3" i="5"/>
  <c r="M72" i="5"/>
  <c r="M74" i="5" s="1"/>
  <c r="F8" i="9"/>
  <c r="B12" i="7"/>
  <c r="AC17" i="20"/>
  <c r="AB17" i="20"/>
  <c r="B17" i="20" s="1"/>
  <c r="L73" i="5"/>
  <c r="M73" i="5"/>
  <c r="B81" i="5"/>
  <c r="B80" i="5"/>
  <c r="B11" i="15"/>
  <c r="B3" i="2"/>
  <c r="A1" i="9" s="1"/>
  <c r="A1" i="3"/>
  <c r="J24" i="16"/>
  <c r="H1" i="22"/>
  <c r="J24" i="21"/>
  <c r="I24" i="21"/>
  <c r="I1" i="22" s="1"/>
  <c r="K18" i="6"/>
  <c r="G19" i="6" s="1"/>
  <c r="C16" i="11"/>
  <c r="K14" i="11" s="1"/>
  <c r="H2" i="22"/>
  <c r="J25" i="21"/>
  <c r="I25" i="21" s="1"/>
  <c r="I2" i="22" s="1"/>
  <c r="H3" i="22"/>
  <c r="J26" i="21"/>
  <c r="J3" i="22"/>
  <c r="H4" i="22"/>
  <c r="H5" i="22"/>
  <c r="F9" i="21"/>
  <c r="D21" i="21"/>
  <c r="F21" i="21" s="1"/>
  <c r="G26" i="21"/>
  <c r="G3" i="22"/>
  <c r="G27" i="21"/>
  <c r="G4" i="22" s="1"/>
  <c r="G28" i="21"/>
  <c r="G5" i="22" s="1"/>
  <c r="Z1" i="20"/>
  <c r="A8" i="20"/>
  <c r="A9" i="20"/>
  <c r="A10" i="20"/>
  <c r="A11" i="20"/>
  <c r="A12" i="20"/>
  <c r="A13" i="20"/>
  <c r="B21" i="20"/>
  <c r="B22" i="20"/>
  <c r="B23" i="20"/>
  <c r="H23" i="20"/>
  <c r="B24" i="20"/>
  <c r="B25" i="20"/>
  <c r="B29" i="13"/>
  <c r="F6" i="19"/>
  <c r="F16" i="19" s="1"/>
  <c r="D31" i="10" s="1"/>
  <c r="F7" i="19"/>
  <c r="F8" i="19"/>
  <c r="F9" i="19"/>
  <c r="F10" i="19"/>
  <c r="F11" i="19"/>
  <c r="F12" i="19"/>
  <c r="F13" i="19"/>
  <c r="F14" i="19"/>
  <c r="F15" i="19"/>
  <c r="E6" i="18"/>
  <c r="E7" i="18"/>
  <c r="E8" i="18"/>
  <c r="E9" i="18"/>
  <c r="E10" i="18"/>
  <c r="E11" i="18"/>
  <c r="E16" i="18" s="1"/>
  <c r="D28" i="10" s="1"/>
  <c r="D30" i="11" s="1"/>
  <c r="E12" i="18"/>
  <c r="E13" i="18"/>
  <c r="E14" i="18"/>
  <c r="E15" i="18"/>
  <c r="E6" i="17"/>
  <c r="E7" i="17"/>
  <c r="E8" i="17"/>
  <c r="E9" i="17"/>
  <c r="E10" i="17"/>
  <c r="E16" i="17" s="1"/>
  <c r="D25" i="10" s="1"/>
  <c r="D27" i="11" s="1"/>
  <c r="E11" i="17"/>
  <c r="E12" i="17"/>
  <c r="E13" i="17"/>
  <c r="E14" i="17"/>
  <c r="E15" i="17"/>
  <c r="J16" i="16"/>
  <c r="J21" i="16"/>
  <c r="J25" i="16"/>
  <c r="J26" i="16"/>
  <c r="J27" i="16"/>
  <c r="J28" i="16"/>
  <c r="J31" i="16"/>
  <c r="O4" i="15"/>
  <c r="O5" i="15"/>
  <c r="A6" i="15"/>
  <c r="O6" i="15"/>
  <c r="O8" i="15"/>
  <c r="A16" i="15"/>
  <c r="B16" i="15"/>
  <c r="C16" i="15"/>
  <c r="D16" i="15"/>
  <c r="A17" i="15"/>
  <c r="B17" i="15"/>
  <c r="C17" i="15"/>
  <c r="D17" i="15"/>
  <c r="A18" i="15"/>
  <c r="B18" i="15"/>
  <c r="C18" i="15"/>
  <c r="D18" i="15"/>
  <c r="A19" i="15"/>
  <c r="B19" i="15"/>
  <c r="C19" i="15"/>
  <c r="D19" i="15"/>
  <c r="A20" i="15"/>
  <c r="B20" i="15"/>
  <c r="C20" i="15"/>
  <c r="D20" i="15"/>
  <c r="N21" i="15"/>
  <c r="O22" i="15" s="1"/>
  <c r="A6" i="13"/>
  <c r="B15" i="13"/>
  <c r="D22" i="13"/>
  <c r="D26" i="13" s="1"/>
  <c r="A6" i="12"/>
  <c r="A6" i="11"/>
  <c r="C21" i="11"/>
  <c r="C26" i="11"/>
  <c r="A6" i="10"/>
  <c r="G14" i="10"/>
  <c r="K14" i="10"/>
  <c r="G15" i="10"/>
  <c r="G16" i="10"/>
  <c r="G17" i="10"/>
  <c r="A6" i="9"/>
  <c r="S59" i="9"/>
  <c r="A6" i="8"/>
  <c r="A16" i="8"/>
  <c r="B16" i="8"/>
  <c r="C16" i="8"/>
  <c r="D16" i="8"/>
  <c r="A17" i="8"/>
  <c r="A6" i="7"/>
  <c r="A7" i="6"/>
  <c r="B8" i="6"/>
  <c r="B9" i="6"/>
  <c r="B10" i="6"/>
  <c r="B11" i="6"/>
  <c r="A18" i="6"/>
  <c r="B18" i="6"/>
  <c r="C18" i="6"/>
  <c r="D18" i="6"/>
  <c r="E18" i="6"/>
  <c r="H18" i="6"/>
  <c r="B29" i="6"/>
  <c r="B30" i="6"/>
  <c r="G30" i="6"/>
  <c r="G31" i="6"/>
  <c r="Z2" i="20"/>
  <c r="E16" i="8"/>
  <c r="F16" i="8"/>
  <c r="G16" i="8" s="1"/>
  <c r="G17" i="8" s="1"/>
  <c r="M82" i="5"/>
  <c r="I19" i="16" s="1"/>
  <c r="J19" i="16" s="1"/>
  <c r="C23" i="10"/>
  <c r="D20" i="10"/>
  <c r="K20" i="10"/>
  <c r="G22" i="10"/>
  <c r="G23" i="10"/>
  <c r="G24" i="10" s="1"/>
  <c r="G25" i="10" s="1"/>
  <c r="I18" i="16"/>
  <c r="J18" i="16" s="1"/>
  <c r="D8" i="21"/>
  <c r="D10" i="21" s="1"/>
  <c r="F64" i="9"/>
  <c r="B21" i="8"/>
  <c r="F65" i="9"/>
  <c r="B42" i="11"/>
  <c r="C40" i="16"/>
  <c r="B26" i="15"/>
  <c r="D7" i="21"/>
  <c r="F7" i="21" s="1"/>
  <c r="I24" i="16"/>
  <c r="D6" i="21"/>
  <c r="F6" i="21"/>
  <c r="O7" i="15"/>
  <c r="O3" i="15"/>
  <c r="O9" i="15" s="1"/>
  <c r="N17" i="15" s="1"/>
  <c r="K16" i="10"/>
  <c r="C39" i="16"/>
  <c r="B41" i="11"/>
  <c r="B28" i="13"/>
  <c r="B25" i="15"/>
  <c r="B20" i="8"/>
  <c r="B6" i="20"/>
  <c r="AG7" i="20" s="1"/>
  <c r="AG8" i="20" s="1"/>
  <c r="B8" i="13"/>
  <c r="D4" i="21"/>
  <c r="B8" i="11"/>
  <c r="B9" i="11"/>
  <c r="B10" i="13"/>
  <c r="F10" i="9"/>
  <c r="B8" i="15"/>
  <c r="B10" i="11"/>
  <c r="F39" i="20"/>
  <c r="B10" i="15"/>
  <c r="B8" i="8"/>
  <c r="B10" i="8"/>
  <c r="G37" i="16"/>
  <c r="B9" i="15"/>
  <c r="B9" i="13"/>
  <c r="F11" i="9"/>
  <c r="B9" i="8"/>
  <c r="F9" i="9"/>
  <c r="B11" i="11"/>
  <c r="B11" i="8"/>
  <c r="B11" i="13"/>
  <c r="J1" i="22"/>
  <c r="E20" i="15"/>
  <c r="F20" i="15"/>
  <c r="E19" i="15"/>
  <c r="F19" i="15"/>
  <c r="E18" i="15"/>
  <c r="F18" i="15" s="1"/>
  <c r="I26" i="21"/>
  <c r="I3" i="22"/>
  <c r="A3" i="15"/>
  <c r="I22" i="16"/>
  <c r="J22" i="16" s="1"/>
  <c r="I28" i="16"/>
  <c r="C15" i="20"/>
  <c r="F18" i="6"/>
  <c r="G18" i="6" s="1"/>
  <c r="E17" i="15"/>
  <c r="F17" i="15"/>
  <c r="F21" i="15" s="1"/>
  <c r="G22" i="6" s="1"/>
  <c r="A1" i="10"/>
  <c r="A2" i="16"/>
  <c r="A1" i="8"/>
  <c r="A1" i="12"/>
  <c r="J2" i="22"/>
  <c r="A1" i="23"/>
  <c r="A10" i="23"/>
  <c r="B10" i="23" s="1"/>
  <c r="D10" i="23" s="1"/>
  <c r="A7" i="23"/>
  <c r="B7" i="23" s="1"/>
  <c r="D7" i="23" s="1"/>
  <c r="A11" i="23"/>
  <c r="B11" i="23" s="1"/>
  <c r="D11" i="23" s="1"/>
  <c r="A8" i="23"/>
  <c r="B8" i="23" s="1"/>
  <c r="D8" i="23" s="1"/>
  <c r="A6" i="23"/>
  <c r="B6" i="23" s="1"/>
  <c r="A9" i="23"/>
  <c r="B9" i="23"/>
  <c r="D9" i="23" s="1"/>
  <c r="A4" i="23"/>
  <c r="D17" i="21" l="1"/>
  <c r="L27" i="21" s="1"/>
  <c r="D33" i="11"/>
  <c r="D18" i="21"/>
  <c r="L28" i="21" s="1"/>
  <c r="L21" i="5"/>
  <c r="D14" i="12"/>
  <c r="F8" i="21"/>
  <c r="F10" i="21" s="1"/>
  <c r="K20" i="9"/>
  <c r="K59" i="9" s="1"/>
  <c r="D17" i="10" s="1"/>
  <c r="G25" i="21" s="1"/>
  <c r="G2" i="22" s="1"/>
  <c r="L59" i="9"/>
  <c r="D18" i="12" s="1"/>
  <c r="I20" i="16"/>
  <c r="J20" i="16" s="1"/>
  <c r="E42" i="11"/>
  <c r="F39" i="16"/>
  <c r="B11" i="7"/>
  <c r="B11" i="12"/>
  <c r="F26" i="15"/>
  <c r="F41" i="20"/>
  <c r="D25" i="12"/>
  <c r="A7" i="13"/>
  <c r="C8" i="9"/>
  <c r="A7" i="15"/>
  <c r="A7" i="7"/>
  <c r="E39" i="10"/>
  <c r="L72" i="5"/>
  <c r="L74" i="5" s="1"/>
  <c r="D19" i="10" s="1"/>
  <c r="B8" i="10"/>
  <c r="B9" i="12"/>
  <c r="G74" i="7"/>
  <c r="B11" i="10"/>
  <c r="G21" i="8"/>
  <c r="L64" i="9"/>
  <c r="B10" i="7"/>
  <c r="B10" i="10"/>
  <c r="B10" i="12"/>
  <c r="F27" i="15"/>
  <c r="G20" i="6"/>
  <c r="G21" i="6" s="1"/>
  <c r="G23" i="6" s="1"/>
  <c r="L65" i="9"/>
  <c r="A7" i="10"/>
  <c r="B8" i="12"/>
  <c r="A7" i="12"/>
  <c r="A7" i="8"/>
  <c r="I25" i="16"/>
  <c r="F40" i="16"/>
  <c r="A7" i="9"/>
  <c r="C9" i="9"/>
  <c r="AG9" i="20"/>
  <c r="F31" i="21"/>
  <c r="F32" i="21" s="1"/>
  <c r="F14" i="21" s="1"/>
  <c r="F42" i="20"/>
  <c r="AG6" i="20"/>
  <c r="B9" i="10"/>
  <c r="D26" i="12"/>
  <c r="G75" i="7"/>
  <c r="G22" i="8"/>
  <c r="D14" i="11"/>
  <c r="E43" i="11"/>
  <c r="D30" i="13"/>
  <c r="A3" i="12"/>
  <c r="A3" i="8"/>
  <c r="A3" i="7"/>
  <c r="A3" i="13"/>
  <c r="A3" i="9"/>
  <c r="A43" i="21"/>
  <c r="A3" i="11"/>
  <c r="A3" i="6"/>
  <c r="A1" i="6"/>
  <c r="A1" i="15"/>
  <c r="A1" i="5"/>
  <c r="A1" i="13"/>
  <c r="A1" i="7"/>
  <c r="A1" i="11"/>
  <c r="A1" i="20"/>
  <c r="D15" i="10" l="1"/>
  <c r="F36" i="21"/>
  <c r="F18" i="21" s="1"/>
  <c r="L5" i="22"/>
  <c r="K28" i="21"/>
  <c r="K27" i="21"/>
  <c r="L4" i="22"/>
  <c r="H11" i="21"/>
  <c r="D11" i="21" s="1"/>
  <c r="F11" i="21" s="1"/>
  <c r="F12" i="21" s="1"/>
  <c r="I31" i="16"/>
  <c r="D16" i="12"/>
  <c r="I29" i="16"/>
  <c r="J29" i="16" s="1"/>
  <c r="I26" i="16"/>
  <c r="I15" i="16"/>
  <c r="J15" i="16" s="1"/>
  <c r="O19" i="16" s="1"/>
  <c r="S15" i="5" s="1"/>
  <c r="I16" i="16"/>
  <c r="D36" i="11"/>
  <c r="D14" i="21"/>
  <c r="D34" i="10" l="1"/>
  <c r="D20" i="12" s="1"/>
  <c r="D22" i="12" s="1"/>
  <c r="F22" i="12" s="1"/>
  <c r="G24" i="21"/>
  <c r="G1" i="22" s="1"/>
  <c r="B27" i="21"/>
  <c r="K4" i="22"/>
  <c r="D7" i="22" s="1"/>
  <c r="K5" i="22"/>
  <c r="D8" i="22" s="1"/>
  <c r="B28" i="21"/>
  <c r="D12" i="21"/>
  <c r="O18" i="16"/>
  <c r="S14" i="5" s="1"/>
  <c r="C19" i="11" s="1"/>
  <c r="C20" i="11" s="1"/>
  <c r="D17" i="11" s="1"/>
  <c r="K17" i="11" s="1"/>
  <c r="O22" i="16"/>
  <c r="D19" i="13" s="1"/>
  <c r="O20" i="16"/>
  <c r="D17" i="13" s="1"/>
  <c r="D19" i="21"/>
  <c r="D20" i="21" s="1"/>
  <c r="L24" i="21"/>
  <c r="I15" i="7" l="1"/>
  <c r="D15" i="21"/>
  <c r="L25" i="21" s="1"/>
  <c r="K25" i="21" s="1"/>
  <c r="D15" i="13"/>
  <c r="D25" i="13" s="1"/>
  <c r="D21" i="13"/>
  <c r="C24" i="11"/>
  <c r="C25" i="11" s="1"/>
  <c r="D22" i="11" s="1"/>
  <c r="D16" i="21" s="1"/>
  <c r="L26" i="21" s="1"/>
  <c r="D33" i="21"/>
  <c r="F33" i="21" s="1"/>
  <c r="K24" i="21"/>
  <c r="L1" i="22"/>
  <c r="K22" i="11" l="1"/>
  <c r="L2" i="22"/>
  <c r="F34" i="21"/>
  <c r="F35" i="21"/>
  <c r="F16" i="21" s="1"/>
  <c r="B25" i="21"/>
  <c r="K2" i="22"/>
  <c r="K26" i="21"/>
  <c r="L3" i="22"/>
  <c r="K1" i="22"/>
  <c r="D4" i="22" s="1"/>
  <c r="B24" i="21"/>
  <c r="D5" i="22" l="1"/>
  <c r="F15" i="21"/>
  <c r="F19" i="21" s="1"/>
  <c r="F20" i="21" s="1"/>
  <c r="F37" i="21"/>
  <c r="F38" i="21" s="1"/>
  <c r="F17" i="21" s="1"/>
  <c r="B26" i="21"/>
  <c r="K3" i="22"/>
  <c r="D6" i="22" s="1"/>
</calcChain>
</file>

<file path=xl/sharedStrings.xml><?xml version="1.0" encoding="utf-8"?>
<sst xmlns="http://schemas.openxmlformats.org/spreadsheetml/2006/main" count="1296" uniqueCount="624">
  <si>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</si>
  <si>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</si>
  <si>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</si>
  <si>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</si>
  <si>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</si>
  <si>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</si>
  <si>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</si>
  <si>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</si>
  <si>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</si>
  <si>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</si>
  <si>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</si>
  <si>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</si>
  <si>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</si>
  <si>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</si>
  <si>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</si>
  <si>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</si>
  <si>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</si>
  <si>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</si>
  <si>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</si>
  <si>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</si>
  <si>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</si>
  <si>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</si>
  <si>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</si>
  <si>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</si>
  <si>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</si>
  <si>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</si>
  <si>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</si>
  <si>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</si>
  <si>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</si>
  <si>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</si>
  <si>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</si>
  <si>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</si>
  <si>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</si>
  <si>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</si>
  <si>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</si>
  <si>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</si>
  <si>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</si>
  <si>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</si>
  <si>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</si>
  <si>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</si>
  <si>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</si>
  <si>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</si>
  <si>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</si>
  <si>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</si>
  <si>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</si>
  <si>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</si>
  <si>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</si>
  <si>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</si>
  <si>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</si>
  <si>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</si>
  <si>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</si>
  <si>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</si>
  <si>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</si>
  <si>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</si>
  <si>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</si>
  <si>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</si>
  <si>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</si>
  <si>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</si>
  <si>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</si>
  <si>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</si>
  <si>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</si>
  <si>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</si>
  <si>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</si>
  <si>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</si>
  <si>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</si>
  <si>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</si>
  <si>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</si>
  <si>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</si>
  <si>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</si>
  <si>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</si>
  <si>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</si>
  <si>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</si>
  <si>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</si>
  <si>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</si>
  <si>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</si>
  <si>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</si>
  <si>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</si>
  <si>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</si>
  <si>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</si>
  <si>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</si>
  <si>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</si>
  <si>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</si>
  <si>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</si>
  <si>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</si>
  <si>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</si>
  <si>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</si>
  <si>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</si>
  <si>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</si>
  <si>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</si>
  <si>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</si>
  <si>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</si>
  <si>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</si>
  <si>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</si>
  <si>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</si>
  <si>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</si>
  <si>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</si>
  <si>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</si>
  <si>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</si>
  <si>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</si>
  <si>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</si>
  <si>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</si>
  <si>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</si>
  <si>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</si>
  <si>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</si>
  <si>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</si>
  <si>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</si>
  <si>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</si>
  <si>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</si>
  <si>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</si>
  <si>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</si>
  <si>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</si>
  <si>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</si>
  <si>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</si>
  <si>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</si>
  <si>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</si>
  <si>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</si>
  <si>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</si>
  <si>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</si>
  <si>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</si>
  <si>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</si>
  <si>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</si>
  <si>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</si>
  <si>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</si>
  <si>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</si>
  <si>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</si>
  <si>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</si>
  <si>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</si>
  <si>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</si>
  <si>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</si>
  <si>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</si>
  <si>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 xml:space="preserve">This letter of discount is optional. Bidder may / may not offer any discount. </t>
  </si>
  <si>
    <t>After Discount</t>
  </si>
  <si>
    <t>Sales Tax</t>
  </si>
  <si>
    <t>Vat</t>
  </si>
  <si>
    <t>Discount Sche-7</t>
  </si>
  <si>
    <t>Enter following details of the bidder</t>
  </si>
  <si>
    <t xml:space="preserve">Printed Name </t>
  </si>
  <si>
    <t>Designation</t>
  </si>
  <si>
    <t>Schedule-1 : Ex works prices (Direct Only)</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</si>
  <si>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</si>
  <si>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</si>
  <si>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</si>
  <si>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</si>
  <si>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</si>
  <si>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</si>
  <si>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</si>
  <si>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</si>
  <si>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</si>
  <si>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</si>
  <si>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Name of Package</t>
  </si>
  <si>
    <t>Enter basic data here</t>
  </si>
  <si>
    <t>Package Code</t>
  </si>
  <si>
    <t>Specification No.</t>
  </si>
  <si>
    <t>Item Description</t>
  </si>
  <si>
    <t>Type Tests</t>
  </si>
  <si>
    <t>Nos of tests</t>
  </si>
  <si>
    <t>Quantity in km.</t>
  </si>
  <si>
    <t>(a)</t>
  </si>
  <si>
    <t>(b)</t>
  </si>
  <si>
    <t>(d)</t>
  </si>
  <si>
    <t>(c)</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</si>
  <si>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</si>
  <si>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</si>
  <si>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</si>
  <si>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Bidder’s Name and Address</t>
  </si>
  <si>
    <t>Type &amp; Designation</t>
  </si>
  <si>
    <t>7 = 5 x 6</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</si>
  <si>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</si>
  <si>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</si>
  <si>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</si>
  <si>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</si>
  <si>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</si>
  <si>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</si>
  <si>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</si>
  <si>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</si>
  <si>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 xml:space="preserve">UTS test on stranded  conductor </t>
  </si>
  <si>
    <t xml:space="preserve">DC resistance test on stranded conductor </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</si>
  <si>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</si>
  <si>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</si>
  <si>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</si>
  <si>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</si>
  <si>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</si>
  <si>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</si>
  <si>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</si>
  <si>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</si>
  <si>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</si>
  <si>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</si>
  <si>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</si>
  <si>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Nos.</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</si>
  <si>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</si>
  <si>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</si>
  <si>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</si>
  <si>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</si>
  <si>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</si>
  <si>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</si>
  <si>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</si>
  <si>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</si>
  <si>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</si>
  <si>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</si>
  <si>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</si>
  <si>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</si>
  <si>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</si>
  <si>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</si>
  <si>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</si>
  <si>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</si>
  <si>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</si>
  <si>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</si>
  <si>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</si>
  <si>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</si>
  <si>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</si>
  <si>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 xml:space="preserve">Local Transportation, Insurance and other Incidental Services </t>
  </si>
  <si>
    <t>Installation Charges</t>
  </si>
  <si>
    <t>5</t>
  </si>
  <si>
    <t>Taxes and Duties</t>
  </si>
  <si>
    <t>6</t>
  </si>
  <si>
    <t>Item  Description</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</si>
  <si>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</si>
  <si>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</si>
  <si>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</si>
  <si>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</si>
  <si>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</si>
  <si>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</si>
  <si>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</si>
  <si>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</si>
  <si>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</si>
  <si>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</si>
  <si>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</si>
  <si>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</si>
  <si>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</si>
  <si>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</si>
  <si>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</si>
  <si>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</si>
  <si>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</si>
  <si>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</si>
  <si>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</si>
  <si>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</si>
  <si>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</si>
  <si>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</si>
  <si>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</si>
  <si>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</si>
  <si>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</si>
  <si>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</si>
  <si>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</si>
  <si>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</si>
  <si>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</si>
  <si>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</si>
  <si>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</si>
  <si>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</si>
  <si>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</si>
  <si>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</si>
  <si>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</si>
  <si>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</si>
  <si>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</si>
  <si>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</si>
  <si>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</si>
  <si>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</si>
  <si>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</si>
  <si>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</si>
  <si>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</si>
  <si>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</si>
  <si>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</si>
  <si>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</si>
  <si>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</si>
  <si>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</si>
  <si>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</si>
  <si>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</si>
  <si>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</si>
  <si>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</si>
  <si>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</si>
  <si>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</si>
  <si>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</si>
  <si>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</si>
  <si>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</si>
  <si>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</si>
  <si>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</si>
  <si>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</si>
  <si>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</si>
  <si>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</si>
  <si>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</si>
  <si>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</si>
  <si>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</si>
  <si>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</si>
  <si>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</si>
  <si>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</si>
  <si>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</si>
  <si>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</si>
  <si>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</si>
  <si>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</si>
  <si>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</si>
  <si>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</si>
  <si>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</si>
  <si>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</si>
  <si>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</si>
  <si>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</si>
  <si>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</si>
  <si>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</si>
  <si>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</si>
  <si>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</si>
  <si>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</si>
  <si>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</si>
  <si>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</si>
  <si>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</si>
  <si>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</si>
  <si>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</si>
  <si>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</si>
  <si>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</si>
  <si>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</si>
  <si>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</si>
  <si>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</si>
  <si>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</si>
  <si>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</si>
  <si>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Grand Summary [Schedule 1 to 4]</t>
  </si>
  <si>
    <t>Total Type Test charges as per Schedule-6</t>
  </si>
  <si>
    <t>Bought Out</t>
  </si>
  <si>
    <t xml:space="preserve">to be paid extra at actual </t>
  </si>
  <si>
    <t>Click here for details of Octroi</t>
  </si>
  <si>
    <t>Click here for details of Entry Taxes</t>
  </si>
  <si>
    <t>TOTAL SCHEDULE NO. 6</t>
  </si>
  <si>
    <t>All the cells in Sch-5 are auto filled, therefore no cell is required to be filled up there.</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</si>
  <si>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</si>
  <si>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Percent (%)</t>
    </r>
  </si>
  <si>
    <t>Schedule-6 : Type Test Charges</t>
  </si>
  <si>
    <t>Eq Weightage of Rs/ %</t>
  </si>
  <si>
    <t>Final Discount Factor</t>
  </si>
  <si>
    <t>Click here for details of Other Taxes &amp; Duties</t>
  </si>
  <si>
    <t>GRAND TOTAL [1+2+3+4]</t>
  </si>
  <si>
    <t>Schedule - 5 After Discount</t>
  </si>
  <si>
    <t>Place      :</t>
  </si>
  <si>
    <t xml:space="preserve">Date      : </t>
  </si>
  <si>
    <t>Total Octroi as applicable for destination site/state on all items of supply, as per the provisions of the Bidding Documents, on all items of Schedule 1.</t>
  </si>
  <si>
    <t>Total Entry Tax as applicable for destination site/state on all items of supply, as per the provisions of the Bidding Documents, on all items of Schedule 1.</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</si>
  <si>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</si>
  <si>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</si>
  <si>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</si>
  <si>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</si>
  <si>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</si>
  <si>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</si>
  <si>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</si>
  <si>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</si>
  <si>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</si>
  <si>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</si>
  <si>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</si>
  <si>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</si>
  <si>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</si>
  <si>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</si>
  <si>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</si>
  <si>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</si>
  <si>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</si>
  <si>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</si>
  <si>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</si>
  <si>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</si>
  <si>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</si>
  <si>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</si>
  <si>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</si>
  <si>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</si>
  <si>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</si>
  <si>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</si>
  <si>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</si>
  <si>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</si>
  <si>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</si>
  <si>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</si>
  <si>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</si>
  <si>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</si>
  <si>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</si>
  <si>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</si>
  <si>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</si>
  <si>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</si>
  <si>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</si>
  <si>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</si>
  <si>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</si>
  <si>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</si>
  <si>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</si>
  <si>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</si>
  <si>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</si>
  <si>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</si>
  <si>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</si>
  <si>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</si>
  <si>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</si>
  <si>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</si>
  <si>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</si>
  <si>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</si>
  <si>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</si>
  <si>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</si>
  <si>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</si>
  <si>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</si>
  <si>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</si>
  <si>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</si>
  <si>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</si>
  <si>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</si>
  <si>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</si>
  <si>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</si>
  <si>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</si>
  <si>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</si>
  <si>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</si>
  <si>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</si>
  <si>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</si>
  <si>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</si>
  <si>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</si>
  <si>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</si>
  <si>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</si>
  <si>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</si>
  <si>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</si>
  <si>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Discount(s) offered at sl. No. 1 to 4 will automatically get displayed and accounted for in the respective items of the Schedules.</t>
  </si>
  <si>
    <t>We hereby offer Multi-package discount as given below:</t>
  </si>
  <si>
    <t xml:space="preserve">Corona extinction voltage test on hex bundle (dry) </t>
  </si>
  <si>
    <t xml:space="preserve">Radio interference voltage test on hex bundle (dry) </t>
  </si>
  <si>
    <t>Total VAT for direct transaction between the Contractor and the Purchaser (identified in Schedule 1 as 'Direct') which are not included in the Ex-works price as per the provision of the Bidding Documents, as applicable</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</si>
  <si>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supply goods as per provision of Technical Specification) under the above-named package in full conformity with the said Bidding Documents for the sum of Rs. </t>
  </si>
  <si>
    <t xml:space="preserve">POWER GRID CORPORATION OF INDIA LIMITED, </t>
  </si>
  <si>
    <t>Happy Bidding !</t>
  </si>
  <si>
    <t>* * *</t>
  </si>
  <si>
    <t>Fill up additional information as required.</t>
  </si>
  <si>
    <t>●</t>
  </si>
  <si>
    <t>Fill up ref. no. as bidder's ref no. of this letter.</t>
  </si>
  <si>
    <r>
      <t>Bid from 2</t>
    </r>
    <r>
      <rPr>
        <b/>
        <vertAlign val="superscript"/>
        <sz val="12"/>
        <color indexed="12"/>
        <rFont val="Book Antiqua"/>
        <family val="1"/>
      </rPr>
      <t>nd</t>
    </r>
    <r>
      <rPr>
        <b/>
        <sz val="12"/>
        <color indexed="12"/>
        <rFont val="Book Antiqua"/>
        <family val="1"/>
      </rPr>
      <t xml:space="preserve"> Envelope :</t>
    </r>
  </si>
  <si>
    <t>No cell is required to be filled in by the bidder in this worksheet.</t>
  </si>
  <si>
    <t>Total amount shall get calculated automatically.</t>
  </si>
  <si>
    <t>Fill up unit rates for all the items in numeric values greater than 0 (zero). If unit rate is left blank, the corresponding item shall be deemed to be included in the total price.</t>
  </si>
  <si>
    <t>Sch-2 (Freight &amp; Insurance Charges) :</t>
  </si>
  <si>
    <t>Sch-1 (Ex-works Prices) :</t>
  </si>
  <si>
    <t>Click for Sch-1 given at the right top of the worksheet to go to Sch-1.</t>
  </si>
  <si>
    <t>Fill up date in dd-mm-yyyy format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</si>
  <si>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</si>
  <si>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Select nos. of the JV Partners other than the Lead Partner from drop down menu.</t>
  </si>
  <si>
    <t>Names of Bidder :</t>
  </si>
  <si>
    <t>Opening page of the workbook.</t>
  </si>
  <si>
    <t xml:space="preserve">Cover : </t>
  </si>
  <si>
    <t>This Workbook consists of following worksheets :</t>
  </si>
  <si>
    <t>II</t>
  </si>
  <si>
    <t>Do not reformat any of the cell of the work book.</t>
  </si>
  <si>
    <t>(vi)</t>
  </si>
  <si>
    <t>Do not use copy &amp; paste or cut &amp; paste options for filling up the data.</t>
  </si>
  <si>
    <t>(v)</t>
  </si>
  <si>
    <t>Do not link any cell of this work book with any other work book.</t>
  </si>
  <si>
    <t>(iv)</t>
  </si>
  <si>
    <t>Select only the options provided in pull down menus.</t>
  </si>
  <si>
    <t>(iii)</t>
  </si>
  <si>
    <t>Certain data type entries have been restricted, such as Numeric values or limits of numeric values.</t>
  </si>
  <si>
    <t>(ii)</t>
  </si>
  <si>
    <t>Fill up only green shaded cells.</t>
  </si>
  <si>
    <t>(i)</t>
  </si>
  <si>
    <t>While filling up the worksheets following may please be observed :</t>
  </si>
  <si>
    <t>I</t>
  </si>
  <si>
    <t>Select Orignal Equipment Manufacturer, or Authorised Dealer of Manufacturer, or Authorised Distributor of Manufacturer orAuthorised Indian Representative of Manufacturer from the pull down menu. Do not leave this cell blank.</t>
  </si>
  <si>
    <t>Fill up names and address of the Bidder and /or Manufacturer</t>
  </si>
  <si>
    <t>The reimbursement of Excise Duty, Sales Tax/VAT and other levies as per Sl. No. 1, 2 &amp; 3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</si>
  <si>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Light Weight T&amp;P</t>
  </si>
  <si>
    <t>NOT APPLICABLE</t>
  </si>
  <si>
    <t>To be paid by POWERGRID directly to Sales Tax Authority</t>
  </si>
  <si>
    <t>Sch-4 (Summary of Taxes and Duties applicable on the Goods) :</t>
  </si>
  <si>
    <t>Sch -5 :</t>
  </si>
  <si>
    <t>Goods to be supplied</t>
  </si>
  <si>
    <t>ODISHA PROJECTS</t>
  </si>
  <si>
    <t>PLOT NO.-4, UNIT-41, NILADRI VIHAR</t>
  </si>
  <si>
    <t>CHANDRASHEKHARPUR, BHUBANESWAR-751021</t>
  </si>
  <si>
    <t>DY.GENERAL MANAGER(C&amp;M)</t>
  </si>
  <si>
    <t>Mode of Transaction (Direct/Bought out)</t>
  </si>
  <si>
    <t xml:space="preserve">HSN Code </t>
  </si>
  <si>
    <t xml:space="preserve">Unit Ex-works price
(excluding GST)
</t>
  </si>
  <si>
    <t xml:space="preserve">Total Ex-works price
(excluding GST)
</t>
  </si>
  <si>
    <t># In case the bidder leaves the cell for confirmation of the HSN code and/or  GST rate  “blank”,  the HSN code and corresponding GST rate indicated by the Employer shall be deemed to be the one confirmed by the Bidder.</t>
  </si>
  <si>
    <t xml:space="preserve">Note :  *Specify amount of GST on the transaction between the Supplier and the Purchaser, separately in Schedule-4. </t>
  </si>
  <si>
    <t>(SCHEDULE OF RATES AND PRICES : Goods to be supplied, including Type Test Charges for Tests to be conducted)</t>
  </si>
  <si>
    <t>(SCHEDULE OF RATES AND PRICES : Local Transportation, In-transit Insurance and loading)</t>
  </si>
  <si>
    <t>All Prices are in Indian Rupees.</t>
  </si>
  <si>
    <t>Rate of GST applicable 
( in %)</t>
  </si>
  <si>
    <t xml:space="preserve">Unit Freight, In –transit Insurance &amp; loading Charges </t>
  </si>
  <si>
    <t xml:space="preserve">Total Freight, In –transit Insurance &amp; loading Charges </t>
  </si>
  <si>
    <t>TOTAL</t>
  </si>
  <si>
    <t>(SCHEDULE OF RATES AND PRICES :Supervision Charges)</t>
  </si>
  <si>
    <t>Unit Supervision Charges</t>
  </si>
  <si>
    <t>Total Supervision Charges</t>
  </si>
  <si>
    <t xml:space="preserve">SAC
(Service Accounting Codes)
</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</si>
  <si>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</si>
  <si>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</si>
  <si>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for Supervision Charges, if, any between the Contractor and the Employer (identified in Schedule 3') which are not included in the Supervision Charges as per the provision of the Bidding Documents, as applicable.</t>
  </si>
  <si>
    <t>TOTAL GST ON SERVICES</t>
  </si>
  <si>
    <t>GRAND TOTAL [1+2]</t>
  </si>
  <si>
    <t xml:space="preserve">Ex-works price of Plant and Equipment including Type Test Charges </t>
  </si>
  <si>
    <t>Local Transportation, In-transit Insurance, loading and unloading</t>
  </si>
  <si>
    <t>Confirmed</t>
  </si>
  <si>
    <t>Local Transportation, In-Transit Insurance and Loading.</t>
  </si>
  <si>
    <t>Taxes and Duties not included in Schedule 1 to 3</t>
  </si>
  <si>
    <t>We declare that as specified in Clause 11.5, Section –II: ITB, Vol.-I of the Bidding Documents, prices quoted by us in the Price Schedules shall be subject to Price Adjustment during the execution of Contract in accordance with Appendix-2 (Price Adjustment) to the Contract Agreement.</t>
  </si>
  <si>
    <t xml:space="preserve">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 </t>
  </si>
  <si>
    <t xml:space="preserve">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</si>
  <si>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</si>
  <si>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</si>
  <si>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GST Amount</t>
  </si>
  <si>
    <t>We confirm that we have also registered/we shall also get registered in the GST Network with a GSTIN , in all the states from which we shall make our supply of goods.</t>
  </si>
  <si>
    <r>
      <t xml:space="preserve">100% of applicable Taxes and Duties i.e </t>
    </r>
    <r>
      <rPr>
        <b/>
        <sz val="12"/>
        <rFont val="Book Antiqua"/>
        <family val="1"/>
      </rPr>
      <t>GST</t>
    </r>
    <r>
      <rPr>
        <sz val="12"/>
        <rFont val="Book Antiqua"/>
        <family val="1"/>
      </rPr>
      <t>, which are payable by the Purchaser under the Contract, shall be reimbursed by the Purchaser on production of satisfactory documentary evidence by the Supplier in accordance with the provisions of the Bidding Documents.</t>
    </r>
  </si>
  <si>
    <t xml:space="preserve">Summary of GST quoted on all items in Schedule 1 &amp; Schedule 3 shall be displayed automatically. </t>
  </si>
  <si>
    <t>This letter shall consider the total price as per Grand Summary (Schedule-5).</t>
  </si>
  <si>
    <t>Total amount including GST, taxes, duties etc. shall be calculated and dislayed automatically.</t>
  </si>
  <si>
    <t>Unit rates of the items shall be inclusive of all duties, levies, cess etc. excluding GST. GST shall be applicable on transaction between Employer and Contractor. Employer will not pay any GST on transaction between Contractor and sub-vendors.</t>
  </si>
  <si>
    <t>Whether HSN in column ‘4’ is confirmed. If not  indicate applicable the HSN code #</t>
  </si>
  <si>
    <t>Select from Drop-down menu. Whether  rate of GST in column ‘6’ is confirmed. If not  indicate applicable rate of GST #</t>
  </si>
  <si>
    <t>Whether SAC in column ‘4’ is confirmed. If not  indicate applicable the SAC #</t>
  </si>
  <si>
    <r>
      <t xml:space="preserve">We further understand that notwithstanding 3.0 above, in case of award on us, you shall also bear and pay/reimburse to us, </t>
    </r>
    <r>
      <rPr>
        <b/>
        <sz val="12"/>
        <rFont val="Book Antiqua"/>
        <family val="1"/>
      </rPr>
      <t>GST applicable on supplies</t>
    </r>
    <r>
      <rPr>
        <sz val="12"/>
        <rFont val="Book Antiqua"/>
        <family val="1"/>
      </rPr>
      <t xml:space="preserve"> by us to you, imposed on the Goods including  Type Test charges for Type test to be conducted specified in Schedule No. 1,  of the Price Schedule in this Second Envelope ; by the Indian Laws. </t>
    </r>
  </si>
  <si>
    <t>Material Code</t>
  </si>
  <si>
    <t>Service Activity Number</t>
  </si>
  <si>
    <t># In case the bidder leaves the cell for confirmation of the SAC code and/or  GST rate  “blank”,  the SAC code and corresponding GST rate indicated by the Employer shall be deemed to be the one confirmed by the Bidder.</t>
  </si>
  <si>
    <t>GROUP-III TOTAL:</t>
  </si>
  <si>
    <t xml:space="preserve">Date : </t>
  </si>
  <si>
    <t>Name :</t>
  </si>
  <si>
    <t>Buy-Back price of the Old Isolator &amp; Earth switch MoM boxes (420 kV  or 245 kV)</t>
  </si>
  <si>
    <t>BUY-BACK</t>
  </si>
  <si>
    <t xml:space="preserve">B </t>
  </si>
  <si>
    <t xml:space="preserve"> TOTAL (B)</t>
  </si>
  <si>
    <t>TOTAL GST ON BUY-BACK</t>
  </si>
  <si>
    <t>Total GST for Buy-Back</t>
  </si>
  <si>
    <t>SERVICES PORTION</t>
  </si>
  <si>
    <t xml:space="preserve"> TOTAL</t>
  </si>
  <si>
    <t>Sch-3 (Service (Installation &amp; commissioning)  Charges) :</t>
  </si>
  <si>
    <t>Service (Installation &amp; commissioning)  Charges</t>
  </si>
  <si>
    <t>Service (Installation &amp; commissioning) Charges</t>
  </si>
  <si>
    <t>Make &amp; Model</t>
  </si>
  <si>
    <t>Sch-6 (Buy Back Charges) :</t>
  </si>
  <si>
    <t>Specify type of Bidder         [Select from drop down menu]</t>
  </si>
  <si>
    <t>Name of the Bidder</t>
  </si>
  <si>
    <t>Address of Bidder</t>
  </si>
  <si>
    <t>KM</t>
  </si>
  <si>
    <t>MT</t>
  </si>
  <si>
    <t>Sr. GENERAL MANAGER(C&amp;M)</t>
  </si>
  <si>
    <t>Fill up only green shaded cells in Sch-1, Sch-2 &amp; Sch-3.</t>
  </si>
  <si>
    <t>Supply of earthing of towers</t>
  </si>
  <si>
    <t>Pipe Type</t>
  </si>
  <si>
    <t>Danger  Plate</t>
  </si>
  <si>
    <t>Number  Plate</t>
  </si>
  <si>
    <t>Earthwire Accessories for 7/3.66mm Earthwire</t>
  </si>
  <si>
    <t>SET</t>
  </si>
  <si>
    <t>NOS.</t>
  </si>
  <si>
    <t>SURVEY</t>
  </si>
  <si>
    <t>Excavation in various types of soils</t>
  </si>
  <si>
    <t>Concreting (1:1.5:3)</t>
  </si>
  <si>
    <t>Lean Concrete (1:3:6)</t>
  </si>
  <si>
    <t>Anti-Climbing Devices</t>
  </si>
  <si>
    <t>Supply &amp; Services contract for Diversion/Modification of 400kV S/C Rengali-Indravati Transmission Line near Bhawanipatna for Construction of NH Bypass Road (Deposit Work on Behalf of NHAI).</t>
  </si>
  <si>
    <t>ODP/BB/C&amp;M-3524/OT-20/RFx No. 5002003084/23-24</t>
  </si>
  <si>
    <t>Diversion/Modification of 400kV S/C Rengali-Indravati Transmission Line near Bhawanipatna for Construction of NH Bypass Road (Deposit Work on Behalf of NHAI).</t>
  </si>
  <si>
    <t>NORMAL TOWERS</t>
  </si>
  <si>
    <t>Fabrication, galvanising &amp; supply of various types of towers &amp; tower parts, tower/leg extensions (complete) excluding stubs and bolts &amp; nuts but including hangers, D-Shackles, pack washers etc.</t>
  </si>
  <si>
    <t>HT Steel</t>
  </si>
  <si>
    <t>MS Steel</t>
  </si>
  <si>
    <t>Fabrication, galvanising &amp; supply of stubs with cleats for various types of towers and tower extensions (complete) with pack washers excluding supply of bolts &amp; nuts</t>
  </si>
  <si>
    <t>Supply of Bolts &amp; Nuts for towers and tower extensions including Step Bolts, Spring Washers etc.</t>
  </si>
  <si>
    <t>Hexagonal Bolts and Nuts including step bolts and spring washers for tower &amp; tower extensions</t>
  </si>
  <si>
    <t>Hexagonal Bolts and nuts including washers for Stubs</t>
  </si>
  <si>
    <t>EARTHING OF TOWERS</t>
  </si>
  <si>
    <t>Rod Earthing</t>
  </si>
  <si>
    <t>Counter poise</t>
  </si>
  <si>
    <t>Shieldwire Earthing incl. PG Clamps, Downlead clamps but excl. Earthwire bits i.e. shield wire earthing (pipe type) shall be as additional for items i.e. earthing of towers (pipe type)</t>
  </si>
  <si>
    <t>TOWER ACCESSORIES</t>
  </si>
  <si>
    <t>Supply of following tower accessories</t>
  </si>
  <si>
    <t>Phase Plate (Set of three)</t>
  </si>
  <si>
    <t xml:space="preserve">SUPPLY OF HARDWAR FITTINGS </t>
  </si>
  <si>
    <t>Hardware Fittings for 400kV AC with ACSR TWIN Moose Conductor</t>
  </si>
  <si>
    <t xml:space="preserve">Single "I" suspension fitting for PILOT string  including Counter weight (Suitable for 1x23, 120 kN Composite Long Rod Insulators s) </t>
  </si>
  <si>
    <t xml:space="preserve">Double Tension insulator fitting (Suitable for 2x23, 160 kN Composite Long Rod Insulators ) </t>
  </si>
  <si>
    <t>Balancing Weight for Single I Suspension Pilot Insulator string of 50kg Each</t>
  </si>
  <si>
    <t>Conductor Accessories for ACSR TWIN Moose</t>
  </si>
  <si>
    <t>Mid span comp. joint for ACSR Moose conductor</t>
  </si>
  <si>
    <t>Repair sleeve for  ACSR Moose conductor</t>
  </si>
  <si>
    <t>Vibration damper for  ACSR Moose conductor</t>
  </si>
  <si>
    <t>Twin Bundle spacer cum damper for  ACSR Moose conductor</t>
  </si>
  <si>
    <t>Twin Rigid Spacer for jumper for ACSR Moose conductor</t>
  </si>
  <si>
    <t xml:space="preserve">Mid Span Compression Joint </t>
  </si>
  <si>
    <t xml:space="preserve">Flexible Cupper Bond </t>
  </si>
  <si>
    <t xml:space="preserve">Vibration damper </t>
  </si>
  <si>
    <t>Tension clamp</t>
  </si>
  <si>
    <t>OPGW &amp; Accessories</t>
  </si>
  <si>
    <t xml:space="preserve">24 Fibre (DWSM) OPGW fibre optic cable </t>
  </si>
  <si>
    <t>Tension Passing through assembly</t>
  </si>
  <si>
    <t>Splicing-24F OPGW</t>
  </si>
  <si>
    <t>Secial fitting assembly at suspension tower(For joint box location)</t>
  </si>
  <si>
    <t>Vibration Damper suitable for 24F OPGW</t>
  </si>
  <si>
    <t>Down Lead Clamps for 24F OPGW</t>
  </si>
  <si>
    <t>Joint Box for 24 Fibre OPGW</t>
  </si>
  <si>
    <t>Design, MANUFACTURE AND SUPPLY OF 7/3.66mm Earthwire</t>
  </si>
  <si>
    <t>Supply of ACSR Moose Conductor</t>
  </si>
  <si>
    <t>CLR Insulators</t>
  </si>
  <si>
    <t xml:space="preserve">Supply of 400KV 120KN Composite Long Rod Insulators 
(Length 3335 mm, Creepage - 13020 mm) </t>
  </si>
  <si>
    <t xml:space="preserve">Supply of 400KV 160KN Composite Long Rod Insulators (Length 3910 mm, Creepage - 13020 mm) </t>
  </si>
  <si>
    <t>C)</t>
  </si>
  <si>
    <t>Sets</t>
  </si>
  <si>
    <t>EA</t>
  </si>
  <si>
    <t>Nos</t>
  </si>
  <si>
    <t>KMS</t>
  </si>
  <si>
    <t>F&amp;I Portion of Diversion/Modification of 400kV S/C Rengali-Indravati Transmission Line near Bhawanipatna for Construction of NH Bypass Road (Deposit Work on Behalf of NHAI).</t>
  </si>
  <si>
    <t>Detailed survey including route alignment, profiling and tower spotting using modern survey techniques</t>
  </si>
  <si>
    <t>Check Survey</t>
  </si>
  <si>
    <t>Detailed soil investigation-All kinds of soils except fissured rock and hard rock</t>
  </si>
  <si>
    <t>ERECTION OF VARIOUS TYPES OF TOWERS &amp; TOWER PARTS,TOWER EXTENSIONS (COMPLETE) INCLUDING BOLTS &amp; NUTS, HANGERS, D-SHACKLES, STEP BOLTS, PACK WASHERS ETC., INCLUDING TACK WELDING &amp; SUPPLY &amp; APPLICATION OF ZINC RICH PRIMER &amp; TWO COATS OF ENAMEL PAINT</t>
  </si>
  <si>
    <t xml:space="preserve">400 kV  Single Circuit Towers             </t>
  </si>
  <si>
    <t>BENCHING</t>
  </si>
  <si>
    <t>All kinds of soils except fissured rock,hard rock and sandy soil</t>
  </si>
  <si>
    <t>Work associated with tower foundations for various type of  towers</t>
  </si>
  <si>
    <t>Normal soil</t>
  </si>
  <si>
    <t>wet soil</t>
  </si>
  <si>
    <t>CONCRETING (INCLUDING ALL ASSOCIATED WORKS RELATED TO FOUNDATION NOT COVERED IN 4.1 &amp; 4.3)</t>
  </si>
  <si>
    <t>REINFORCEMENT STEEL</t>
  </si>
  <si>
    <t>Supply, transportation and placement of Reinforcement steel</t>
  </si>
  <si>
    <t>Installation of 400kv S/C Stub including bolts, nuts, washers etc.</t>
  </si>
  <si>
    <t>Installation of  earthing of towers</t>
  </si>
  <si>
    <t>Rod type</t>
  </si>
  <si>
    <t>Counterpoise Earthing</t>
  </si>
  <si>
    <t>Installation of  tower accessories</t>
  </si>
  <si>
    <t>Installation of insulator strings complete with arcing horns &amp; necessary hardware, installing and stringing of conductor including fixing of conductor accessories, installing &amp; stringing of earth wire &amp; OPGW including fixing of earth wire/OPGW accessories.</t>
  </si>
  <si>
    <t>400KV S/C transmission line(Normal Terrain)</t>
  </si>
  <si>
    <t xml:space="preserve">Installation of OPGW </t>
  </si>
  <si>
    <t>Installation of Joint Box for 24F OPGW.</t>
  </si>
  <si>
    <t>Dismantling &amp; Destringing</t>
  </si>
  <si>
    <t>Dismantling of existing towers ( 3 nos )  piece by piece in safe condition by removing the tack welding / punching etc. and handing over to POWERGRID STORE(as per BOM) as directed by Engineer in Charge including transportation,loading, unloading and stacking in store</t>
  </si>
  <si>
    <t>Destringing of Conductor &amp; earthwire/OPGW of 400KV S/C Twin moose line and handing over to POWERGRID store including transportation, loading and unloading</t>
  </si>
  <si>
    <t>Stub Dismantling Work</t>
  </si>
  <si>
    <t>Demolishing R.C.C. work manually/ by mechanical means including stacking of steel bars and disposal of unserviceable material up to1.05 KM lead as per direction of Engineer - in- charge.The dismanting is for transmission line foundation (to retreive the Tower Stub which is a separate item) consisting of open cast foundation upto 3.0 mtr depth. The work is including necessary exacavation requried for breaking/dismantling of RCC and filling the area including the excavated portion and dismantled concrete portion with available/excavated or borrowed earth.</t>
  </si>
  <si>
    <t>Dismantling of tower stub  below ground level embedded in RCC of TL foundation upto 3.0 mtr below GL including all gusset plates, bolts, nuts, cutting rivets, welding etc. including dismembering and loading, unloading, stacking and carraige to POWERGRID office upto average 60 km</t>
  </si>
  <si>
    <t>Hire charges of Pump set of capacity 4000 litres/hour for discharge the ground water including diesel charges. (Per Location)</t>
  </si>
  <si>
    <t>KM.</t>
  </si>
  <si>
    <t>Loc</t>
  </si>
  <si>
    <t>CUM.</t>
  </si>
  <si>
    <t>CU.M.</t>
  </si>
  <si>
    <t xml:space="preserve">Nos </t>
  </si>
  <si>
    <t>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</si>
</sst>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_(&quot;$&quot;* #,##0.00_);_(&quot;$&quot;* \(#,##0.00\);_(&quot;$&quot;* &quot;-&quot;??_);_(@_)"/>
    <numFmt numFmtId="166" formatCode="0.0"/>
    <numFmt numFmtId="167" formatCode="0.000"/>
    <numFmt numFmtId="168" formatCode="_(* #,##0_);_(* \(#,##0\);_(* \-??_);_(@_)"/>
    <numFmt numFmtId="169" formatCode="#,##0.0"/>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0.00&quot;  &quot;"/>
    <numFmt numFmtId="177" formatCode="[$-409]dd\-mmm\-yy;@"/>
    <numFmt numFmtId="178" formatCode="_(* #,##0_);_(* \(#,##0\);_(* &quot;-&quot;??_);_(@_)"/>
    <numFmt numFmtId="179" formatCode="0.0000000000%"/>
    <numFmt numFmtId="180" formatCode="#,##0.00;[Red]#,##0.00"/>
    <numFmt numFmtId="181" formatCode="0.00_)"/>
  </numFmts>
  <fonts count="89">
    <font>
      <sz val="11"/>
      <name val="Book Antiqua"/>
      <family val="1"/>
    </font>
    <font>
      <sz val="10"/>
      <name val="Arial"/>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b/>
      <sz val="12"/>
      <name val="Cambria"/>
      <family val="1"/>
    </font>
    <font>
      <sz val="11"/>
      <name val="Cambria"/>
      <family val="1"/>
    </font>
    <font>
      <sz val="10"/>
      <name val="Cambria"/>
      <family val="1"/>
    </font>
    <font>
      <b/>
      <sz val="11"/>
      <color indexed="8"/>
      <name val="Cambria"/>
      <family val="1"/>
    </font>
    <font>
      <b/>
      <sz val="12"/>
      <color indexed="8"/>
      <name val="Cambria"/>
      <family val="1"/>
    </font>
    <font>
      <sz val="11"/>
      <color indexed="8"/>
      <name val="Cambria"/>
      <family val="1"/>
    </font>
    <font>
      <sz val="10"/>
      <color indexed="8"/>
      <name val="Cambria"/>
      <family val="1"/>
    </font>
    <font>
      <sz val="11"/>
      <color indexed="8"/>
      <name val="Book Antiqua"/>
      <family val="1"/>
    </font>
    <font>
      <b/>
      <sz val="14"/>
      <name val="Book Antiqua"/>
      <family val="1"/>
    </font>
    <font>
      <strike/>
      <sz val="12"/>
      <name val="Book Antiqua"/>
      <family val="1"/>
    </font>
    <font>
      <b/>
      <vertAlign val="superscript"/>
      <sz val="12"/>
      <color indexed="12"/>
      <name val="Book Antiqua"/>
      <family val="1"/>
    </font>
    <font>
      <strike/>
      <vertAlign val="superscript"/>
      <sz val="12"/>
      <name val="Book Antiqua"/>
      <family val="1"/>
    </font>
    <font>
      <b/>
      <sz val="14"/>
      <color indexed="12"/>
      <name val="Book Antiqua"/>
      <family val="1"/>
    </font>
    <font>
      <sz val="11"/>
      <name val="Palatino Linotype"/>
      <family val="1"/>
    </font>
    <font>
      <sz val="14"/>
      <name val="Book Antiqua"/>
      <family val="1"/>
    </font>
    <font>
      <sz val="14"/>
      <color indexed="9"/>
      <name val="Book Antiqua"/>
      <family val="1"/>
    </font>
    <font>
      <sz val="14"/>
      <name val="Palatino Linotype"/>
      <family val="1"/>
    </font>
    <font>
      <b/>
      <sz val="18"/>
      <name val="Book Antiqua"/>
      <family val="1"/>
    </font>
    <font>
      <sz val="18"/>
      <name val="Book Antiqua"/>
      <family val="1"/>
    </font>
    <font>
      <b/>
      <sz val="18"/>
      <color indexed="9"/>
      <name val="Book Antiqua"/>
      <family val="1"/>
    </font>
    <font>
      <b/>
      <sz val="18"/>
      <color indexed="10"/>
      <name val="Book Antiqua"/>
      <family val="1"/>
    </font>
    <font>
      <b/>
      <sz val="16"/>
      <name val="Book Antiqua"/>
      <family val="1"/>
    </font>
    <font>
      <b/>
      <sz val="12"/>
      <color indexed="8"/>
      <name val="Book Antiqua"/>
      <family val="1"/>
    </font>
    <font>
      <sz val="12"/>
      <color indexed="8"/>
      <name val="Book Antiqua"/>
      <family val="1"/>
    </font>
    <font>
      <sz val="11"/>
      <color theme="1"/>
      <name val="Calibri"/>
      <family val="2"/>
      <scheme val="minor"/>
    </font>
    <font>
      <u/>
      <sz val="11"/>
      <color theme="10"/>
      <name val="Calibri"/>
      <family val="2"/>
    </font>
    <font>
      <b/>
      <sz val="12"/>
      <color theme="1"/>
      <name val="Book Antiqua"/>
      <family val="1"/>
    </font>
    <font>
      <b/>
      <sz val="14"/>
      <color theme="1"/>
      <name val="Book Antiqua"/>
      <family val="1"/>
    </font>
    <font>
      <sz val="14"/>
      <color theme="1"/>
      <name val="Book Antiqua"/>
      <family val="1"/>
    </font>
    <font>
      <sz val="12"/>
      <color theme="1"/>
      <name val="Book Antiqua"/>
      <family val="1"/>
    </font>
    <font>
      <sz val="18"/>
      <color theme="1"/>
      <name val="Book Antiqua"/>
      <family val="1"/>
    </font>
    <font>
      <b/>
      <sz val="18"/>
      <color theme="1"/>
      <name val="Book Antiqua"/>
      <family val="1"/>
    </font>
    <font>
      <sz val="18"/>
      <color rgb="FFFF0000"/>
      <name val="Book Antiqua"/>
      <family val="1"/>
    </font>
    <font>
      <sz val="18"/>
      <color theme="0"/>
      <name val="Book Antiqua"/>
      <family val="1"/>
    </font>
    <font>
      <b/>
      <sz val="14"/>
      <color rgb="FFFF0000"/>
      <name val="Book Antiqua"/>
      <family val="1"/>
    </font>
    <font>
      <b/>
      <sz val="16"/>
      <color theme="1"/>
      <name val="Book Antiqua"/>
      <family val="1"/>
    </font>
    <font>
      <sz val="16"/>
      <color theme="1"/>
      <name val="Book Antiqua"/>
      <family val="1"/>
    </font>
    <font>
      <sz val="16"/>
      <color indexed="8"/>
      <name val="Book Antiqua"/>
      <family val="1"/>
    </font>
    <font>
      <sz val="16"/>
      <name val="Book Antiqua"/>
      <family val="1"/>
    </font>
    <font>
      <sz val="16"/>
      <color rgb="FF000000"/>
      <name val="Book Antiqua"/>
      <family val="1"/>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66">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43"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43" fontId="36" fillId="0" borderId="0" applyFont="0" applyFill="0" applyBorder="0" applyAlignment="0" applyProtection="0"/>
    <xf numFmtId="16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5" fontId="73" fillId="0" borderId="0" applyFont="0" applyFill="0" applyBorder="0" applyAlignment="0" applyProtection="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7"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73" fillId="0" borderId="0"/>
    <xf numFmtId="0" fontId="16" fillId="0" borderId="0"/>
    <xf numFmtId="0" fontId="73" fillId="0" borderId="0"/>
    <xf numFmtId="0" fontId="73" fillId="0" borderId="0"/>
    <xf numFmtId="0" fontId="16" fillId="0" borderId="0"/>
    <xf numFmtId="0" fontId="73" fillId="0" borderId="0"/>
    <xf numFmtId="0" fontId="73" fillId="0" borderId="0"/>
    <xf numFmtId="0" fontId="33" fillId="0" borderId="0"/>
    <xf numFmtId="0" fontId="16"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6"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928">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5" fillId="0" borderId="4" xfId="0" applyFont="1" applyBorder="1" applyAlignment="1">
      <alignment vertical="center"/>
    </xf>
    <xf numFmtId="0" fontId="15" fillId="0" borderId="4" xfId="0" applyFont="1" applyBorder="1" applyAlignment="1">
      <alignment horizontal="right"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9" fillId="0" borderId="0" xfId="56" applyFont="1" applyAlignment="1" applyProtection="1">
      <alignment vertical="center"/>
      <protection hidden="1"/>
    </xf>
    <xf numFmtId="0" fontId="4" fillId="0" borderId="0" xfId="56" applyFont="1" applyAlignment="1" applyProtection="1">
      <alignment vertical="center"/>
      <protection hidden="1"/>
    </xf>
    <xf numFmtId="0" fontId="20" fillId="0" borderId="0" xfId="56" applyFont="1" applyAlignment="1" applyProtection="1">
      <alignment vertical="center"/>
      <protection hidden="1"/>
    </xf>
    <xf numFmtId="0" fontId="20" fillId="0" borderId="0" xfId="56" applyFont="1" applyProtection="1">
      <protection hidden="1"/>
    </xf>
    <xf numFmtId="0" fontId="1" fillId="0" borderId="0" xfId="56" applyProtection="1">
      <protection hidden="1"/>
    </xf>
    <xf numFmtId="0" fontId="5" fillId="0" borderId="0" xfId="56" applyFont="1" applyAlignment="1" applyProtection="1">
      <alignment vertical="center"/>
      <protection hidden="1"/>
    </xf>
    <xf numFmtId="0" fontId="5" fillId="0" borderId="5" xfId="56" applyFont="1" applyBorder="1" applyAlignment="1" applyProtection="1">
      <alignment vertical="center"/>
      <protection hidden="1"/>
    </xf>
    <xf numFmtId="0" fontId="5" fillId="0" borderId="6" xfId="56" applyFont="1" applyBorder="1" applyAlignment="1" applyProtection="1">
      <alignment vertical="center"/>
      <protection hidden="1"/>
    </xf>
    <xf numFmtId="0" fontId="1" fillId="0" borderId="0" xfId="56"/>
    <xf numFmtId="0" fontId="5" fillId="0" borderId="7" xfId="56" applyFont="1" applyBorder="1" applyAlignment="1" applyProtection="1">
      <alignment vertical="center"/>
      <protection hidden="1"/>
    </xf>
    <xf numFmtId="0" fontId="24" fillId="0" borderId="6" xfId="56" applyFont="1" applyBorder="1" applyAlignment="1" applyProtection="1">
      <alignment vertical="center"/>
      <protection hidden="1"/>
    </xf>
    <xf numFmtId="0" fontId="1" fillId="0" borderId="0" xfId="56" applyAlignment="1" applyProtection="1">
      <alignment vertical="center"/>
      <protection hidden="1"/>
    </xf>
    <xf numFmtId="0" fontId="19" fillId="0" borderId="6" xfId="56" applyFont="1" applyBorder="1" applyAlignment="1" applyProtection="1">
      <alignment vertical="center"/>
      <protection hidden="1"/>
    </xf>
    <xf numFmtId="0" fontId="26" fillId="0" borderId="5" xfId="56" applyFont="1" applyBorder="1" applyAlignment="1" applyProtection="1">
      <alignment vertical="center"/>
      <protection hidden="1"/>
    </xf>
    <xf numFmtId="0" fontId="26" fillId="0" borderId="0" xfId="56" applyFont="1" applyAlignment="1" applyProtection="1">
      <alignment vertical="center"/>
      <protection hidden="1"/>
    </xf>
    <xf numFmtId="0" fontId="19" fillId="0" borderId="7" xfId="56" applyFont="1" applyBorder="1" applyAlignment="1" applyProtection="1">
      <alignment vertical="center"/>
      <protection hidden="1"/>
    </xf>
    <xf numFmtId="0" fontId="5" fillId="0" borderId="8" xfId="56" applyFont="1" applyBorder="1" applyAlignment="1" applyProtection="1">
      <alignment vertical="center"/>
      <protection hidden="1"/>
    </xf>
    <xf numFmtId="0" fontId="15" fillId="0" borderId="0" xfId="57" applyFont="1" applyAlignment="1" applyProtection="1">
      <alignment vertical="center"/>
      <protection hidden="1"/>
    </xf>
    <xf numFmtId="0" fontId="16" fillId="0" borderId="0" xfId="57" applyAlignment="1" applyProtection="1">
      <alignment vertical="center"/>
      <protection hidden="1"/>
    </xf>
    <xf numFmtId="0" fontId="15" fillId="0" borderId="0" xfId="57" applyFont="1"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applyAlignment="1">
      <alignment horizontal="right" vertical="center"/>
    </xf>
    <xf numFmtId="0" fontId="5" fillId="0" borderId="0" xfId="56" applyFont="1" applyAlignment="1" applyProtection="1">
      <alignment vertical="top"/>
      <protection hidden="1"/>
    </xf>
    <xf numFmtId="0" fontId="27" fillId="0" borderId="0" xfId="56" applyFont="1" applyAlignment="1" applyProtection="1">
      <alignment horizontal="center" vertical="center"/>
      <protection hidden="1"/>
    </xf>
    <xf numFmtId="0" fontId="15" fillId="0" borderId="0" xfId="56" applyFont="1" applyAlignment="1" applyProtection="1">
      <alignment vertical="center"/>
      <protection hidden="1"/>
    </xf>
    <xf numFmtId="0" fontId="16" fillId="0" borderId="0" xfId="56" applyFont="1" applyAlignment="1" applyProtection="1">
      <alignment vertical="center"/>
      <protection hidden="1"/>
    </xf>
    <xf numFmtId="0" fontId="15" fillId="0" borderId="0" xfId="59" applyFont="1" applyAlignment="1" applyProtection="1">
      <alignment vertical="top"/>
      <protection hidden="1"/>
    </xf>
    <xf numFmtId="0" fontId="16" fillId="0" borderId="0" xfId="56" applyFont="1" applyAlignment="1" applyProtection="1">
      <alignment vertical="top"/>
      <protection hidden="1"/>
    </xf>
    <xf numFmtId="0" fontId="27" fillId="0" borderId="0" xfId="56" applyFont="1" applyAlignment="1" applyProtection="1">
      <alignment vertical="center"/>
      <protection hidden="1"/>
    </xf>
    <xf numFmtId="175" fontId="15" fillId="0" borderId="9" xfId="56" applyNumberFormat="1" applyFont="1" applyBorder="1" applyAlignment="1" applyProtection="1">
      <alignment horizontal="center" vertical="center"/>
      <protection hidden="1"/>
    </xf>
    <xf numFmtId="0" fontId="16" fillId="0" borderId="10" xfId="56" applyFont="1" applyBorder="1" applyAlignment="1" applyProtection="1">
      <alignment horizontal="center" vertical="center"/>
      <protection hidden="1"/>
    </xf>
    <xf numFmtId="0" fontId="16" fillId="0" borderId="11" xfId="56" applyFont="1" applyBorder="1" applyAlignment="1" applyProtection="1">
      <alignment horizontal="justify" vertical="center" wrapText="1"/>
      <protection hidden="1"/>
    </xf>
    <xf numFmtId="0" fontId="15" fillId="2" borderId="11" xfId="56" applyFont="1" applyFill="1" applyBorder="1" applyAlignment="1" applyProtection="1">
      <alignment vertical="center" wrapText="1"/>
      <protection hidden="1"/>
    </xf>
    <xf numFmtId="0" fontId="16" fillId="0" borderId="10" xfId="56" applyFont="1" applyBorder="1" applyAlignment="1" applyProtection="1">
      <alignment vertical="center"/>
      <protection hidden="1"/>
    </xf>
    <xf numFmtId="0" fontId="16" fillId="0" borderId="12" xfId="56" applyFont="1" applyBorder="1" applyAlignment="1" applyProtection="1">
      <alignment vertical="center"/>
      <protection hidden="1"/>
    </xf>
    <xf numFmtId="0" fontId="15" fillId="0" borderId="0" xfId="56" applyFont="1" applyAlignment="1" applyProtection="1">
      <alignment vertical="center" wrapText="1"/>
      <protection hidden="1"/>
    </xf>
    <xf numFmtId="4" fontId="15" fillId="0" borderId="0" xfId="56" applyNumberFormat="1" applyFont="1" applyAlignment="1" applyProtection="1">
      <alignment vertical="center"/>
      <protection hidden="1"/>
    </xf>
    <xf numFmtId="0" fontId="16" fillId="0" borderId="0" xfId="56" applyFont="1" applyAlignment="1" applyProtection="1">
      <alignment horizontal="left" vertical="center" wrapText="1"/>
      <protection hidden="1"/>
    </xf>
    <xf numFmtId="0" fontId="16" fillId="0" borderId="0" xfId="56" applyFont="1" applyAlignment="1" applyProtection="1">
      <alignment horizontal="right" vertical="center"/>
      <protection hidden="1"/>
    </xf>
    <xf numFmtId="0" fontId="16" fillId="0" borderId="0" xfId="56" applyFont="1" applyAlignment="1" applyProtection="1">
      <alignment horizontal="left" vertical="center"/>
      <protection hidden="1"/>
    </xf>
    <xf numFmtId="0" fontId="6" fillId="0" borderId="0" xfId="56" applyFont="1" applyAlignment="1" applyProtection="1">
      <alignment horizontal="center" vertical="top"/>
      <protection hidden="1"/>
    </xf>
    <xf numFmtId="0" fontId="15" fillId="0" borderId="4" xfId="56" applyFont="1" applyBorder="1" applyAlignment="1" applyProtection="1">
      <alignment vertical="top"/>
      <protection hidden="1"/>
    </xf>
    <xf numFmtId="0" fontId="15" fillId="0" borderId="9" xfId="56" applyFont="1" applyBorder="1" applyAlignment="1" applyProtection="1">
      <alignment horizontal="justify" vertical="top" wrapText="1"/>
      <protection hidden="1"/>
    </xf>
    <xf numFmtId="0" fontId="15" fillId="0" borderId="9" xfId="56" applyFont="1" applyBorder="1" applyAlignment="1" applyProtection="1">
      <alignment horizontal="right" vertical="center" wrapText="1" indent="5"/>
      <protection hidden="1"/>
    </xf>
    <xf numFmtId="0" fontId="16" fillId="0" borderId="12" xfId="56" applyFont="1" applyBorder="1" applyAlignment="1" applyProtection="1">
      <alignment horizontal="center" vertical="center"/>
      <protection hidden="1"/>
    </xf>
    <xf numFmtId="0" fontId="5" fillId="0" borderId="0" xfId="56" applyFont="1" applyAlignment="1" applyProtection="1">
      <alignment horizontal="right"/>
      <protection hidden="1"/>
    </xf>
    <xf numFmtId="0" fontId="15" fillId="0" borderId="4" xfId="0" applyFont="1" applyBorder="1" applyAlignment="1">
      <alignment horizontal="left" vertical="center"/>
    </xf>
    <xf numFmtId="0" fontId="15" fillId="0" borderId="4" xfId="0" applyFont="1" applyBorder="1" applyAlignment="1">
      <alignment horizontal="justify" vertical="center"/>
    </xf>
    <xf numFmtId="0" fontId="15" fillId="0" borderId="4" xfId="0" applyFont="1" applyBorder="1" applyAlignment="1">
      <alignment horizontal="center" vertical="center"/>
    </xf>
    <xf numFmtId="0" fontId="16" fillId="0" borderId="0" xfId="57"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56" applyFont="1" applyAlignment="1" applyProtection="1">
      <alignment horizontal="left" vertical="center" indent="1"/>
      <protection hidden="1"/>
    </xf>
    <xf numFmtId="0" fontId="16" fillId="0" borderId="0" xfId="59" applyFont="1" applyAlignment="1" applyProtection="1">
      <alignment horizontal="left" vertical="center" indent="1"/>
      <protection hidden="1"/>
    </xf>
    <xf numFmtId="0" fontId="16" fillId="0" borderId="0" xfId="0" applyFont="1" applyAlignment="1" applyProtection="1">
      <alignment horizontal="left" vertical="center"/>
      <protection hidden="1"/>
    </xf>
    <xf numFmtId="0" fontId="16" fillId="0" borderId="0" xfId="57" applyAlignment="1" applyProtection="1">
      <alignment horizontal="left" vertical="center"/>
      <protection hidden="1"/>
    </xf>
    <xf numFmtId="0" fontId="15" fillId="0" borderId="0" xfId="57" applyFont="1" applyAlignment="1" applyProtection="1">
      <alignment horizontal="left" vertical="center"/>
      <protection hidden="1"/>
    </xf>
    <xf numFmtId="0" fontId="15" fillId="0" borderId="6" xfId="56" applyFont="1" applyBorder="1" applyAlignment="1" applyProtection="1">
      <alignment horizontal="right" vertical="center" indent="5"/>
      <protection hidden="1"/>
    </xf>
    <xf numFmtId="4" fontId="15" fillId="0" borderId="9" xfId="56" applyNumberFormat="1" applyFont="1" applyBorder="1" applyAlignment="1" applyProtection="1">
      <alignment vertical="center"/>
      <protection hidden="1"/>
    </xf>
    <xf numFmtId="176" fontId="15" fillId="0" borderId="9" xfId="56" applyNumberFormat="1" applyFont="1" applyBorder="1" applyAlignment="1" applyProtection="1">
      <alignment vertical="center"/>
      <protection hidden="1"/>
    </xf>
    <xf numFmtId="0" fontId="15" fillId="0" borderId="9" xfId="56" applyFont="1" applyBorder="1" applyAlignment="1" applyProtection="1">
      <alignment vertical="center"/>
      <protection hidden="1"/>
    </xf>
    <xf numFmtId="0" fontId="15" fillId="0" borderId="0" xfId="56" applyFont="1" applyAlignment="1" applyProtection="1">
      <alignment horizontal="left" vertical="top" wrapText="1"/>
      <protection hidden="1"/>
    </xf>
    <xf numFmtId="0" fontId="15" fillId="0" borderId="9" xfId="56" applyFont="1" applyBorder="1" applyAlignment="1" applyProtection="1">
      <alignment horizontal="center" vertical="center" wrapText="1"/>
      <protection hidden="1"/>
    </xf>
    <xf numFmtId="0" fontId="16" fillId="0" borderId="0" xfId="56" applyFont="1" applyAlignment="1" applyProtection="1">
      <alignment horizontal="center" vertical="center"/>
      <protection hidden="1"/>
    </xf>
    <xf numFmtId="0" fontId="15" fillId="0" borderId="12" xfId="56" applyFont="1" applyBorder="1" applyAlignment="1" applyProtection="1">
      <alignment horizontal="right" vertical="center" wrapText="1"/>
      <protection hidden="1"/>
    </xf>
    <xf numFmtId="0" fontId="15" fillId="0" borderId="0" xfId="56" applyFont="1" applyAlignment="1" applyProtection="1">
      <alignment horizontal="left" vertical="center" wrapText="1"/>
      <protection hidden="1"/>
    </xf>
    <xf numFmtId="0" fontId="15" fillId="0" borderId="0" xfId="56" applyFont="1" applyAlignment="1" applyProtection="1">
      <alignment horizontal="right" vertical="center" wrapText="1"/>
      <protection hidden="1"/>
    </xf>
    <xf numFmtId="0" fontId="0" fillId="0" borderId="0" xfId="0" applyProtection="1">
      <protection hidden="1"/>
    </xf>
    <xf numFmtId="0" fontId="15" fillId="0" borderId="4" xfId="0" applyFont="1" applyBorder="1" applyAlignment="1" applyProtection="1">
      <alignment horizontal="left" vertical="center"/>
      <protection hidden="1"/>
    </xf>
    <xf numFmtId="0" fontId="15" fillId="0" borderId="4" xfId="0" applyFont="1" applyBorder="1" applyAlignment="1" applyProtection="1">
      <alignment horizontal="justify"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4" xfId="0" applyFont="1" applyBorder="1" applyAlignment="1" applyProtection="1">
      <alignment horizontal="right" vertical="center"/>
      <protection hidden="1"/>
    </xf>
    <xf numFmtId="0" fontId="1" fillId="0" borderId="0" xfId="55"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52" applyNumberFormat="1" applyFill="1" applyBorder="1" applyAlignment="1" applyProtection="1">
      <alignment vertical="center"/>
      <protection hidden="1"/>
    </xf>
    <xf numFmtId="0" fontId="16" fillId="0" borderId="0" xfId="52" applyNumberFormat="1" applyFill="1" applyBorder="1" applyAlignment="1" applyProtection="1">
      <alignment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left" vertical="center"/>
      <protection hidden="1"/>
    </xf>
    <xf numFmtId="0" fontId="15" fillId="0" borderId="0" xfId="0" applyFont="1" applyAlignment="1">
      <alignment horizontal="left" vertical="center" indent="1"/>
    </xf>
    <xf numFmtId="0" fontId="15" fillId="0" borderId="0" xfId="56" applyFont="1" applyAlignment="1" applyProtection="1">
      <alignment horizontal="left" vertical="center" indent="1"/>
      <protection hidden="1"/>
    </xf>
    <xf numFmtId="0" fontId="0" fillId="0" borderId="0" xfId="0" applyAlignment="1" applyProtection="1">
      <alignment vertical="center"/>
      <protection hidden="1"/>
    </xf>
    <xf numFmtId="0" fontId="15" fillId="0" borderId="0" xfId="57" applyFont="1" applyAlignment="1" applyProtection="1">
      <alignment horizontal="center" vertical="center"/>
      <protection hidden="1"/>
    </xf>
    <xf numFmtId="0" fontId="15" fillId="0" borderId="0" xfId="57" applyFont="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57" applyFont="1" applyBorder="1" applyAlignment="1" applyProtection="1">
      <alignment horizontal="center" vertical="center"/>
      <protection hidden="1"/>
    </xf>
    <xf numFmtId="0" fontId="16" fillId="0" borderId="11" xfId="57" applyBorder="1" applyAlignment="1" applyProtection="1">
      <alignment horizontal="left" vertical="center" wrapText="1"/>
      <protection hidden="1"/>
    </xf>
    <xf numFmtId="0" fontId="16" fillId="0" borderId="0" xfId="57" applyAlignment="1" applyProtection="1">
      <alignment horizontal="left" vertical="center" wrapText="1"/>
      <protection hidden="1"/>
    </xf>
    <xf numFmtId="0" fontId="15" fillId="0" borderId="0" xfId="0" applyFont="1" applyAlignment="1" applyProtection="1">
      <alignment vertical="center" wrapText="1"/>
      <protection hidden="1"/>
    </xf>
    <xf numFmtId="0" fontId="15" fillId="0" borderId="0" xfId="0" applyFont="1" applyAlignment="1" applyProtection="1">
      <alignment horizontal="left" vertical="center" indent="1"/>
      <protection hidden="1"/>
    </xf>
    <xf numFmtId="0" fontId="15" fillId="0" borderId="4" xfId="49" applyFont="1" applyBorder="1" applyAlignment="1" applyProtection="1">
      <alignment vertical="center"/>
      <protection hidden="1"/>
    </xf>
    <xf numFmtId="0" fontId="16" fillId="0" borderId="4" xfId="49" applyFont="1" applyBorder="1" applyAlignment="1" applyProtection="1">
      <alignment vertical="center"/>
      <protection hidden="1"/>
    </xf>
    <xf numFmtId="0" fontId="33" fillId="0" borderId="0" xfId="49" applyAlignment="1" applyProtection="1">
      <alignment vertical="center"/>
      <protection hidden="1"/>
    </xf>
    <xf numFmtId="0" fontId="33" fillId="0" borderId="0" xfId="49" applyProtection="1">
      <protection hidden="1"/>
    </xf>
    <xf numFmtId="0" fontId="15" fillId="0" borderId="0" xfId="49" applyFont="1" applyAlignment="1" applyProtection="1">
      <alignment horizontal="center" vertical="center"/>
      <protection hidden="1"/>
    </xf>
    <xf numFmtId="0" fontId="16" fillId="0" borderId="0" xfId="49" applyFont="1" applyAlignment="1" applyProtection="1">
      <alignment vertical="center"/>
      <protection hidden="1"/>
    </xf>
    <xf numFmtId="0" fontId="15" fillId="0" borderId="0" xfId="50" applyFont="1" applyAlignment="1" applyProtection="1">
      <alignment horizontal="left" vertical="center"/>
      <protection hidden="1"/>
    </xf>
    <xf numFmtId="0" fontId="16" fillId="0" borderId="0" xfId="58" applyAlignment="1" applyProtection="1">
      <alignment horizontal="left" vertical="center"/>
      <protection hidden="1"/>
    </xf>
    <xf numFmtId="0" fontId="16" fillId="0" borderId="0" xfId="49" applyFont="1" applyAlignment="1" applyProtection="1">
      <alignment horizontal="left" vertical="center"/>
      <protection hidden="1"/>
    </xf>
    <xf numFmtId="0" fontId="16" fillId="0" borderId="0" xfId="49" applyFont="1" applyAlignment="1" applyProtection="1">
      <alignment horizontal="justify" vertical="center"/>
      <protection hidden="1"/>
    </xf>
    <xf numFmtId="0" fontId="15" fillId="0" borderId="0" xfId="49" applyFont="1" applyAlignment="1" applyProtection="1">
      <alignment horizontal="right" vertical="center"/>
      <protection hidden="1"/>
    </xf>
    <xf numFmtId="0" fontId="15" fillId="0" borderId="4" xfId="49" applyFont="1" applyBorder="1" applyAlignment="1" applyProtection="1">
      <alignment horizontal="right" vertical="center"/>
      <protection hidden="1"/>
    </xf>
    <xf numFmtId="177" fontId="16" fillId="0" borderId="0" xfId="49" applyNumberFormat="1" applyFont="1" applyAlignment="1" applyProtection="1">
      <alignment horizontal="left" vertical="center"/>
      <protection hidden="1"/>
    </xf>
    <xf numFmtId="0" fontId="16" fillId="0" borderId="0" xfId="0" applyFont="1" applyAlignment="1" applyProtection="1">
      <alignment horizontal="center" vertical="center" wrapText="1"/>
      <protection hidden="1"/>
    </xf>
    <xf numFmtId="166" fontId="16" fillId="0" borderId="0" xfId="0" applyNumberFormat="1" applyFont="1" applyAlignment="1" applyProtection="1">
      <alignment horizontal="center" vertical="center"/>
      <protection hidden="1"/>
    </xf>
    <xf numFmtId="177" fontId="15" fillId="0" borderId="0" xfId="0" applyNumberFormat="1" applyFont="1" applyAlignment="1">
      <alignment horizontal="left" vertical="center" indent="1"/>
    </xf>
    <xf numFmtId="177" fontId="15" fillId="0" borderId="0" xfId="0" applyNumberFormat="1" applyFont="1" applyAlignment="1" applyProtection="1">
      <alignment horizontal="justify" vertical="center"/>
      <protection hidden="1"/>
    </xf>
    <xf numFmtId="177" fontId="15" fillId="0" borderId="0" xfId="0" applyNumberFormat="1" applyFont="1" applyAlignment="1" applyProtection="1">
      <alignment horizontal="left" vertical="center" indent="1"/>
      <protection hidden="1"/>
    </xf>
    <xf numFmtId="177" fontId="15" fillId="0" borderId="0" xfId="49" applyNumberFormat="1" applyFont="1" applyAlignment="1" applyProtection="1">
      <alignment vertical="center"/>
      <protection hidden="1"/>
    </xf>
    <xf numFmtId="0" fontId="15" fillId="0" borderId="0" xfId="49" applyFont="1" applyAlignment="1" applyProtection="1">
      <alignment horizontal="left" vertical="center" indent="1"/>
      <protection hidden="1"/>
    </xf>
    <xf numFmtId="0" fontId="16" fillId="0" borderId="0" xfId="49" applyFont="1" applyAlignment="1" applyProtection="1">
      <alignment horizontal="left" vertical="center" indent="1"/>
      <protection hidden="1"/>
    </xf>
    <xf numFmtId="166" fontId="5" fillId="0" borderId="0" xfId="49" applyNumberFormat="1" applyFont="1" applyAlignment="1" applyProtection="1">
      <alignment horizontal="center" vertical="top"/>
      <protection hidden="1"/>
    </xf>
    <xf numFmtId="166" fontId="5" fillId="0" borderId="0" xfId="49" applyNumberFormat="1" applyFont="1" applyAlignment="1" applyProtection="1">
      <alignment horizontal="center" vertical="center"/>
      <protection hidden="1"/>
    </xf>
    <xf numFmtId="0" fontId="5" fillId="0" borderId="0" xfId="49" applyFont="1" applyAlignment="1" applyProtection="1">
      <alignment horizontal="center" vertical="top"/>
      <protection hidden="1"/>
    </xf>
    <xf numFmtId="0" fontId="5" fillId="0" borderId="0" xfId="49" applyFont="1" applyAlignment="1" applyProtection="1">
      <alignment horizontal="left" vertical="center"/>
      <protection hidden="1"/>
    </xf>
    <xf numFmtId="0" fontId="36" fillId="0" borderId="0" xfId="51" applyFont="1" applyAlignment="1" applyProtection="1">
      <alignment horizontal="center" vertical="center"/>
      <protection hidden="1"/>
    </xf>
    <xf numFmtId="0" fontId="36" fillId="0" borderId="0" xfId="51" applyFont="1" applyAlignment="1" applyProtection="1">
      <alignment horizontal="left" vertical="center"/>
      <protection hidden="1"/>
    </xf>
    <xf numFmtId="0" fontId="1" fillId="0" borderId="0" xfId="51" applyAlignment="1" applyProtection="1">
      <alignment vertical="center"/>
      <protection hidden="1"/>
    </xf>
    <xf numFmtId="0" fontId="36" fillId="0" borderId="0" xfId="51" applyFont="1" applyAlignment="1" applyProtection="1">
      <alignment vertical="center"/>
      <protection hidden="1"/>
    </xf>
    <xf numFmtId="0" fontId="1" fillId="0" borderId="0" xfId="51" applyProtection="1">
      <protection hidden="1"/>
    </xf>
    <xf numFmtId="0" fontId="1" fillId="0" borderId="0" xfId="51" applyAlignment="1" applyProtection="1">
      <alignment horizontal="left"/>
      <protection hidden="1"/>
    </xf>
    <xf numFmtId="0" fontId="1" fillId="0" borderId="0" xfId="51" applyAlignment="1" applyProtection="1">
      <alignment horizontal="center"/>
      <protection hidden="1"/>
    </xf>
    <xf numFmtId="0" fontId="1" fillId="0" borderId="0" xfId="62" applyAlignment="1" applyProtection="1">
      <alignment horizontal="center"/>
      <protection hidden="1"/>
    </xf>
    <xf numFmtId="0" fontId="1" fillId="0" borderId="0" xfId="62" applyProtection="1">
      <protection hidden="1"/>
    </xf>
    <xf numFmtId="0" fontId="16" fillId="0" borderId="0" xfId="0" applyFont="1" applyAlignment="1" applyProtection="1">
      <alignment horizontal="left" vertical="center" indent="2"/>
      <protection hidden="1"/>
    </xf>
    <xf numFmtId="0" fontId="16" fillId="0" borderId="0" xfId="0" applyFont="1" applyAlignment="1" applyProtection="1">
      <alignment vertical="center"/>
      <protection locked="0"/>
    </xf>
    <xf numFmtId="0" fontId="16" fillId="0" borderId="13" xfId="0" applyFont="1" applyBorder="1" applyAlignment="1" applyProtection="1">
      <alignment horizontal="left" vertical="center"/>
      <protection hidden="1"/>
    </xf>
    <xf numFmtId="0" fontId="15" fillId="0" borderId="0" xfId="49" applyFont="1" applyAlignment="1" applyProtection="1">
      <alignment horizontal="left" vertical="center" indent="2"/>
      <protection hidden="1"/>
    </xf>
    <xf numFmtId="0" fontId="37" fillId="0" borderId="0" xfId="55" applyNumberFormat="1" applyFont="1" applyFill="1" applyBorder="1" applyAlignment="1" applyProtection="1">
      <alignment horizontal="center" vertical="top"/>
      <protection hidden="1"/>
    </xf>
    <xf numFmtId="0" fontId="15" fillId="0" borderId="0" xfId="0" applyFont="1" applyAlignment="1" applyProtection="1">
      <alignment horizontal="center" vertical="center"/>
      <protection hidden="1"/>
    </xf>
    <xf numFmtId="0" fontId="15" fillId="0" borderId="0" xfId="55" applyFont="1" applyAlignment="1" applyProtection="1">
      <alignment horizontal="center" vertical="center" wrapText="1"/>
      <protection hidden="1"/>
    </xf>
    <xf numFmtId="0" fontId="38" fillId="0" borderId="0" xfId="55" applyNumberFormat="1" applyFont="1" applyFill="1" applyBorder="1" applyAlignment="1" applyProtection="1">
      <alignment vertical="top"/>
      <protection hidden="1"/>
    </xf>
    <xf numFmtId="0" fontId="16" fillId="0" borderId="0" xfId="55" applyNumberFormat="1" applyFont="1" applyFill="1" applyBorder="1" applyAlignment="1" applyProtection="1">
      <alignment vertical="center" wrapText="1"/>
      <protection hidden="1"/>
    </xf>
    <xf numFmtId="0" fontId="16" fillId="0" borderId="0" xfId="55" applyFont="1" applyAlignment="1" applyProtection="1">
      <alignment vertical="center"/>
      <protection hidden="1"/>
    </xf>
    <xf numFmtId="0" fontId="39" fillId="0" borderId="0" xfId="0" applyFont="1" applyAlignment="1" applyProtection="1">
      <alignment horizontal="left" vertical="center"/>
      <protection hidden="1"/>
    </xf>
    <xf numFmtId="0" fontId="39" fillId="0" borderId="0" xfId="0" applyFont="1" applyAlignment="1" applyProtection="1">
      <alignment horizontal="justify" vertical="center"/>
      <protection hidden="1"/>
    </xf>
    <xf numFmtId="0" fontId="39" fillId="0" borderId="0" xfId="0" applyFont="1" applyAlignment="1" applyProtection="1">
      <alignment horizontal="center"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left" vertical="center" indent="1"/>
      <protection hidden="1"/>
    </xf>
    <xf numFmtId="0" fontId="39" fillId="0" borderId="0" xfId="55" applyFont="1" applyAlignment="1" applyProtection="1">
      <alignment vertical="center"/>
      <protection hidden="1"/>
    </xf>
    <xf numFmtId="0" fontId="39" fillId="0" borderId="0" xfId="55" applyFont="1" applyAlignment="1" applyProtection="1">
      <alignment vertical="center" wrapText="1"/>
      <protection hidden="1"/>
    </xf>
    <xf numFmtId="0" fontId="39" fillId="0" borderId="0" xfId="55" applyNumberFormat="1" applyFont="1" applyFill="1" applyBorder="1" applyAlignment="1" applyProtection="1">
      <alignment vertical="center"/>
      <protection hidden="1"/>
    </xf>
    <xf numFmtId="0" fontId="16" fillId="0" borderId="0" xfId="55" applyNumberFormat="1" applyFont="1" applyFill="1" applyBorder="1" applyAlignment="1" applyProtection="1">
      <alignment horizontal="left" vertical="center" indent="6"/>
      <protection hidden="1"/>
    </xf>
    <xf numFmtId="0" fontId="38" fillId="0" borderId="14" xfId="55" applyNumberFormat="1" applyFont="1" applyFill="1" applyBorder="1" applyAlignment="1" applyProtection="1">
      <alignment vertical="top"/>
      <protection hidden="1"/>
    </xf>
    <xf numFmtId="0" fontId="38" fillId="0" borderId="15" xfId="55" applyNumberFormat="1" applyFont="1" applyFill="1" applyBorder="1" applyAlignment="1" applyProtection="1">
      <alignment vertical="top"/>
      <protection hidden="1"/>
    </xf>
    <xf numFmtId="0" fontId="15" fillId="0" borderId="10" xfId="55" applyFont="1" applyBorder="1" applyAlignment="1" applyProtection="1">
      <alignment horizontal="center" vertical="center" wrapText="1"/>
      <protection hidden="1"/>
    </xf>
    <xf numFmtId="0" fontId="15" fillId="0" borderId="12" xfId="55" applyFont="1" applyBorder="1" applyAlignment="1" applyProtection="1">
      <alignment horizontal="center" vertical="center" wrapText="1"/>
      <protection hidden="1"/>
    </xf>
    <xf numFmtId="0" fontId="16" fillId="0" borderId="11" xfId="55" applyFont="1" applyBorder="1" applyAlignment="1" applyProtection="1">
      <alignment horizontal="center" vertical="top"/>
      <protection hidden="1"/>
    </xf>
    <xf numFmtId="0" fontId="16" fillId="0" borderId="9" xfId="55" applyFont="1" applyBorder="1" applyAlignment="1" applyProtection="1">
      <alignment horizontal="center" vertical="top"/>
      <protection hidden="1"/>
    </xf>
    <xf numFmtId="0" fontId="15" fillId="0" borderId="0" xfId="55" applyFont="1" applyBorder="1" applyAlignment="1" applyProtection="1">
      <alignment horizontal="center" vertical="center" wrapText="1"/>
      <protection hidden="1"/>
    </xf>
    <xf numFmtId="0" fontId="16" fillId="0" borderId="0" xfId="55" applyFont="1" applyBorder="1" applyAlignment="1" applyProtection="1">
      <alignment horizontal="justify" vertical="center"/>
      <protection hidden="1"/>
    </xf>
    <xf numFmtId="0" fontId="38" fillId="0" borderId="16" xfId="55" applyNumberFormat="1" applyFont="1" applyFill="1" applyBorder="1" applyAlignment="1" applyProtection="1">
      <alignment horizontal="right" vertical="top"/>
      <protection hidden="1"/>
    </xf>
    <xf numFmtId="0" fontId="16" fillId="0" borderId="14" xfId="55" applyFont="1" applyBorder="1" applyAlignment="1" applyProtection="1">
      <alignment horizontal="center" vertical="center"/>
      <protection hidden="1"/>
    </xf>
    <xf numFmtId="10" fontId="16" fillId="3" borderId="11" xfId="55" applyNumberFormat="1" applyFont="1" applyFill="1" applyBorder="1" applyAlignment="1" applyProtection="1">
      <alignment horizontal="right" vertical="center"/>
      <protection locked="0"/>
    </xf>
    <xf numFmtId="168" fontId="15" fillId="0" borderId="0" xfId="0" applyNumberFormat="1" applyFont="1" applyAlignment="1" applyProtection="1">
      <alignment horizontal="center" vertical="center" wrapText="1"/>
      <protection hidden="1"/>
    </xf>
    <xf numFmtId="3" fontId="15" fillId="0" borderId="12" xfId="56" applyNumberFormat="1" applyFont="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locked="0"/>
    </xf>
    <xf numFmtId="0" fontId="15" fillId="0" borderId="0" xfId="52" applyNumberFormat="1" applyFont="1" applyFill="1" applyBorder="1" applyAlignment="1" applyProtection="1">
      <alignment horizontal="left" vertical="center"/>
    </xf>
    <xf numFmtId="0" fontId="15" fillId="0" borderId="0" xfId="56" applyFont="1" applyAlignment="1" applyProtection="1">
      <alignment vertical="top"/>
      <protection hidden="1"/>
    </xf>
    <xf numFmtId="0" fontId="42" fillId="0" borderId="0" xfId="49" applyFont="1" applyAlignment="1" applyProtection="1">
      <alignment vertical="center"/>
      <protection hidden="1"/>
    </xf>
    <xf numFmtId="0" fontId="16" fillId="0" borderId="17" xfId="55" applyNumberFormat="1" applyFont="1" applyFill="1" applyBorder="1" applyAlignment="1" applyProtection="1">
      <alignment horizontal="left" vertical="center" indent="3"/>
      <protection hidden="1"/>
    </xf>
    <xf numFmtId="0" fontId="16" fillId="0" borderId="14" xfId="55" applyFont="1" applyBorder="1" applyAlignment="1" applyProtection="1">
      <alignment horizontal="right" vertical="center"/>
      <protection hidden="1"/>
    </xf>
    <xf numFmtId="0" fontId="16" fillId="0" borderId="18" xfId="55" applyFont="1" applyBorder="1" applyAlignment="1" applyProtection="1">
      <alignment horizontal="right" vertical="center"/>
      <protection hidden="1"/>
    </xf>
    <xf numFmtId="0" fontId="16" fillId="0" borderId="19" xfId="55" applyFont="1" applyBorder="1" applyAlignment="1" applyProtection="1">
      <alignment horizontal="right" vertical="center"/>
      <protection hidden="1"/>
    </xf>
    <xf numFmtId="0" fontId="16" fillId="0" borderId="15" xfId="55" applyFont="1" applyBorder="1" applyAlignment="1" applyProtection="1">
      <alignment horizontal="right" vertical="center"/>
      <protection hidden="1"/>
    </xf>
    <xf numFmtId="0" fontId="43" fillId="0" borderId="17" xfId="56" applyFont="1" applyBorder="1" applyAlignment="1" applyProtection="1">
      <alignment horizontal="center" vertical="center"/>
      <protection hidden="1"/>
    </xf>
    <xf numFmtId="0" fontId="43" fillId="0" borderId="17" xfId="56" applyFont="1" applyBorder="1" applyAlignment="1" applyProtection="1">
      <alignment horizontal="center" vertical="top"/>
      <protection hidden="1"/>
    </xf>
    <xf numFmtId="10" fontId="16" fillId="3" borderId="20" xfId="55" applyNumberFormat="1" applyFont="1" applyFill="1" applyBorder="1" applyAlignment="1" applyProtection="1">
      <alignment horizontal="right" vertical="center" wrapText="1"/>
      <protection locked="0"/>
    </xf>
    <xf numFmtId="10" fontId="16" fillId="3" borderId="21" xfId="55" applyNumberFormat="1" applyFont="1" applyFill="1" applyBorder="1" applyAlignment="1" applyProtection="1">
      <alignment horizontal="right" vertical="center" wrapText="1"/>
      <protection locked="0"/>
    </xf>
    <xf numFmtId="0" fontId="15" fillId="0" borderId="0" xfId="0" applyFont="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27" fillId="0" borderId="0" xfId="52" applyNumberFormat="1" applyFont="1" applyFill="1" applyBorder="1" applyAlignment="1" applyProtection="1">
      <alignment horizontal="center" vertical="center" wrapText="1"/>
      <protection hidden="1"/>
    </xf>
    <xf numFmtId="2" fontId="32" fillId="0" borderId="0" xfId="52" applyNumberFormat="1" applyFont="1" applyFill="1" applyBorder="1" applyAlignment="1" applyProtection="1">
      <alignment horizontal="right" vertical="center"/>
      <protection hidden="1"/>
    </xf>
    <xf numFmtId="2" fontId="27" fillId="0" borderId="0" xfId="52" applyNumberFormat="1" applyFont="1" applyFill="1" applyBorder="1" applyAlignment="1" applyProtection="1">
      <alignment horizontal="right" vertical="center"/>
      <protection hidden="1"/>
    </xf>
    <xf numFmtId="0" fontId="40" fillId="0" borderId="0" xfId="56" applyFont="1" applyAlignment="1" applyProtection="1">
      <alignment vertical="top"/>
      <protection hidden="1"/>
    </xf>
    <xf numFmtId="2" fontId="40" fillId="0" borderId="0" xfId="56" applyNumberFormat="1" applyFont="1" applyAlignment="1" applyProtection="1">
      <alignment vertical="top"/>
      <protection hidden="1"/>
    </xf>
    <xf numFmtId="0" fontId="32" fillId="0" borderId="0" xfId="0" applyFont="1" applyProtection="1">
      <protection hidden="1"/>
    </xf>
    <xf numFmtId="2" fontId="32" fillId="0" borderId="0" xfId="57" applyNumberFormat="1" applyFont="1" applyAlignment="1" applyProtection="1">
      <alignment vertical="center"/>
      <protection hidden="1"/>
    </xf>
    <xf numFmtId="0" fontId="32" fillId="0" borderId="0" xfId="0" applyFont="1" applyAlignment="1" applyProtection="1">
      <alignment horizontal="right"/>
      <protection hidden="1"/>
    </xf>
    <xf numFmtId="2" fontId="32" fillId="0" borderId="0" xfId="0" applyNumberFormat="1" applyFont="1" applyProtection="1">
      <protection hidden="1"/>
    </xf>
    <xf numFmtId="0" fontId="44" fillId="0" borderId="0" xfId="49" applyFont="1" applyProtection="1">
      <protection hidden="1"/>
    </xf>
    <xf numFmtId="0" fontId="44" fillId="0" borderId="0" xfId="49" applyFont="1" applyAlignment="1" applyProtection="1">
      <alignment horizontal="center" vertical="center"/>
      <protection hidden="1"/>
    </xf>
    <xf numFmtId="0" fontId="44" fillId="0" borderId="0" xfId="49" applyFont="1" applyAlignment="1" applyProtection="1">
      <alignment horizontal="center"/>
      <protection hidden="1"/>
    </xf>
    <xf numFmtId="0" fontId="44" fillId="0" borderId="0" xfId="49" applyFont="1" applyAlignment="1" applyProtection="1">
      <alignment horizontal="justify"/>
      <protection hidden="1"/>
    </xf>
    <xf numFmtId="0" fontId="44" fillId="0" borderId="0" xfId="49" quotePrefix="1" applyFont="1" applyAlignment="1" applyProtection="1">
      <alignment horizontal="justify"/>
      <protection hidden="1"/>
    </xf>
    <xf numFmtId="4" fontId="45" fillId="0" borderId="0" xfId="49" applyNumberFormat="1" applyFont="1" applyAlignment="1" applyProtection="1">
      <alignment vertical="center"/>
      <protection hidden="1"/>
    </xf>
    <xf numFmtId="0" fontId="45" fillId="0" borderId="0" xfId="49" applyFont="1" applyAlignment="1" applyProtection="1">
      <alignment horizontal="justify" vertical="center"/>
      <protection hidden="1"/>
    </xf>
    <xf numFmtId="0" fontId="44" fillId="0" borderId="0" xfId="49" applyFont="1" applyAlignment="1" applyProtection="1">
      <alignment vertical="center"/>
      <protection hidden="1"/>
    </xf>
    <xf numFmtId="0" fontId="32" fillId="0" borderId="0" xfId="0" applyFont="1" applyAlignment="1" applyProtection="1">
      <alignment horizontal="left" vertical="center"/>
      <protection hidden="1"/>
    </xf>
    <xf numFmtId="10" fontId="32" fillId="0" borderId="0" xfId="0" applyNumberFormat="1" applyFont="1" applyAlignment="1" applyProtection="1">
      <alignment horizontal="center" vertical="center"/>
      <protection hidden="1"/>
    </xf>
    <xf numFmtId="0" fontId="28" fillId="0" borderId="0" xfId="52" applyNumberFormat="1" applyFont="1" applyFill="1" applyBorder="1" applyAlignment="1" applyProtection="1">
      <alignment vertical="center"/>
      <protection hidden="1"/>
    </xf>
    <xf numFmtId="0" fontId="28" fillId="0" borderId="0" xfId="52" applyNumberFormat="1" applyFont="1" applyFill="1" applyBorder="1" applyAlignment="1" applyProtection="1">
      <alignment vertical="center" wrapText="1"/>
      <protection hidden="1"/>
    </xf>
    <xf numFmtId="0" fontId="15" fillId="0" borderId="0" xfId="52" applyNumberFormat="1" applyFont="1" applyFill="1" applyBorder="1" applyAlignment="1" applyProtection="1">
      <alignment horizontal="left" vertical="center"/>
      <protection hidden="1"/>
    </xf>
    <xf numFmtId="0" fontId="15" fillId="0" borderId="11" xfId="0" applyFont="1" applyBorder="1" applyAlignment="1" applyProtection="1">
      <alignment horizontal="center" vertical="center"/>
      <protection hidden="1"/>
    </xf>
    <xf numFmtId="0" fontId="16" fillId="0" borderId="0" xfId="0" applyFont="1" applyProtection="1">
      <protection hidden="1"/>
    </xf>
    <xf numFmtId="0" fontId="16" fillId="0" borderId="0" xfId="52" applyNumberFormat="1" applyFill="1" applyBorder="1" applyAlignment="1" applyProtection="1">
      <alignment horizontal="center" vertical="center"/>
      <protection hidden="1"/>
    </xf>
    <xf numFmtId="4" fontId="16" fillId="0" borderId="0" xfId="52" applyNumberFormat="1" applyFill="1" applyBorder="1" applyAlignment="1" applyProtection="1">
      <alignment vertical="center"/>
      <protection hidden="1"/>
    </xf>
    <xf numFmtId="0" fontId="15" fillId="0" borderId="0" xfId="52" applyNumberFormat="1" applyFont="1" applyFill="1" applyBorder="1" applyAlignment="1" applyProtection="1">
      <alignment vertical="center" wrapText="1"/>
      <protection hidden="1"/>
    </xf>
    <xf numFmtId="177" fontId="15" fillId="0" borderId="0" xfId="0" applyNumberFormat="1" applyFont="1" applyAlignment="1" applyProtection="1">
      <alignment horizontal="left" vertical="center"/>
      <protection hidden="1"/>
    </xf>
    <xf numFmtId="0" fontId="0" fillId="0" borderId="0" xfId="0" applyAlignment="1" applyProtection="1">
      <alignment horizontal="center"/>
      <protection hidden="1"/>
    </xf>
    <xf numFmtId="0" fontId="32" fillId="0" borderId="0" xfId="0" applyFont="1" applyAlignment="1" applyProtection="1">
      <alignment horizontal="center"/>
      <protection hidden="1"/>
    </xf>
    <xf numFmtId="0" fontId="39" fillId="0" borderId="0" xfId="57" applyFont="1" applyAlignment="1" applyProtection="1">
      <alignment vertical="center"/>
      <protection hidden="1"/>
    </xf>
    <xf numFmtId="0" fontId="39" fillId="0" borderId="0" xfId="0" applyFont="1" applyProtection="1">
      <protection hidden="1"/>
    </xf>
    <xf numFmtId="0" fontId="16" fillId="0" borderId="0" xfId="0" applyFont="1" applyAlignment="1" applyProtection="1">
      <alignment horizontal="justify" vertical="center" wrapText="1"/>
      <protection hidden="1"/>
    </xf>
    <xf numFmtId="166" fontId="16" fillId="0" borderId="11" xfId="57" applyNumberFormat="1" applyBorder="1" applyAlignment="1" applyProtection="1">
      <alignment horizontal="center" vertical="center"/>
      <protection hidden="1"/>
    </xf>
    <xf numFmtId="2" fontId="16" fillId="2" borderId="11" xfId="57" applyNumberFormat="1" applyFill="1" applyBorder="1" applyAlignment="1" applyProtection="1">
      <alignment vertical="center"/>
      <protection hidden="1"/>
    </xf>
    <xf numFmtId="168" fontId="15" fillId="0" borderId="11" xfId="0" applyNumberFormat="1" applyFont="1" applyBorder="1" applyAlignment="1" applyProtection="1">
      <alignment vertical="center" wrapText="1"/>
      <protection hidden="1"/>
    </xf>
    <xf numFmtId="0" fontId="16" fillId="0" borderId="11" xfId="57" applyBorder="1" applyAlignment="1" applyProtection="1">
      <alignment vertical="center"/>
      <protection hidden="1"/>
    </xf>
    <xf numFmtId="0" fontId="16" fillId="0" borderId="4" xfId="0" applyFont="1" applyBorder="1" applyAlignment="1" applyProtection="1">
      <alignment horizontal="left" vertical="center"/>
      <protection hidden="1"/>
    </xf>
    <xf numFmtId="0" fontId="28"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166" fontId="16" fillId="0" borderId="11" xfId="61" applyNumberFormat="1"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protection hidden="1"/>
    </xf>
    <xf numFmtId="2" fontId="16" fillId="0" borderId="20" xfId="0" applyNumberFormat="1" applyFont="1" applyBorder="1" applyAlignment="1" applyProtection="1">
      <alignment vertical="center"/>
      <protection hidden="1"/>
    </xf>
    <xf numFmtId="0" fontId="18" fillId="0" borderId="11" xfId="61" applyFont="1" applyFill="1" applyBorder="1" applyAlignment="1" applyProtection="1">
      <alignment horizontal="center" vertical="center" wrapText="1"/>
      <protection hidden="1"/>
    </xf>
    <xf numFmtId="2" fontId="16" fillId="0" borderId="11" xfId="0" applyNumberFormat="1" applyFont="1" applyBorder="1" applyAlignment="1" applyProtection="1">
      <alignment vertical="center"/>
      <protection hidden="1"/>
    </xf>
    <xf numFmtId="0" fontId="16" fillId="0" borderId="11" xfId="0" applyFont="1" applyBorder="1" applyAlignment="1" applyProtection="1">
      <alignment vertical="center"/>
      <protection hidden="1"/>
    </xf>
    <xf numFmtId="0" fontId="16" fillId="0" borderId="11" xfId="61" applyNumberFormat="1" applyFont="1" applyFill="1" applyBorder="1" applyAlignment="1" applyProtection="1">
      <alignment horizontal="center" vertical="center"/>
      <protection hidden="1"/>
    </xf>
    <xf numFmtId="0" fontId="16" fillId="0" borderId="8" xfId="61" applyNumberFormat="1" applyFont="1" applyFill="1" applyBorder="1" applyAlignment="1" applyProtection="1">
      <alignment horizontal="center" vertical="center"/>
      <protection hidden="1"/>
    </xf>
    <xf numFmtId="0" fontId="15" fillId="0" borderId="8" xfId="61" applyNumberFormat="1" applyFont="1" applyFill="1" applyBorder="1" applyAlignment="1" applyProtection="1">
      <alignment horizontal="left" vertical="center" wrapText="1"/>
      <protection hidden="1"/>
    </xf>
    <xf numFmtId="0" fontId="16" fillId="0" borderId="8" xfId="0" applyFont="1" applyBorder="1" applyAlignment="1" applyProtection="1">
      <alignment horizontal="center" vertical="center"/>
      <protection hidden="1"/>
    </xf>
    <xf numFmtId="1" fontId="16" fillId="0" borderId="8" xfId="0" applyNumberFormat="1" applyFont="1" applyBorder="1" applyAlignment="1" applyProtection="1">
      <alignment vertical="center"/>
      <protection hidden="1"/>
    </xf>
    <xf numFmtId="0" fontId="16" fillId="0" borderId="8" xfId="0" applyFont="1" applyBorder="1" applyAlignment="1" applyProtection="1">
      <alignment vertical="center"/>
      <protection hidden="1"/>
    </xf>
    <xf numFmtId="0" fontId="29" fillId="0" borderId="0" xfId="0" applyFont="1" applyAlignment="1" applyProtection="1">
      <alignment vertical="center" wrapText="1"/>
      <protection hidden="1"/>
    </xf>
    <xf numFmtId="0" fontId="15" fillId="0" borderId="0" xfId="0" applyFont="1" applyAlignment="1" applyProtection="1">
      <alignment horizontal="left" vertical="top"/>
      <protection hidden="1"/>
    </xf>
    <xf numFmtId="0" fontId="28" fillId="0" borderId="0" xfId="0" applyFont="1" applyAlignment="1" applyProtection="1">
      <alignment horizontal="justify" vertical="center" wrapText="1"/>
      <protection hidden="1"/>
    </xf>
    <xf numFmtId="0" fontId="28" fillId="0" borderId="0" xfId="0" applyFont="1" applyAlignment="1" applyProtection="1">
      <alignment horizontal="justify" vertical="center"/>
      <protection hidden="1"/>
    </xf>
    <xf numFmtId="0" fontId="27" fillId="0" borderId="0" xfId="0" applyFont="1" applyAlignment="1" applyProtection="1">
      <alignment vertical="center"/>
      <protection hidden="1"/>
    </xf>
    <xf numFmtId="0" fontId="28" fillId="0" borderId="0" xfId="52" applyNumberFormat="1" applyFont="1" applyFill="1" applyBorder="1" applyAlignment="1" applyProtection="1">
      <alignment horizontal="center" vertical="center"/>
      <protection hidden="1"/>
    </xf>
    <xf numFmtId="0" fontId="28" fillId="0" borderId="0" xfId="0" applyFont="1" applyAlignment="1" applyProtection="1">
      <alignment vertical="center"/>
      <protection hidden="1"/>
    </xf>
    <xf numFmtId="166" fontId="16" fillId="0" borderId="11" xfId="61" quotePrefix="1" applyNumberFormat="1" applyFont="1" applyFill="1" applyBorder="1" applyAlignment="1" applyProtection="1">
      <alignment horizontal="center" vertical="center" wrapText="1"/>
      <protection hidden="1"/>
    </xf>
    <xf numFmtId="2" fontId="16" fillId="0" borderId="11" xfId="52" applyNumberFormat="1" applyFill="1" applyBorder="1" applyAlignment="1" applyProtection="1">
      <alignment horizontal="right" vertical="center"/>
      <protection hidden="1"/>
    </xf>
    <xf numFmtId="0" fontId="18" fillId="0" borderId="11" xfId="53" applyNumberFormat="1" applyFont="1" applyFill="1" applyBorder="1" applyAlignment="1" applyProtection="1">
      <alignment vertical="center" wrapText="1"/>
      <protection hidden="1"/>
    </xf>
    <xf numFmtId="0" fontId="15" fillId="0" borderId="11" xfId="53" applyNumberFormat="1" applyFont="1" applyFill="1" applyBorder="1" applyAlignment="1" applyProtection="1">
      <alignment vertical="center" wrapText="1"/>
      <protection hidden="1"/>
    </xf>
    <xf numFmtId="3" fontId="17" fillId="0" borderId="11" xfId="61" applyNumberFormat="1" applyFont="1" applyBorder="1" applyAlignment="1" applyProtection="1">
      <alignment horizontal="center" vertical="center" wrapText="1"/>
      <protection hidden="1"/>
    </xf>
    <xf numFmtId="3" fontId="18" fillId="0" borderId="11" xfId="61" applyNumberFormat="1" applyFont="1" applyFill="1" applyBorder="1" applyAlignment="1" applyProtection="1">
      <alignment horizontal="center" vertical="center" wrapText="1"/>
      <protection hidden="1"/>
    </xf>
    <xf numFmtId="2" fontId="18" fillId="0" borderId="11" xfId="52" applyNumberFormat="1" applyFont="1" applyFill="1" applyBorder="1" applyAlignment="1" applyProtection="1">
      <alignment horizontal="right" vertical="center"/>
      <protection hidden="1"/>
    </xf>
    <xf numFmtId="2" fontId="15" fillId="0" borderId="11" xfId="52" applyNumberFormat="1" applyFont="1" applyFill="1" applyBorder="1" applyAlignment="1" applyProtection="1">
      <alignment horizontal="right" vertical="center"/>
      <protection hidden="1"/>
    </xf>
    <xf numFmtId="0" fontId="18" fillId="0" borderId="0" xfId="52" applyNumberFormat="1" applyFont="1" applyFill="1" applyBorder="1" applyAlignment="1" applyProtection="1">
      <alignment horizontal="center" vertical="center"/>
      <protection hidden="1"/>
    </xf>
    <xf numFmtId="2" fontId="32" fillId="0" borderId="0" xfId="0" applyNumberFormat="1" applyFont="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Alignment="1" applyProtection="1">
      <alignment vertical="top" wrapText="1"/>
      <protection hidden="1"/>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6"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Alignment="1" applyProtection="1">
      <alignment vertical="top"/>
      <protection hidden="1"/>
    </xf>
    <xf numFmtId="0" fontId="15" fillId="4" borderId="0" xfId="0" applyFont="1" applyFill="1" applyAlignment="1" applyProtection="1">
      <alignment vertical="center"/>
      <protection hidden="1"/>
    </xf>
    <xf numFmtId="0" fontId="47" fillId="4" borderId="0" xfId="0" applyFont="1" applyFill="1" applyAlignment="1" applyProtection="1">
      <alignment vertical="center"/>
      <protection hidden="1"/>
    </xf>
    <xf numFmtId="0" fontId="15" fillId="4" borderId="22" xfId="0" applyFont="1" applyFill="1" applyBorder="1" applyAlignment="1" applyProtection="1">
      <alignment vertical="center"/>
      <protection hidden="1"/>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vertical="center"/>
      <protection locked="0"/>
    </xf>
    <xf numFmtId="0" fontId="47" fillId="0" borderId="25" xfId="0" applyFont="1" applyBorder="1" applyAlignment="1" applyProtection="1">
      <alignment horizontal="center" vertical="center"/>
      <protection locked="0"/>
    </xf>
    <xf numFmtId="0" fontId="47" fillId="0" borderId="26" xfId="0" applyFont="1" applyBorder="1" applyAlignment="1" applyProtection="1">
      <alignment horizontal="center" vertical="center"/>
      <protection locked="0"/>
    </xf>
    <xf numFmtId="0" fontId="47" fillId="0" borderId="27" xfId="0" applyFont="1" applyBorder="1" applyAlignment="1" applyProtection="1">
      <alignment vertical="center"/>
      <protection locked="0"/>
    </xf>
    <xf numFmtId="0" fontId="47" fillId="0" borderId="28" xfId="0" applyFont="1" applyBorder="1" applyAlignment="1" applyProtection="1">
      <alignment horizontal="center" vertical="center"/>
      <protection locked="0"/>
    </xf>
    <xf numFmtId="0" fontId="47" fillId="0" borderId="29" xfId="0" applyFont="1" applyBorder="1" applyAlignment="1" applyProtection="1">
      <alignment horizontal="center" vertical="center"/>
      <protection locked="0"/>
    </xf>
    <xf numFmtId="0" fontId="47" fillId="0" borderId="30" xfId="0" applyFont="1" applyBorder="1" applyAlignment="1" applyProtection="1">
      <alignment vertical="center"/>
      <protection locked="0"/>
    </xf>
    <xf numFmtId="0" fontId="47" fillId="0" borderId="31" xfId="0" applyFont="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18" fillId="0" borderId="0" xfId="53" applyNumberFormat="1" applyFont="1" applyFill="1" applyBorder="1" applyAlignment="1" applyProtection="1">
      <alignment vertical="center" wrapText="1"/>
      <protection hidden="1"/>
    </xf>
    <xf numFmtId="0" fontId="15" fillId="0" borderId="0" xfId="53" applyNumberFormat="1" applyFont="1" applyFill="1" applyBorder="1" applyAlignment="1" applyProtection="1">
      <alignment vertical="center" wrapText="1"/>
      <protection hidden="1"/>
    </xf>
    <xf numFmtId="3" fontId="17" fillId="0" borderId="0" xfId="61" applyNumberFormat="1" applyFont="1" applyBorder="1" applyAlignment="1" applyProtection="1">
      <alignment horizontal="center" vertical="center" wrapText="1"/>
      <protection hidden="1"/>
    </xf>
    <xf numFmtId="3" fontId="18" fillId="0" borderId="0" xfId="61" applyNumberFormat="1" applyFont="1" applyFill="1" applyBorder="1" applyAlignment="1" applyProtection="1">
      <alignment horizontal="center" vertical="center" wrapText="1"/>
      <protection hidden="1"/>
    </xf>
    <xf numFmtId="2" fontId="18" fillId="0" borderId="0" xfId="52" applyNumberFormat="1" applyFont="1" applyFill="1" applyBorder="1" applyAlignment="1" applyProtection="1">
      <alignment horizontal="right" vertical="center"/>
      <protection hidden="1"/>
    </xf>
    <xf numFmtId="2" fontId="15" fillId="0" borderId="0" xfId="52" applyNumberFormat="1" applyFont="1" applyFill="1" applyBorder="1" applyAlignment="1" applyProtection="1">
      <alignment horizontal="right" vertical="center"/>
      <protection hidden="1"/>
    </xf>
    <xf numFmtId="3" fontId="16" fillId="0" borderId="11" xfId="0" applyNumberFormat="1" applyFont="1" applyBorder="1" applyAlignment="1" applyProtection="1">
      <alignment horizontal="center" vertical="center"/>
      <protection hidden="1"/>
    </xf>
    <xf numFmtId="2" fontId="16" fillId="0" borderId="20" xfId="0" applyNumberFormat="1" applyFont="1" applyBorder="1" applyAlignment="1" applyProtection="1">
      <alignment horizontal="right" vertical="center"/>
      <protection hidden="1"/>
    </xf>
    <xf numFmtId="2" fontId="15" fillId="2" borderId="11" xfId="57" applyNumberFormat="1" applyFont="1" applyFill="1" applyBorder="1" applyAlignment="1" applyProtection="1">
      <alignment vertical="center"/>
      <protection hidden="1"/>
    </xf>
    <xf numFmtId="0" fontId="36" fillId="3" borderId="0" xfId="24" applyFont="1" applyFill="1" applyAlignment="1" applyProtection="1">
      <alignment horizontal="center" vertical="center" wrapText="1"/>
    </xf>
    <xf numFmtId="0" fontId="0" fillId="3" borderId="0" xfId="0" applyFill="1" applyAlignment="1">
      <alignment horizontal="center" vertical="center" wrapText="1"/>
    </xf>
    <xf numFmtId="0" fontId="0" fillId="0" borderId="32" xfId="55" applyNumberFormat="1" applyFont="1" applyFill="1" applyBorder="1" applyAlignment="1" applyProtection="1">
      <alignment horizontal="left" vertical="center" indent="3"/>
      <protection hidden="1"/>
    </xf>
    <xf numFmtId="0" fontId="49" fillId="0" borderId="0" xfId="55" applyNumberFormat="1" applyFont="1" applyFill="1" applyBorder="1" applyAlignment="1" applyProtection="1">
      <alignment horizontal="center" vertical="top"/>
      <protection hidden="1"/>
    </xf>
    <xf numFmtId="0" fontId="51" fillId="0" borderId="0" xfId="55" applyNumberFormat="1" applyFont="1" applyFill="1" applyBorder="1" applyAlignment="1" applyProtection="1">
      <alignment vertical="top"/>
      <protection hidden="1"/>
    </xf>
    <xf numFmtId="0" fontId="50" fillId="0" borderId="0" xfId="55" applyNumberFormat="1" applyFont="1" applyFill="1" applyBorder="1" applyAlignment="1" applyProtection="1">
      <alignment vertical="top"/>
      <protection hidden="1"/>
    </xf>
    <xf numFmtId="4" fontId="16" fillId="3" borderId="11" xfId="55" applyNumberFormat="1" applyFont="1" applyFill="1" applyBorder="1" applyAlignment="1" applyProtection="1">
      <alignment horizontal="right" vertical="center"/>
      <protection locked="0"/>
    </xf>
    <xf numFmtId="4" fontId="16" fillId="3" borderId="20" xfId="55" applyNumberFormat="1" applyFont="1" applyFill="1" applyBorder="1" applyAlignment="1" applyProtection="1">
      <alignment horizontal="right" vertical="center" wrapText="1"/>
      <protection locked="0"/>
    </xf>
    <xf numFmtId="4" fontId="16" fillId="3" borderId="21" xfId="55" applyNumberFormat="1" applyFont="1" applyFill="1" applyBorder="1" applyAlignment="1" applyProtection="1">
      <alignment horizontal="right" vertical="center" wrapText="1"/>
      <protection locked="0"/>
    </xf>
    <xf numFmtId="0" fontId="16" fillId="0" borderId="11" xfId="0" applyFont="1" applyBorder="1" applyAlignment="1">
      <alignment horizontal="center" vertical="center"/>
    </xf>
    <xf numFmtId="2" fontId="39" fillId="3" borderId="11" xfId="57" applyNumberFormat="1" applyFont="1" applyFill="1" applyBorder="1" applyAlignment="1">
      <alignment vertical="center"/>
    </xf>
    <xf numFmtId="1" fontId="16" fillId="0" borderId="11" xfId="61" quotePrefix="1" applyNumberFormat="1" applyFont="1" applyFill="1" applyBorder="1" applyAlignment="1" applyProtection="1">
      <alignment horizontal="center" vertical="center" wrapText="1"/>
      <protection hidden="1"/>
    </xf>
    <xf numFmtId="0" fontId="16" fillId="0" borderId="11" xfId="61" quotePrefix="1" applyNumberFormat="1" applyFont="1" applyFill="1" applyBorder="1" applyAlignment="1" applyProtection="1">
      <alignment horizontal="center" vertical="center" wrapText="1"/>
      <protection hidden="1"/>
    </xf>
    <xf numFmtId="166" fontId="16" fillId="0" borderId="11" xfId="57" applyNumberFormat="1" applyBorder="1" applyAlignment="1" applyProtection="1">
      <alignment horizontal="left" vertical="center"/>
      <protection hidden="1"/>
    </xf>
    <xf numFmtId="0" fontId="16" fillId="0" borderId="11" xfId="61" applyNumberFormat="1" applyFont="1" applyFill="1" applyBorder="1" applyAlignment="1" applyProtection="1">
      <alignment horizontal="center" vertical="center" wrapText="1"/>
      <protection hidden="1"/>
    </xf>
    <xf numFmtId="10" fontId="15" fillId="3" borderId="11" xfId="56" applyNumberFormat="1" applyFont="1" applyFill="1" applyBorder="1" applyAlignment="1" applyProtection="1">
      <alignment horizontal="center" vertical="center" wrapText="1"/>
      <protection hidden="1"/>
    </xf>
    <xf numFmtId="0" fontId="15" fillId="3" borderId="11" xfId="56" applyFont="1" applyFill="1" applyBorder="1" applyAlignment="1" applyProtection="1">
      <alignment horizontal="center" vertical="center" wrapText="1"/>
      <protection hidden="1"/>
    </xf>
    <xf numFmtId="0" fontId="2" fillId="3" borderId="0" xfId="24" applyFill="1" applyAlignment="1" applyProtection="1">
      <alignment horizontal="center" vertical="center" wrapText="1"/>
    </xf>
    <xf numFmtId="0" fontId="16" fillId="0" borderId="7" xfId="56" applyFont="1" applyBorder="1" applyAlignment="1" applyProtection="1">
      <alignment horizontal="justify" vertical="center" wrapText="1"/>
      <protection hidden="1"/>
    </xf>
    <xf numFmtId="0" fontId="5" fillId="0" borderId="0" xfId="49" applyFont="1" applyAlignment="1" applyProtection="1">
      <alignment vertical="top"/>
      <protection hidden="1"/>
    </xf>
    <xf numFmtId="0" fontId="16" fillId="0" borderId="0" xfId="49" applyFont="1" applyAlignment="1" applyProtection="1">
      <alignment vertical="top"/>
      <protection hidden="1"/>
    </xf>
    <xf numFmtId="0" fontId="0" fillId="0" borderId="0" xfId="49" applyFont="1" applyAlignment="1" applyProtection="1">
      <alignment vertical="top"/>
      <protection hidden="1"/>
    </xf>
    <xf numFmtId="0" fontId="33" fillId="0" borderId="0" xfId="49" applyAlignment="1" applyProtection="1">
      <alignment vertical="top"/>
      <protection hidden="1"/>
    </xf>
    <xf numFmtId="4" fontId="5" fillId="0" borderId="0" xfId="56" applyNumberFormat="1" applyFont="1" applyAlignment="1" applyProtection="1">
      <alignment vertical="top"/>
      <protection hidden="1"/>
    </xf>
    <xf numFmtId="2" fontId="16" fillId="0" borderId="11" xfId="56" applyNumberFormat="1" applyFont="1" applyBorder="1" applyAlignment="1" applyProtection="1">
      <alignment horizontal="justify" vertical="center" wrapText="1"/>
      <protection hidden="1"/>
    </xf>
    <xf numFmtId="1" fontId="16" fillId="0" borderId="0" xfId="60" applyNumberFormat="1" applyFont="1" applyAlignment="1" applyProtection="1">
      <alignment vertical="center" wrapText="1"/>
      <protection hidden="1"/>
    </xf>
    <xf numFmtId="1" fontId="15" fillId="0" borderId="0" xfId="60" applyNumberFormat="1" applyFont="1" applyAlignment="1" applyProtection="1">
      <alignment horizontal="center" vertical="center" wrapText="1"/>
      <protection hidden="1"/>
    </xf>
    <xf numFmtId="0" fontId="15" fillId="0" borderId="0" xfId="60" applyFont="1" applyAlignment="1" applyProtection="1">
      <alignment horizontal="center" vertical="center" wrapText="1"/>
      <protection hidden="1"/>
    </xf>
    <xf numFmtId="0" fontId="36" fillId="0" borderId="0" xfId="60" applyProtection="1">
      <protection hidden="1"/>
    </xf>
    <xf numFmtId="4" fontId="15" fillId="0" borderId="0" xfId="60" applyNumberFormat="1" applyFont="1" applyAlignment="1" applyProtection="1">
      <alignment horizontal="center" vertical="center" wrapText="1"/>
      <protection hidden="1"/>
    </xf>
    <xf numFmtId="0" fontId="19" fillId="0" borderId="0" xfId="60" applyFont="1" applyProtection="1">
      <protection hidden="1"/>
    </xf>
    <xf numFmtId="4" fontId="15" fillId="0" borderId="11" xfId="60" applyNumberFormat="1" applyFont="1" applyBorder="1" applyAlignment="1" applyProtection="1">
      <alignment horizontal="center" vertical="center" wrapText="1"/>
      <protection hidden="1"/>
    </xf>
    <xf numFmtId="1" fontId="15" fillId="0" borderId="11" xfId="60" applyNumberFormat="1" applyFont="1" applyBorder="1" applyAlignment="1" applyProtection="1">
      <alignment vertical="center" wrapText="1"/>
      <protection hidden="1"/>
    </xf>
    <xf numFmtId="4" fontId="15" fillId="0" borderId="11" xfId="60" applyNumberFormat="1" applyFont="1" applyBorder="1" applyAlignment="1" applyProtection="1">
      <alignment horizontal="right" vertical="center" wrapText="1"/>
      <protection hidden="1"/>
    </xf>
    <xf numFmtId="4" fontId="15" fillId="0" borderId="33" xfId="60" applyNumberFormat="1" applyFont="1" applyBorder="1" applyAlignment="1" applyProtection="1">
      <alignment horizontal="right" vertical="center" wrapText="1"/>
      <protection hidden="1"/>
    </xf>
    <xf numFmtId="4" fontId="16" fillId="0" borderId="34" xfId="60" applyNumberFormat="1" applyFont="1" applyBorder="1" applyAlignment="1" applyProtection="1">
      <alignment horizontal="right" vertical="center" wrapText="1"/>
      <protection hidden="1"/>
    </xf>
    <xf numFmtId="0" fontId="19" fillId="0" borderId="0" xfId="60" applyFont="1" applyAlignment="1" applyProtection="1">
      <alignment vertical="center"/>
      <protection hidden="1"/>
    </xf>
    <xf numFmtId="1" fontId="16" fillId="0" borderId="11" xfId="60" applyNumberFormat="1" applyFont="1" applyBorder="1" applyAlignment="1" applyProtection="1">
      <alignment horizontal="center" vertical="center" wrapText="1"/>
      <protection hidden="1"/>
    </xf>
    <xf numFmtId="0" fontId="15" fillId="0" borderId="33" xfId="60" applyFont="1" applyBorder="1" applyAlignment="1" applyProtection="1">
      <alignment vertical="center" wrapText="1"/>
      <protection hidden="1"/>
    </xf>
    <xf numFmtId="0" fontId="15" fillId="0" borderId="34" xfId="60" applyFont="1" applyBorder="1" applyAlignment="1" applyProtection="1">
      <alignment vertical="center" wrapText="1"/>
      <protection hidden="1"/>
    </xf>
    <xf numFmtId="4" fontId="16" fillId="0" borderId="11" xfId="60" applyNumberFormat="1" applyFont="1" applyBorder="1" applyAlignment="1" applyProtection="1">
      <alignment vertical="center" wrapText="1"/>
      <protection hidden="1"/>
    </xf>
    <xf numFmtId="4" fontId="15" fillId="0" borderId="33" xfId="60" applyNumberFormat="1" applyFont="1" applyBorder="1" applyAlignment="1" applyProtection="1">
      <alignment vertical="center" wrapText="1"/>
      <protection hidden="1"/>
    </xf>
    <xf numFmtId="4" fontId="16" fillId="0" borderId="34" xfId="60" applyNumberFormat="1" applyFont="1" applyBorder="1" applyAlignment="1" applyProtection="1">
      <alignment vertical="center" wrapText="1"/>
      <protection hidden="1"/>
    </xf>
    <xf numFmtId="3" fontId="19" fillId="0" borderId="0" xfId="60" applyNumberFormat="1" applyFont="1" applyProtection="1">
      <protection hidden="1"/>
    </xf>
    <xf numFmtId="4" fontId="16" fillId="0" borderId="11" xfId="60" applyNumberFormat="1" applyFont="1" applyBorder="1" applyAlignment="1" applyProtection="1">
      <alignment horizontal="right" vertical="center" wrapText="1"/>
      <protection hidden="1"/>
    </xf>
    <xf numFmtId="4" fontId="15" fillId="0" borderId="11" xfId="60" applyNumberFormat="1" applyFont="1" applyBorder="1" applyAlignment="1" applyProtection="1">
      <alignment vertical="center" wrapText="1"/>
      <protection hidden="1"/>
    </xf>
    <xf numFmtId="4" fontId="15" fillId="0" borderId="34" xfId="60" applyNumberFormat="1" applyFont="1" applyBorder="1" applyAlignment="1" applyProtection="1">
      <alignment vertical="center" wrapText="1"/>
      <protection hidden="1"/>
    </xf>
    <xf numFmtId="0" fontId="15" fillId="5" borderId="33" xfId="60" applyFont="1" applyFill="1" applyBorder="1" applyAlignment="1" applyProtection="1">
      <alignment vertical="center" wrapText="1"/>
      <protection hidden="1"/>
    </xf>
    <xf numFmtId="0" fontId="16" fillId="0" borderId="34" xfId="60" applyFont="1" applyBorder="1" applyAlignment="1" applyProtection="1">
      <alignment vertical="center" wrapText="1"/>
      <protection hidden="1"/>
    </xf>
    <xf numFmtId="4" fontId="16" fillId="0" borderId="33" xfId="60" applyNumberFormat="1" applyFont="1" applyBorder="1" applyAlignment="1" applyProtection="1">
      <alignment vertical="center" wrapText="1"/>
      <protection hidden="1"/>
    </xf>
    <xf numFmtId="2" fontId="19" fillId="0" borderId="0" xfId="60" applyNumberFormat="1" applyFont="1" applyProtection="1">
      <protection hidden="1"/>
    </xf>
    <xf numFmtId="178" fontId="19" fillId="0" borderId="0" xfId="60" applyNumberFormat="1" applyFont="1" applyProtection="1">
      <protection hidden="1"/>
    </xf>
    <xf numFmtId="0" fontId="16" fillId="0" borderId="34" xfId="60" applyFont="1" applyBorder="1" applyAlignment="1" applyProtection="1">
      <alignment horizontal="center" vertical="center" wrapText="1"/>
      <protection hidden="1"/>
    </xf>
    <xf numFmtId="3" fontId="16" fillId="0" borderId="11" xfId="60" applyNumberFormat="1" applyFont="1" applyBorder="1" applyAlignment="1" applyProtection="1">
      <alignment horizontal="right" vertical="center" wrapText="1"/>
      <protection hidden="1"/>
    </xf>
    <xf numFmtId="3" fontId="16" fillId="0" borderId="33" xfId="60" applyNumberFormat="1" applyFont="1" applyBorder="1" applyAlignment="1" applyProtection="1">
      <alignment horizontal="right" vertical="center" wrapText="1"/>
      <protection hidden="1"/>
    </xf>
    <xf numFmtId="3" fontId="15" fillId="0" borderId="33" xfId="60" applyNumberFormat="1" applyFont="1" applyBorder="1" applyAlignment="1" applyProtection="1">
      <alignment horizontal="right" vertical="center" wrapText="1"/>
      <protection hidden="1"/>
    </xf>
    <xf numFmtId="4" fontId="15" fillId="0" borderId="34"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33" xfId="16" applyNumberFormat="1" applyFont="1" applyBorder="1" applyAlignment="1" applyProtection="1">
      <alignment horizontal="right" vertical="center" wrapText="1"/>
      <protection hidden="1"/>
    </xf>
    <xf numFmtId="4" fontId="15" fillId="0" borderId="33" xfId="60" applyNumberFormat="1" applyFont="1" applyBorder="1" applyAlignment="1" applyProtection="1">
      <alignment horizontal="center" vertical="center" wrapText="1"/>
      <protection hidden="1"/>
    </xf>
    <xf numFmtId="4" fontId="15" fillId="0" borderId="34" xfId="60" applyNumberFormat="1" applyFont="1" applyBorder="1" applyAlignment="1" applyProtection="1">
      <alignment horizontal="right" vertical="center" wrapText="1"/>
      <protection hidden="1"/>
    </xf>
    <xf numFmtId="1" fontId="16" fillId="0" borderId="35" xfId="60" applyNumberFormat="1" applyFont="1" applyBorder="1" applyAlignment="1" applyProtection="1">
      <alignment horizontal="center" vertical="center" wrapText="1"/>
      <protection hidden="1"/>
    </xf>
    <xf numFmtId="0" fontId="15" fillId="0" borderId="8" xfId="60" applyFont="1" applyBorder="1" applyAlignment="1" applyProtection="1">
      <alignment vertical="center" wrapText="1"/>
      <protection hidden="1"/>
    </xf>
    <xf numFmtId="4" fontId="16" fillId="0" borderId="8" xfId="60" applyNumberFormat="1" applyFont="1" applyBorder="1" applyAlignment="1" applyProtection="1">
      <alignment vertical="center" wrapText="1"/>
      <protection hidden="1"/>
    </xf>
    <xf numFmtId="4" fontId="15" fillId="0" borderId="8" xfId="60" applyNumberFormat="1" applyFont="1" applyBorder="1" applyAlignment="1" applyProtection="1">
      <alignment vertical="center" wrapText="1"/>
      <protection hidden="1"/>
    </xf>
    <xf numFmtId="4" fontId="16" fillId="0" borderId="36" xfId="60" applyNumberFormat="1" applyFont="1" applyBorder="1" applyAlignment="1" applyProtection="1">
      <alignment vertical="center" wrapText="1"/>
      <protection hidden="1"/>
    </xf>
    <xf numFmtId="1" fontId="15" fillId="0" borderId="5" xfId="60" applyNumberFormat="1" applyFont="1" applyBorder="1" applyAlignment="1" applyProtection="1">
      <alignment horizontal="center" vertical="center" wrapText="1"/>
      <protection hidden="1"/>
    </xf>
    <xf numFmtId="0" fontId="16" fillId="0" borderId="0" xfId="60" applyFont="1" applyAlignment="1" applyProtection="1">
      <alignment horizontal="justify" vertical="center" wrapText="1"/>
      <protection hidden="1"/>
    </xf>
    <xf numFmtId="2" fontId="0" fillId="0" borderId="5" xfId="60" applyNumberFormat="1" applyFont="1" applyBorder="1" applyAlignment="1" applyProtection="1">
      <alignment horizontal="left" vertical="center" wrapText="1" indent="3"/>
      <protection hidden="1"/>
    </xf>
    <xf numFmtId="0" fontId="0" fillId="0" borderId="0" xfId="60" applyFont="1" applyAlignment="1" applyProtection="1">
      <alignment vertical="center" wrapText="1"/>
      <protection hidden="1"/>
    </xf>
    <xf numFmtId="2" fontId="16" fillId="0" borderId="0" xfId="60" applyNumberFormat="1" applyFont="1" applyAlignment="1" applyProtection="1">
      <alignment horizontal="left" vertical="center" wrapText="1"/>
      <protection hidden="1"/>
    </xf>
    <xf numFmtId="0" fontId="0" fillId="0" borderId="0" xfId="60" applyFont="1" applyAlignment="1" applyProtection="1">
      <alignment horizontal="justify" vertical="center" wrapText="1"/>
      <protection hidden="1"/>
    </xf>
    <xf numFmtId="3" fontId="16" fillId="0" borderId="6" xfId="60" applyNumberFormat="1" applyFont="1" applyBorder="1" applyAlignment="1" applyProtection="1">
      <alignment horizontal="right" vertical="center" wrapText="1"/>
      <protection hidden="1"/>
    </xf>
    <xf numFmtId="10" fontId="16" fillId="0" borderId="0" xfId="60" applyNumberFormat="1" applyFont="1" applyAlignment="1" applyProtection="1">
      <alignment horizontal="left" vertical="center" wrapText="1"/>
      <protection hidden="1"/>
    </xf>
    <xf numFmtId="4" fontId="16" fillId="0" borderId="6" xfId="60" applyNumberFormat="1" applyFont="1" applyBorder="1" applyAlignment="1" applyProtection="1">
      <alignment horizontal="right" vertical="center" wrapText="1"/>
      <protection hidden="1"/>
    </xf>
    <xf numFmtId="1" fontId="15" fillId="0" borderId="5" xfId="60" applyNumberFormat="1" applyFont="1" applyBorder="1" applyAlignment="1" applyProtection="1">
      <alignment horizontal="center" vertical="top" wrapText="1"/>
      <protection hidden="1"/>
    </xf>
    <xf numFmtId="1" fontId="16" fillId="0" borderId="5" xfId="60" applyNumberFormat="1" applyFont="1" applyBorder="1" applyAlignment="1" applyProtection="1">
      <alignment horizontal="left" vertical="center" wrapText="1" indent="3"/>
      <protection hidden="1"/>
    </xf>
    <xf numFmtId="0" fontId="16" fillId="0" borderId="0" xfId="60" applyFont="1" applyAlignment="1" applyProtection="1">
      <alignment vertical="center" wrapText="1"/>
      <protection hidden="1"/>
    </xf>
    <xf numFmtId="10" fontId="15" fillId="6" borderId="0" xfId="60" applyNumberFormat="1" applyFont="1" applyFill="1" applyAlignment="1" applyProtection="1">
      <alignment vertical="center" wrapText="1"/>
      <protection locked="0" hidden="1"/>
    </xf>
    <xf numFmtId="1" fontId="0" fillId="0" borderId="5" xfId="60" applyNumberFormat="1" applyFont="1" applyBorder="1" applyAlignment="1" applyProtection="1">
      <alignment horizontal="left" vertical="center" wrapText="1" indent="3"/>
      <protection hidden="1"/>
    </xf>
    <xf numFmtId="2" fontId="15" fillId="0" borderId="0" xfId="60" applyNumberFormat="1" applyFont="1" applyAlignment="1" applyProtection="1">
      <alignment vertical="center" wrapText="1"/>
      <protection hidden="1"/>
    </xf>
    <xf numFmtId="4" fontId="16" fillId="6" borderId="6" xfId="60" applyNumberFormat="1" applyFont="1" applyFill="1" applyBorder="1" applyAlignment="1" applyProtection="1">
      <alignment horizontal="right" vertical="center" wrapText="1"/>
      <protection locked="0" hidden="1"/>
    </xf>
    <xf numFmtId="3" fontId="16" fillId="6" borderId="6" xfId="60" applyNumberFormat="1" applyFont="1" applyFill="1" applyBorder="1" applyAlignment="1" applyProtection="1">
      <alignment horizontal="right" vertical="center" wrapText="1"/>
      <protection locked="0" hidden="1"/>
    </xf>
    <xf numFmtId="4" fontId="16" fillId="0" borderId="6" xfId="60" applyNumberFormat="1" applyFont="1" applyBorder="1" applyAlignment="1" applyProtection="1">
      <alignment horizontal="justify" vertical="center" wrapText="1"/>
      <protection hidden="1"/>
    </xf>
    <xf numFmtId="1" fontId="0" fillId="0" borderId="0" xfId="60" applyNumberFormat="1" applyFont="1" applyAlignment="1" applyProtection="1">
      <alignment vertical="center" wrapText="1"/>
      <protection hidden="1"/>
    </xf>
    <xf numFmtId="4" fontId="16" fillId="0" borderId="0" xfId="60" applyNumberFormat="1" applyFont="1" applyAlignment="1" applyProtection="1">
      <alignment vertical="center" wrapText="1"/>
      <protection hidden="1"/>
    </xf>
    <xf numFmtId="0" fontId="0" fillId="0" borderId="0" xfId="0" applyAlignment="1">
      <alignment vertical="top"/>
    </xf>
    <xf numFmtId="9" fontId="0" fillId="0" borderId="5" xfId="60"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4" fontId="15" fillId="0" borderId="12" xfId="56" applyNumberFormat="1" applyFont="1" applyBorder="1" applyAlignment="1" applyProtection="1">
      <alignment vertical="center"/>
      <protection hidden="1"/>
    </xf>
    <xf numFmtId="0" fontId="16" fillId="0" borderId="37" xfId="56" applyFont="1" applyBorder="1" applyAlignment="1" applyProtection="1">
      <alignment horizontal="justify" vertical="center" wrapText="1"/>
      <protection hidden="1"/>
    </xf>
    <xf numFmtId="4" fontId="15" fillId="0" borderId="9" xfId="56" applyNumberFormat="1" applyFont="1" applyBorder="1" applyAlignment="1" applyProtection="1">
      <alignment vertical="center" wrapText="1"/>
      <protection hidden="1"/>
    </xf>
    <xf numFmtId="14" fontId="0" fillId="0" borderId="0" xfId="0" applyNumberFormat="1" applyAlignment="1" applyProtection="1">
      <alignment horizontal="left" vertical="center"/>
      <protection hidden="1"/>
    </xf>
    <xf numFmtId="14" fontId="0" fillId="0" borderId="0" xfId="0" applyNumberFormat="1" applyAlignment="1">
      <alignment horizontal="left" vertical="center"/>
    </xf>
    <xf numFmtId="0" fontId="0" fillId="0" borderId="0" xfId="56" applyFont="1" applyAlignment="1" applyProtection="1">
      <alignment vertical="center"/>
      <protection hidden="1"/>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center" vertical="center"/>
    </xf>
    <xf numFmtId="0" fontId="36" fillId="0" borderId="0" xfId="55" applyNumberFormat="1" applyFont="1" applyFill="1" applyBorder="1" applyAlignment="1" applyProtection="1">
      <alignment vertical="top"/>
      <protection hidden="1"/>
    </xf>
    <xf numFmtId="0" fontId="19" fillId="0" borderId="0" xfId="49" applyFont="1" applyProtection="1">
      <protection hidden="1"/>
    </xf>
    <xf numFmtId="0" fontId="0" fillId="0" borderId="11" xfId="55" applyFont="1" applyBorder="1" applyAlignment="1" applyProtection="1">
      <alignment horizontal="center" vertical="top" wrapText="1"/>
      <protection hidden="1"/>
    </xf>
    <xf numFmtId="43" fontId="15" fillId="0" borderId="11" xfId="7" applyFont="1" applyFill="1" applyBorder="1" applyAlignment="1" applyProtection="1">
      <alignment horizontal="right" vertical="center"/>
      <protection hidden="1"/>
    </xf>
    <xf numFmtId="2" fontId="5" fillId="0" borderId="0" xfId="56" applyNumberFormat="1" applyFont="1" applyAlignment="1" applyProtection="1">
      <alignment vertical="top"/>
      <protection hidden="1"/>
    </xf>
    <xf numFmtId="43" fontId="15" fillId="0" borderId="10" xfId="7" applyFont="1" applyFill="1" applyBorder="1" applyAlignment="1" applyProtection="1">
      <alignment horizontal="right" vertical="center"/>
      <protection hidden="1"/>
    </xf>
    <xf numFmtId="43" fontId="5" fillId="0" borderId="0" xfId="56" applyNumberFormat="1" applyFont="1" applyAlignment="1" applyProtection="1">
      <alignment vertical="top"/>
      <protection hidden="1"/>
    </xf>
    <xf numFmtId="43" fontId="5" fillId="0" borderId="0" xfId="7" applyFont="1" applyAlignment="1" applyProtection="1">
      <alignment vertical="top"/>
      <protection hidden="1"/>
    </xf>
    <xf numFmtId="43" fontId="16" fillId="0" borderId="11" xfId="7" applyFont="1" applyBorder="1" applyAlignment="1" applyProtection="1">
      <alignment horizontal="center" vertical="center" wrapText="1"/>
      <protection hidden="1"/>
    </xf>
    <xf numFmtId="10" fontId="15" fillId="3" borderId="11" xfId="56" applyNumberFormat="1" applyFont="1" applyFill="1" applyBorder="1" applyAlignment="1" applyProtection="1">
      <alignment horizontal="right" vertical="center" wrapText="1"/>
      <protection locked="0" hidden="1"/>
    </xf>
    <xf numFmtId="43" fontId="15" fillId="0" borderId="6" xfId="7" applyFont="1" applyFill="1" applyBorder="1" applyAlignment="1" applyProtection="1">
      <alignment vertical="center"/>
      <protection hidden="1"/>
    </xf>
    <xf numFmtId="164" fontId="5" fillId="0" borderId="0" xfId="56" applyNumberFormat="1" applyFont="1" applyAlignment="1" applyProtection="1">
      <alignment vertical="top"/>
      <protection hidden="1"/>
    </xf>
    <xf numFmtId="0" fontId="52" fillId="0" borderId="0" xfId="55" applyNumberFormat="1" applyFont="1" applyFill="1" applyBorder="1" applyAlignment="1" applyProtection="1">
      <alignment horizontal="center" vertical="center"/>
      <protection hidden="1"/>
    </xf>
    <xf numFmtId="0" fontId="53" fillId="0" borderId="0" xfId="55" applyNumberFormat="1" applyFont="1" applyFill="1" applyBorder="1" applyAlignment="1" applyProtection="1">
      <alignment horizontal="center" vertical="center"/>
      <protection hidden="1"/>
    </xf>
    <xf numFmtId="0" fontId="53" fillId="0" borderId="0" xfId="55" applyNumberFormat="1" applyFont="1" applyFill="1" applyBorder="1" applyAlignment="1" applyProtection="1">
      <alignment horizontal="center" vertical="top"/>
      <protection hidden="1"/>
    </xf>
    <xf numFmtId="0" fontId="54" fillId="0" borderId="0" xfId="55" applyNumberFormat="1" applyFont="1" applyFill="1" applyBorder="1" applyAlignment="1" applyProtection="1">
      <alignment vertical="center"/>
      <protection hidden="1"/>
    </xf>
    <xf numFmtId="0" fontId="55" fillId="0" borderId="0" xfId="55" applyNumberFormat="1" applyFont="1" applyFill="1" applyBorder="1" applyAlignment="1" applyProtection="1">
      <alignment vertical="center"/>
      <protection hidden="1"/>
    </xf>
    <xf numFmtId="0" fontId="55" fillId="0" borderId="0" xfId="55" applyNumberFormat="1" applyFont="1" applyFill="1" applyBorder="1" applyAlignment="1" applyProtection="1">
      <alignment vertical="top"/>
      <protection hidden="1"/>
    </xf>
    <xf numFmtId="0" fontId="55" fillId="0" borderId="0" xfId="55" applyNumberFormat="1" applyFont="1" applyFill="1" applyBorder="1" applyAlignment="1" applyProtection="1">
      <alignment vertical="top" wrapText="1"/>
      <protection hidden="1"/>
    </xf>
    <xf numFmtId="43" fontId="55" fillId="0" borderId="0" xfId="7" applyFont="1" applyFill="1" applyBorder="1" applyAlignment="1" applyProtection="1">
      <alignment vertical="center"/>
      <protection hidden="1"/>
    </xf>
    <xf numFmtId="179" fontId="54" fillId="0" borderId="0" xfId="55" applyNumberFormat="1" applyFont="1" applyFill="1" applyBorder="1" applyAlignment="1" applyProtection="1">
      <alignment vertical="center"/>
      <protection hidden="1"/>
    </xf>
    <xf numFmtId="2" fontId="55" fillId="0" borderId="0" xfId="55" applyNumberFormat="1" applyFont="1" applyFill="1" applyBorder="1" applyAlignment="1" applyProtection="1">
      <alignment vertical="center"/>
      <protection hidden="1"/>
    </xf>
    <xf numFmtId="10" fontId="55" fillId="0" borderId="0" xfId="55" applyNumberFormat="1" applyFont="1" applyFill="1" applyBorder="1" applyAlignment="1" applyProtection="1">
      <alignment vertical="top"/>
      <protection hidden="1"/>
    </xf>
    <xf numFmtId="0" fontId="54" fillId="0" borderId="0" xfId="55" applyNumberFormat="1" applyFont="1" applyFill="1" applyBorder="1" applyAlignment="1" applyProtection="1">
      <alignment vertical="top"/>
      <protection hidden="1"/>
    </xf>
    <xf numFmtId="2" fontId="54" fillId="0" borderId="0" xfId="55" applyNumberFormat="1" applyFont="1" applyFill="1" applyBorder="1" applyAlignment="1" applyProtection="1">
      <alignment vertical="center"/>
      <protection hidden="1"/>
    </xf>
    <xf numFmtId="179" fontId="54" fillId="0" borderId="0" xfId="55" applyNumberFormat="1" applyFont="1" applyFill="1" applyBorder="1" applyAlignment="1" applyProtection="1">
      <alignment vertical="top"/>
      <protection hidden="1"/>
    </xf>
    <xf numFmtId="0" fontId="56" fillId="0" borderId="17" xfId="55" applyNumberFormat="1" applyFont="1" applyFill="1" applyBorder="1" applyAlignment="1" applyProtection="1">
      <alignment horizontal="left" vertical="center" indent="3"/>
      <protection hidden="1"/>
    </xf>
    <xf numFmtId="0" fontId="56" fillId="0" borderId="32" xfId="55" applyNumberFormat="1" applyFont="1" applyFill="1" applyBorder="1" applyAlignment="1" applyProtection="1">
      <alignment horizontal="left" vertical="center" indent="3"/>
      <protection hidden="1"/>
    </xf>
    <xf numFmtId="10" fontId="54" fillId="0" borderId="0" xfId="55"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49" applyFont="1" applyAlignment="1" applyProtection="1">
      <alignment horizontal="left" vertical="center"/>
      <protection hidden="1"/>
    </xf>
    <xf numFmtId="0" fontId="54" fillId="0" borderId="0" xfId="49" applyFont="1" applyAlignment="1" applyProtection="1">
      <alignment vertical="center"/>
      <protection hidden="1"/>
    </xf>
    <xf numFmtId="0" fontId="16" fillId="0" borderId="0" xfId="0" applyFont="1" applyAlignment="1" applyProtection="1">
      <alignment vertical="top"/>
      <protection hidden="1"/>
    </xf>
    <xf numFmtId="0" fontId="5" fillId="0" borderId="0" xfId="0" applyFont="1" applyAlignment="1" applyProtection="1">
      <alignment vertical="top"/>
      <protection hidden="1"/>
    </xf>
    <xf numFmtId="0" fontId="0" fillId="0" borderId="0" xfId="0" applyAlignment="1" applyProtection="1">
      <alignment vertical="top"/>
      <protection hidden="1"/>
    </xf>
    <xf numFmtId="0" fontId="5" fillId="0" borderId="0" xfId="0" applyFont="1" applyProtection="1">
      <protection hidden="1"/>
    </xf>
    <xf numFmtId="0" fontId="5" fillId="0" borderId="0" xfId="0" applyFont="1" applyAlignment="1" applyProtection="1">
      <alignment horizontal="justify"/>
      <protection hidden="1"/>
    </xf>
    <xf numFmtId="0" fontId="21" fillId="0" borderId="0" xfId="0" applyFont="1" applyAlignment="1" applyProtection="1">
      <alignment horizontal="center" vertical="top"/>
      <protection hidden="1"/>
    </xf>
    <xf numFmtId="166" fontId="6" fillId="0" borderId="0" xfId="0" quotePrefix="1" applyNumberFormat="1" applyFont="1" applyAlignment="1" applyProtection="1">
      <alignment horizontal="left" vertical="top" wrapText="1"/>
      <protection hidden="1"/>
    </xf>
    <xf numFmtId="0" fontId="20" fillId="0" borderId="0" xfId="0" applyFont="1" applyAlignment="1" applyProtection="1">
      <alignment vertical="top" wrapText="1"/>
      <protection hidden="1"/>
    </xf>
    <xf numFmtId="0" fontId="5" fillId="0" borderId="0" xfId="0" applyFont="1" applyAlignment="1" applyProtection="1">
      <alignment horizontal="justify" vertical="center"/>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center" vertical="top" wrapText="1"/>
      <protection hidden="1"/>
    </xf>
    <xf numFmtId="0" fontId="21" fillId="0" borderId="0" xfId="0" applyFont="1" applyAlignment="1" applyProtection="1">
      <alignment horizontal="justify" vertical="center"/>
      <protection hidden="1"/>
    </xf>
    <xf numFmtId="0" fontId="58" fillId="0" borderId="0" xfId="0" applyFont="1" applyAlignment="1" applyProtection="1">
      <alignment horizontal="justify" vertical="top"/>
      <protection hidden="1"/>
    </xf>
    <xf numFmtId="0" fontId="5" fillId="0" borderId="0" xfId="0" applyFont="1" applyAlignment="1" applyProtection="1">
      <alignment horizontal="right" vertical="top" wrapText="1"/>
      <protection hidden="1"/>
    </xf>
    <xf numFmtId="0" fontId="15" fillId="0" borderId="0" xfId="0" applyFont="1" applyAlignment="1" applyProtection="1">
      <alignment horizontal="center" vertical="top"/>
      <protection hidden="1"/>
    </xf>
    <xf numFmtId="166" fontId="6" fillId="0" borderId="0" xfId="0" quotePrefix="1" applyNumberFormat="1" applyFont="1" applyAlignment="1" applyProtection="1">
      <alignment horizontal="left" vertical="top" wrapText="1" indent="1"/>
      <protection hidden="1"/>
    </xf>
    <xf numFmtId="0" fontId="20" fillId="0" borderId="0" xfId="0" applyFont="1" applyProtection="1">
      <protection hidden="1"/>
    </xf>
    <xf numFmtId="0" fontId="5" fillId="0" borderId="0" xfId="0" applyFont="1" applyAlignment="1" applyProtection="1">
      <alignment vertical="center"/>
      <protection hidden="1"/>
    </xf>
    <xf numFmtId="0" fontId="4" fillId="0" borderId="0" xfId="0" applyFont="1" applyProtection="1">
      <protection hidden="1"/>
    </xf>
    <xf numFmtId="0" fontId="61" fillId="0" borderId="0" xfId="0" applyFont="1" applyAlignment="1" applyProtection="1">
      <alignment horizontal="center" vertical="center" wrapText="1"/>
      <protection hidden="1"/>
    </xf>
    <xf numFmtId="4" fontId="0" fillId="3" borderId="20" xfId="55" applyNumberFormat="1" applyFont="1" applyFill="1" applyBorder="1" applyAlignment="1" applyProtection="1">
      <alignment horizontal="right" vertical="center" wrapText="1"/>
      <protection locked="0"/>
    </xf>
    <xf numFmtId="0" fontId="62" fillId="0" borderId="0" xfId="0" applyFont="1" applyAlignment="1" applyProtection="1">
      <alignment vertical="top"/>
      <protection hidden="1"/>
    </xf>
    <xf numFmtId="0" fontId="62" fillId="0" borderId="0" xfId="59" applyFont="1" applyAlignment="1" applyProtection="1">
      <alignment horizontal="left" vertical="top"/>
      <protection hidden="1"/>
    </xf>
    <xf numFmtId="0" fontId="62" fillId="0" borderId="0" xfId="57" applyFont="1" applyAlignment="1" applyProtection="1">
      <alignment vertical="top"/>
      <protection hidden="1"/>
    </xf>
    <xf numFmtId="0" fontId="62" fillId="3" borderId="11" xfId="0" applyFont="1" applyFill="1" applyBorder="1" applyAlignment="1" applyProtection="1">
      <alignment horizontal="left" vertical="top" wrapText="1"/>
      <protection locked="0"/>
    </xf>
    <xf numFmtId="0" fontId="0" fillId="0" borderId="11" xfId="56" applyFont="1" applyBorder="1" applyAlignment="1" applyProtection="1">
      <alignment horizontal="justify" vertical="center" wrapText="1"/>
      <protection hidden="1"/>
    </xf>
    <xf numFmtId="4" fontId="15" fillId="10" borderId="12" xfId="56" applyNumberFormat="1" applyFont="1" applyFill="1" applyBorder="1" applyAlignment="1" applyProtection="1">
      <alignment vertical="center"/>
      <protection hidden="1"/>
    </xf>
    <xf numFmtId="166" fontId="6" fillId="0" borderId="0" xfId="49" applyNumberFormat="1" applyFont="1" applyAlignment="1" applyProtection="1">
      <alignment horizontal="center" vertical="top"/>
      <protection hidden="1"/>
    </xf>
    <xf numFmtId="0" fontId="15" fillId="0" borderId="0" xfId="49" applyFont="1" applyAlignment="1" applyProtection="1">
      <alignment vertical="top"/>
      <protection hidden="1"/>
    </xf>
    <xf numFmtId="0" fontId="15" fillId="0" borderId="0" xfId="55" applyFont="1" applyAlignment="1" applyProtection="1">
      <alignment vertical="top"/>
      <protection hidden="1"/>
    </xf>
    <xf numFmtId="43" fontId="0" fillId="0" borderId="11" xfId="7" applyFont="1" applyFill="1" applyBorder="1" applyAlignment="1" applyProtection="1">
      <alignment horizontal="right" vertical="top"/>
      <protection hidden="1"/>
    </xf>
    <xf numFmtId="2" fontId="15" fillId="0" borderId="12" xfId="56" applyNumberFormat="1" applyFont="1" applyBorder="1" applyAlignment="1" applyProtection="1">
      <alignment horizontal="right" vertical="center"/>
      <protection hidden="1"/>
    </xf>
    <xf numFmtId="2" fontId="0" fillId="3" borderId="11" xfId="52" applyNumberFormat="1" applyFont="1" applyFill="1" applyBorder="1" applyAlignment="1" applyProtection="1">
      <alignment horizontal="right" vertical="top"/>
      <protection locked="0" hidden="1"/>
    </xf>
    <xf numFmtId="0" fontId="16" fillId="0" borderId="11" xfId="56" applyFont="1" applyBorder="1" applyAlignment="1" applyProtection="1">
      <alignment horizontal="center" vertical="center"/>
      <protection hidden="1"/>
    </xf>
    <xf numFmtId="0" fontId="15" fillId="0" borderId="8" xfId="53" applyNumberFormat="1" applyFont="1" applyFill="1" applyBorder="1" applyAlignment="1" applyProtection="1">
      <alignment vertical="center" wrapText="1"/>
      <protection hidden="1"/>
    </xf>
    <xf numFmtId="0" fontId="0" fillId="0" borderId="8" xfId="0" applyBorder="1" applyAlignment="1">
      <alignment vertical="center" wrapText="1"/>
    </xf>
    <xf numFmtId="0" fontId="15" fillId="0" borderId="33" xfId="56" applyFont="1" applyBorder="1" applyAlignment="1" applyProtection="1">
      <alignment horizontal="left" vertical="center" wrapText="1"/>
      <protection hidden="1"/>
    </xf>
    <xf numFmtId="0" fontId="15" fillId="0" borderId="34" xfId="56" applyFont="1" applyBorder="1" applyAlignment="1" applyProtection="1">
      <alignment horizontal="center" vertical="center" wrapText="1"/>
      <protection hidden="1"/>
    </xf>
    <xf numFmtId="4" fontId="15" fillId="0" borderId="11" xfId="56" applyNumberFormat="1" applyFont="1" applyBorder="1" applyAlignment="1" applyProtection="1">
      <alignment vertical="center" wrapText="1"/>
      <protection hidden="1"/>
    </xf>
    <xf numFmtId="43" fontId="15" fillId="0" borderId="9" xfId="7" applyFont="1" applyFill="1" applyBorder="1" applyAlignment="1" applyProtection="1">
      <alignment horizontal="right" vertical="center"/>
      <protection hidden="1"/>
    </xf>
    <xf numFmtId="43" fontId="15" fillId="0" borderId="12" xfId="7" applyFont="1" applyFill="1" applyBorder="1" applyAlignment="1" applyProtection="1">
      <alignment horizontal="right" vertical="center"/>
      <protection hidden="1"/>
    </xf>
    <xf numFmtId="0" fontId="5" fillId="0" borderId="0" xfId="43" applyFont="1" applyAlignment="1" applyProtection="1">
      <alignment horizontal="justify" vertical="top"/>
      <protection hidden="1"/>
    </xf>
    <xf numFmtId="0" fontId="5" fillId="0" borderId="0" xfId="46" applyFont="1" applyAlignment="1" applyProtection="1">
      <alignment horizontal="justify" vertical="top"/>
      <protection hidden="1"/>
    </xf>
    <xf numFmtId="0" fontId="57" fillId="0" borderId="0" xfId="0" applyFont="1" applyAlignment="1" applyProtection="1">
      <alignment horizontal="center" vertical="top"/>
      <protection hidden="1"/>
    </xf>
    <xf numFmtId="0" fontId="75" fillId="0" borderId="11" xfId="0" applyFont="1" applyBorder="1" applyAlignment="1">
      <alignment horizontal="center" vertical="top"/>
    </xf>
    <xf numFmtId="0" fontId="76" fillId="0" borderId="11" xfId="0" applyFont="1" applyBorder="1" applyAlignment="1">
      <alignment horizontal="center" vertical="top"/>
    </xf>
    <xf numFmtId="0" fontId="63" fillId="0" borderId="0" xfId="0" applyFont="1" applyAlignment="1" applyProtection="1">
      <alignment vertical="top"/>
      <protection hidden="1"/>
    </xf>
    <xf numFmtId="0" fontId="77" fillId="0" borderId="11" xfId="0" applyFont="1" applyBorder="1" applyAlignment="1">
      <alignment horizontal="center" vertical="top"/>
    </xf>
    <xf numFmtId="0" fontId="57" fillId="0" borderId="4" xfId="0" applyFont="1" applyBorder="1" applyAlignment="1" applyProtection="1">
      <alignment horizontal="left" vertical="top"/>
      <protection hidden="1"/>
    </xf>
    <xf numFmtId="0" fontId="57" fillId="0" borderId="4" xfId="0" applyFont="1" applyBorder="1" applyAlignment="1" applyProtection="1">
      <alignment horizontal="justify" vertical="top"/>
      <protection hidden="1"/>
    </xf>
    <xf numFmtId="0" fontId="57" fillId="0" borderId="4" xfId="0" applyFont="1" applyBorder="1" applyAlignment="1" applyProtection="1">
      <alignment vertical="top"/>
      <protection hidden="1"/>
    </xf>
    <xf numFmtId="0" fontId="57" fillId="0" borderId="4" xfId="0" applyFont="1" applyBorder="1" applyAlignment="1" applyProtection="1">
      <alignment horizontal="right" vertical="top"/>
      <protection hidden="1"/>
    </xf>
    <xf numFmtId="0" fontId="64" fillId="0" borderId="0" xfId="0" applyFont="1" applyAlignment="1" applyProtection="1">
      <alignment vertical="top"/>
      <protection hidden="1"/>
    </xf>
    <xf numFmtId="0" fontId="63" fillId="0" borderId="0" xfId="0" applyFont="1" applyAlignment="1" applyProtection="1">
      <alignment horizontal="left" vertical="top"/>
      <protection hidden="1"/>
    </xf>
    <xf numFmtId="0" fontId="63" fillId="0" borderId="0" xfId="0" applyFont="1" applyAlignment="1" applyProtection="1">
      <alignment horizontal="justify" vertical="top"/>
      <protection hidden="1"/>
    </xf>
    <xf numFmtId="0" fontId="64" fillId="0" borderId="0" xfId="0" applyFont="1" applyAlignment="1" applyProtection="1">
      <alignment horizontal="left" vertical="top"/>
      <protection hidden="1"/>
    </xf>
    <xf numFmtId="10" fontId="64" fillId="0" borderId="0" xfId="0" applyNumberFormat="1" applyFont="1" applyAlignment="1" applyProtection="1">
      <alignment horizontal="center" vertical="top"/>
      <protection hidden="1"/>
    </xf>
    <xf numFmtId="0" fontId="63" fillId="0" borderId="0" xfId="52" applyNumberFormat="1" applyFont="1" applyFill="1" applyBorder="1" applyProtection="1">
      <alignment vertical="top"/>
      <protection hidden="1"/>
    </xf>
    <xf numFmtId="0" fontId="63" fillId="0" borderId="0" xfId="52" applyNumberFormat="1" applyFont="1" applyFill="1" applyBorder="1" applyAlignment="1" applyProtection="1">
      <alignment vertical="top" wrapText="1"/>
      <protection hidden="1"/>
    </xf>
    <xf numFmtId="0" fontId="57" fillId="0" borderId="0" xfId="57" applyFont="1" applyAlignment="1" applyProtection="1">
      <alignment vertical="top"/>
      <protection hidden="1"/>
    </xf>
    <xf numFmtId="0" fontId="63" fillId="0" borderId="0" xfId="57" applyFont="1" applyAlignment="1" applyProtection="1">
      <alignment vertical="top"/>
      <protection hidden="1"/>
    </xf>
    <xf numFmtId="0" fontId="57" fillId="0" borderId="0" xfId="52" applyNumberFormat="1" applyFont="1" applyFill="1" applyBorder="1" applyAlignment="1" applyProtection="1">
      <alignment horizontal="left" vertical="top"/>
      <protection hidden="1"/>
    </xf>
    <xf numFmtId="0" fontId="63" fillId="0" borderId="0" xfId="59" applyFont="1" applyAlignment="1" applyProtection="1">
      <alignment horizontal="left" vertical="top"/>
      <protection hidden="1"/>
    </xf>
    <xf numFmtId="0" fontId="63" fillId="0" borderId="0" xfId="52" applyNumberFormat="1" applyFont="1" applyFill="1" applyBorder="1" applyAlignment="1" applyProtection="1">
      <alignment horizontal="left" vertical="top" wrapText="1"/>
      <protection hidden="1"/>
    </xf>
    <xf numFmtId="0" fontId="57" fillId="0" borderId="11" xfId="0" applyFont="1" applyBorder="1" applyAlignment="1" applyProtection="1">
      <alignment horizontal="center" vertical="top" wrapText="1"/>
      <protection hidden="1"/>
    </xf>
    <xf numFmtId="0" fontId="57" fillId="0" borderId="11" xfId="0" applyFont="1" applyBorder="1" applyAlignment="1" applyProtection="1">
      <alignment horizontal="center" vertical="top"/>
      <protection hidden="1"/>
    </xf>
    <xf numFmtId="0" fontId="57" fillId="0" borderId="11" xfId="43" applyFont="1" applyBorder="1" applyAlignment="1">
      <alignment horizontal="center" vertical="top" wrapText="1"/>
    </xf>
    <xf numFmtId="0" fontId="31" fillId="0" borderId="0" xfId="52" applyNumberFormat="1" applyFont="1" applyFill="1" applyBorder="1" applyAlignment="1" applyProtection="1">
      <alignment horizontal="center" vertical="top" wrapText="1"/>
      <protection hidden="1"/>
    </xf>
    <xf numFmtId="0" fontId="31" fillId="0" borderId="0" xfId="0" applyFont="1" applyAlignment="1" applyProtection="1">
      <alignment horizontal="center" vertical="top"/>
      <protection hidden="1"/>
    </xf>
    <xf numFmtId="0" fontId="57" fillId="0" borderId="11" xfId="57" applyFont="1" applyBorder="1" applyAlignment="1" applyProtection="1">
      <alignment horizontal="center" vertical="top"/>
      <protection hidden="1"/>
    </xf>
    <xf numFmtId="0" fontId="57" fillId="0" borderId="11" xfId="57" applyFont="1" applyBorder="1" applyAlignment="1" applyProtection="1">
      <alignment horizontal="left" vertical="top"/>
      <protection hidden="1"/>
    </xf>
    <xf numFmtId="0" fontId="76" fillId="0" borderId="11" xfId="0" quotePrefix="1" applyFont="1" applyBorder="1" applyAlignment="1">
      <alignment horizontal="center" vertical="top"/>
    </xf>
    <xf numFmtId="0" fontId="63" fillId="0" borderId="11" xfId="0" applyFont="1" applyBorder="1" applyAlignment="1" applyProtection="1">
      <alignment horizontal="center" vertical="top" wrapText="1"/>
      <protection hidden="1"/>
    </xf>
    <xf numFmtId="0" fontId="77" fillId="0" borderId="11" xfId="0" applyFont="1" applyBorder="1" applyAlignment="1">
      <alignment vertical="top" wrapText="1"/>
    </xf>
    <xf numFmtId="0" fontId="76" fillId="0" borderId="11" xfId="0" applyFont="1" applyBorder="1" applyAlignment="1">
      <alignment vertical="top" wrapText="1"/>
    </xf>
    <xf numFmtId="0" fontId="63" fillId="0" borderId="11" xfId="54" applyNumberFormat="1" applyFont="1" applyFill="1" applyBorder="1" applyAlignment="1" applyProtection="1">
      <alignment vertical="top"/>
      <protection hidden="1"/>
    </xf>
    <xf numFmtId="43" fontId="57" fillId="0" borderId="11" xfId="16" applyFont="1" applyFill="1" applyBorder="1" applyAlignment="1" applyProtection="1">
      <alignment horizontal="right" vertical="top"/>
      <protection hidden="1"/>
    </xf>
    <xf numFmtId="4" fontId="64" fillId="0" borderId="0" xfId="52" applyNumberFormat="1" applyFont="1" applyFill="1" applyBorder="1" applyProtection="1">
      <alignment vertical="top"/>
      <protection hidden="1"/>
    </xf>
    <xf numFmtId="2" fontId="31" fillId="0" borderId="0" xfId="52" applyNumberFormat="1" applyFont="1" applyFill="1" applyBorder="1" applyAlignment="1" applyProtection="1">
      <alignment horizontal="right" vertical="top"/>
      <protection hidden="1"/>
    </xf>
    <xf numFmtId="0" fontId="63" fillId="0" borderId="0" xfId="54" applyNumberFormat="1" applyFont="1" applyFill="1" applyBorder="1" applyAlignment="1" applyProtection="1">
      <alignment vertical="top"/>
      <protection hidden="1"/>
    </xf>
    <xf numFmtId="43" fontId="57" fillId="0" borderId="0" xfId="16" applyFont="1" applyFill="1" applyBorder="1" applyAlignment="1" applyProtection="1">
      <alignment horizontal="right" vertical="top"/>
      <protection hidden="1"/>
    </xf>
    <xf numFmtId="0" fontId="57" fillId="0" borderId="0" xfId="61" applyFont="1" applyFill="1" applyBorder="1" applyAlignment="1" applyProtection="1">
      <alignment horizontal="center" vertical="top" wrapText="1"/>
      <protection hidden="1"/>
    </xf>
    <xf numFmtId="0" fontId="57" fillId="0" borderId="0" xfId="0" applyFont="1" applyAlignment="1" applyProtection="1">
      <alignment horizontal="justify" vertical="top"/>
      <protection hidden="1"/>
    </xf>
    <xf numFmtId="177" fontId="57" fillId="0" borderId="0" xfId="0" applyNumberFormat="1" applyFont="1" applyAlignment="1" applyProtection="1">
      <alignment horizontal="left" vertical="top"/>
      <protection hidden="1"/>
    </xf>
    <xf numFmtId="0" fontId="57" fillId="0" borderId="0" xfId="0" applyFont="1" applyAlignment="1" applyProtection="1">
      <alignment horizontal="right" vertical="top"/>
      <protection hidden="1"/>
    </xf>
    <xf numFmtId="0" fontId="57" fillId="0" borderId="0" xfId="0" applyFont="1" applyAlignment="1" applyProtection="1">
      <alignment horizontal="left" vertical="top"/>
      <protection hidden="1"/>
    </xf>
    <xf numFmtId="0" fontId="63" fillId="0" borderId="0" xfId="0" applyFont="1" applyAlignment="1" applyProtection="1">
      <alignment horizontal="center" vertical="top"/>
      <protection hidden="1"/>
    </xf>
    <xf numFmtId="0" fontId="63" fillId="0" borderId="0" xfId="0" applyFont="1" applyAlignment="1" applyProtection="1">
      <alignment horizontal="right" vertical="top"/>
      <protection hidden="1"/>
    </xf>
    <xf numFmtId="0" fontId="57" fillId="0" borderId="4" xfId="0" applyFont="1" applyBorder="1" applyAlignment="1" applyProtection="1">
      <alignment horizontal="center" vertical="top"/>
      <protection hidden="1"/>
    </xf>
    <xf numFmtId="0" fontId="63" fillId="0" borderId="0" xfId="52" applyNumberFormat="1" applyFont="1" applyFill="1" applyBorder="1" applyAlignment="1" applyProtection="1">
      <alignment horizontal="center" vertical="top"/>
      <protection hidden="1"/>
    </xf>
    <xf numFmtId="0" fontId="57" fillId="0" borderId="0" xfId="57" applyFont="1" applyAlignment="1" applyProtection="1">
      <alignment horizontal="center" vertical="top"/>
      <protection hidden="1"/>
    </xf>
    <xf numFmtId="0" fontId="57" fillId="0" borderId="0" xfId="52" applyNumberFormat="1" applyFont="1" applyFill="1" applyBorder="1" applyAlignment="1" applyProtection="1">
      <alignment horizontal="center" vertical="top"/>
      <protection hidden="1"/>
    </xf>
    <xf numFmtId="0" fontId="63" fillId="0" borderId="0" xfId="57" applyFont="1" applyAlignment="1" applyProtection="1">
      <alignment horizontal="center" vertical="top"/>
      <protection hidden="1"/>
    </xf>
    <xf numFmtId="0" fontId="63" fillId="0" borderId="0" xfId="52" applyNumberFormat="1" applyFont="1" applyFill="1" applyBorder="1" applyAlignment="1" applyProtection="1">
      <alignment horizontal="center" vertical="top" wrapText="1"/>
      <protection hidden="1"/>
    </xf>
    <xf numFmtId="0" fontId="63" fillId="0" borderId="0" xfId="54" applyNumberFormat="1" applyFont="1" applyFill="1" applyBorder="1" applyAlignment="1" applyProtection="1">
      <alignment horizontal="center" vertical="top"/>
      <protection hidden="1"/>
    </xf>
    <xf numFmtId="0" fontId="57" fillId="0" borderId="0" xfId="52" applyNumberFormat="1" applyFont="1" applyFill="1" applyBorder="1" applyProtection="1">
      <alignment vertical="top"/>
      <protection hidden="1"/>
    </xf>
    <xf numFmtId="0" fontId="57" fillId="0" borderId="0" xfId="52" applyNumberFormat="1" applyFont="1" applyFill="1" applyBorder="1" applyAlignment="1" applyProtection="1">
      <alignment horizontal="left" vertical="top" wrapText="1"/>
      <protection hidden="1"/>
    </xf>
    <xf numFmtId="0" fontId="57" fillId="0" borderId="0" xfId="54" applyNumberFormat="1" applyFont="1" applyFill="1" applyBorder="1" applyAlignment="1" applyProtection="1">
      <alignment vertical="top"/>
      <protection hidden="1"/>
    </xf>
    <xf numFmtId="0" fontId="15" fillId="0" borderId="11" xfId="57" applyFont="1" applyBorder="1" applyAlignment="1" applyProtection="1">
      <alignment horizontal="left" vertical="top"/>
      <protection hidden="1"/>
    </xf>
    <xf numFmtId="0" fontId="57" fillId="0" borderId="0" xfId="57" applyFont="1" applyAlignment="1" applyProtection="1">
      <alignment horizontal="left" vertical="top" wrapText="1"/>
      <protection hidden="1"/>
    </xf>
    <xf numFmtId="0" fontId="65" fillId="3" borderId="11" xfId="0" applyFont="1" applyFill="1" applyBorder="1" applyAlignment="1" applyProtection="1">
      <alignment horizontal="center" vertical="center" wrapText="1"/>
      <protection locked="0"/>
    </xf>
    <xf numFmtId="0" fontId="63" fillId="3" borderId="11" xfId="0" applyFont="1" applyFill="1" applyBorder="1" applyAlignment="1" applyProtection="1">
      <alignment horizontal="center" vertical="center" wrapText="1"/>
      <protection locked="0"/>
    </xf>
    <xf numFmtId="2" fontId="57" fillId="0" borderId="11" xfId="43" applyNumberFormat="1" applyFont="1" applyBorder="1" applyAlignment="1" applyProtection="1">
      <alignment horizontal="right" vertical="center" wrapText="1"/>
      <protection hidden="1"/>
    </xf>
    <xf numFmtId="2" fontId="63" fillId="3" borderId="34" xfId="57" applyNumberFormat="1" applyFont="1" applyFill="1" applyBorder="1" applyAlignment="1" applyProtection="1">
      <alignment vertical="center"/>
      <protection locked="0"/>
    </xf>
    <xf numFmtId="0" fontId="62" fillId="11" borderId="0" xfId="59" applyFont="1" applyFill="1" applyAlignment="1" applyProtection="1">
      <alignment horizontal="left" vertical="top"/>
      <protection hidden="1"/>
    </xf>
    <xf numFmtId="43" fontId="0" fillId="0" borderId="11" xfId="7" applyFont="1" applyFill="1" applyBorder="1" applyAlignment="1" applyProtection="1">
      <alignment horizontal="center" vertical="center"/>
      <protection hidden="1"/>
    </xf>
    <xf numFmtId="0" fontId="16" fillId="0" borderId="33" xfId="0" applyFont="1" applyBorder="1" applyAlignment="1" applyProtection="1">
      <alignment vertical="center" wrapText="1"/>
      <protection hidden="1"/>
    </xf>
    <xf numFmtId="0" fontId="16" fillId="0" borderId="34" xfId="0" applyFont="1" applyBorder="1" applyAlignment="1" applyProtection="1">
      <alignment vertical="center" wrapText="1"/>
      <protection hidden="1"/>
    </xf>
    <xf numFmtId="0" fontId="16" fillId="0" borderId="3" xfId="0" applyFont="1" applyBorder="1" applyAlignment="1" applyProtection="1">
      <alignment vertical="center" wrapText="1"/>
      <protection hidden="1"/>
    </xf>
    <xf numFmtId="0" fontId="16" fillId="3" borderId="16" xfId="0" applyFont="1" applyFill="1" applyBorder="1" applyAlignment="1" applyProtection="1">
      <alignment horizontal="left" vertical="center" wrapText="1"/>
      <protection locked="0"/>
    </xf>
    <xf numFmtId="0" fontId="16" fillId="0" borderId="38" xfId="0" applyFont="1" applyBorder="1" applyAlignment="1" applyProtection="1">
      <alignment vertical="center"/>
      <protection hidden="1"/>
    </xf>
    <xf numFmtId="0" fontId="16" fillId="0" borderId="39" xfId="0" applyFont="1" applyBorder="1" applyAlignment="1" applyProtection="1">
      <alignment vertical="center"/>
      <protection hidden="1"/>
    </xf>
    <xf numFmtId="0" fontId="16" fillId="0" borderId="17" xfId="0" applyFont="1" applyBorder="1" applyAlignment="1" applyProtection="1">
      <alignment vertical="center"/>
      <protection hidden="1"/>
    </xf>
    <xf numFmtId="0" fontId="16" fillId="0" borderId="18" xfId="0" applyFont="1" applyBorder="1" applyAlignment="1" applyProtection="1">
      <alignment vertical="center"/>
      <protection hidden="1"/>
    </xf>
    <xf numFmtId="0" fontId="16" fillId="0" borderId="40" xfId="0" applyFont="1" applyBorder="1" applyAlignment="1" applyProtection="1">
      <alignment vertical="center"/>
      <protection hidden="1"/>
    </xf>
    <xf numFmtId="0" fontId="16" fillId="0" borderId="41" xfId="0" applyFont="1" applyBorder="1" applyAlignment="1" applyProtection="1">
      <alignment vertical="center"/>
      <protection hidden="1"/>
    </xf>
    <xf numFmtId="0" fontId="16" fillId="0" borderId="37" xfId="0" applyFont="1" applyBorder="1" applyAlignment="1" applyProtection="1">
      <alignment vertical="center"/>
      <protection hidden="1"/>
    </xf>
    <xf numFmtId="0" fontId="16" fillId="0" borderId="7" xfId="0" applyFont="1" applyBorder="1" applyAlignment="1" applyProtection="1">
      <alignment vertical="center"/>
      <protection hidden="1"/>
    </xf>
    <xf numFmtId="0" fontId="16" fillId="0" borderId="33" xfId="0" applyFont="1" applyBorder="1" applyAlignment="1" applyProtection="1">
      <alignment horizontal="left" vertical="center"/>
      <protection hidden="1"/>
    </xf>
    <xf numFmtId="0" fontId="16" fillId="0" borderId="34" xfId="0" applyFont="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locked="0"/>
    </xf>
    <xf numFmtId="14" fontId="16" fillId="3" borderId="11" xfId="0" applyNumberFormat="1" applyFont="1" applyFill="1" applyBorder="1" applyAlignment="1" applyProtection="1">
      <alignment horizontal="left" vertical="center" wrapText="1"/>
      <protection locked="0"/>
    </xf>
    <xf numFmtId="2" fontId="78" fillId="0" borderId="11" xfId="0" applyNumberFormat="1" applyFont="1" applyBorder="1" applyAlignment="1">
      <alignment horizontal="center" vertical="center" wrapText="1"/>
    </xf>
    <xf numFmtId="0" fontId="78" fillId="0" borderId="11" xfId="0" applyFont="1" applyBorder="1" applyAlignment="1">
      <alignment horizontal="center" vertical="center" wrapText="1"/>
    </xf>
    <xf numFmtId="0" fontId="66" fillId="0" borderId="4" xfId="0" applyFont="1" applyBorder="1" applyAlignment="1" applyProtection="1">
      <alignment horizontal="left" vertical="top"/>
      <protection hidden="1"/>
    </xf>
    <xf numFmtId="0" fontId="66" fillId="0" borderId="4" xfId="0" applyFont="1" applyBorder="1" applyAlignment="1" applyProtection="1">
      <alignment horizontal="center" vertical="top"/>
      <protection hidden="1"/>
    </xf>
    <xf numFmtId="0" fontId="66" fillId="0" borderId="4" xfId="0" applyFont="1" applyBorder="1" applyAlignment="1" applyProtection="1">
      <alignment horizontal="left" vertical="top" wrapText="1"/>
      <protection hidden="1"/>
    </xf>
    <xf numFmtId="0" fontId="67" fillId="0" borderId="4" xfId="0" applyFont="1" applyBorder="1" applyAlignment="1" applyProtection="1">
      <alignment horizontal="center" vertical="top"/>
      <protection hidden="1"/>
    </xf>
    <xf numFmtId="0" fontId="67" fillId="0" borderId="4" xfId="0" applyFont="1" applyBorder="1" applyAlignment="1" applyProtection="1">
      <alignment horizontal="left" vertical="top"/>
      <protection hidden="1"/>
    </xf>
    <xf numFmtId="0" fontId="66" fillId="0" borderId="4" xfId="0" applyFont="1" applyBorder="1" applyAlignment="1" applyProtection="1">
      <alignment vertical="top"/>
      <protection hidden="1"/>
    </xf>
    <xf numFmtId="0" fontId="66" fillId="0" borderId="4" xfId="0" applyFont="1" applyBorder="1" applyAlignment="1" applyProtection="1">
      <alignment horizontal="right" vertical="top"/>
      <protection hidden="1"/>
    </xf>
    <xf numFmtId="0" fontId="67" fillId="0" borderId="0" xfId="0" applyFont="1" applyAlignment="1" applyProtection="1">
      <alignment vertical="top"/>
      <protection hidden="1"/>
    </xf>
    <xf numFmtId="0" fontId="67" fillId="0" borderId="0" xfId="0" applyFont="1" applyAlignment="1" applyProtection="1">
      <alignment horizontal="left" vertical="top"/>
      <protection hidden="1"/>
    </xf>
    <xf numFmtId="0" fontId="67" fillId="0" borderId="0" xfId="0" applyFont="1" applyAlignment="1" applyProtection="1">
      <alignment horizontal="center" vertical="top"/>
      <protection hidden="1"/>
    </xf>
    <xf numFmtId="0" fontId="67" fillId="0" borderId="0" xfId="0" applyFont="1" applyAlignment="1" applyProtection="1">
      <alignment horizontal="left" vertical="top" wrapText="1"/>
      <protection hidden="1"/>
    </xf>
    <xf numFmtId="0" fontId="66" fillId="0" borderId="0" xfId="0" applyFont="1" applyAlignment="1" applyProtection="1">
      <alignment horizontal="center" vertical="top"/>
      <protection hidden="1"/>
    </xf>
    <xf numFmtId="0" fontId="67" fillId="0" borderId="0" xfId="0" applyFont="1" applyAlignment="1" applyProtection="1">
      <alignment horizontal="center" vertical="top" wrapText="1"/>
      <protection hidden="1"/>
    </xf>
    <xf numFmtId="0" fontId="66" fillId="0" borderId="0" xfId="57" applyFont="1" applyAlignment="1" applyProtection="1">
      <alignment vertical="top"/>
      <protection hidden="1"/>
    </xf>
    <xf numFmtId="0" fontId="66" fillId="0" borderId="0" xfId="57" applyFont="1" applyAlignment="1" applyProtection="1">
      <alignment horizontal="center" vertical="top"/>
      <protection hidden="1"/>
    </xf>
    <xf numFmtId="0" fontId="66" fillId="0" borderId="0" xfId="57" applyFont="1" applyAlignment="1" applyProtection="1">
      <alignment vertical="top" wrapText="1"/>
      <protection hidden="1"/>
    </xf>
    <xf numFmtId="0" fontId="67" fillId="0" borderId="0" xfId="57" applyFont="1" applyAlignment="1" applyProtection="1">
      <alignment horizontal="center" vertical="top"/>
      <protection hidden="1"/>
    </xf>
    <xf numFmtId="0" fontId="67" fillId="0" borderId="0" xfId="57" applyFont="1" applyAlignment="1" applyProtection="1">
      <alignment vertical="top"/>
      <protection hidden="1"/>
    </xf>
    <xf numFmtId="0" fontId="67" fillId="0" borderId="0" xfId="59" applyFont="1" applyAlignment="1" applyProtection="1">
      <alignment horizontal="left" vertical="top"/>
      <protection hidden="1"/>
    </xf>
    <xf numFmtId="0" fontId="67" fillId="0" borderId="0" xfId="57" applyFont="1" applyAlignment="1" applyProtection="1">
      <alignment vertical="top" wrapText="1"/>
      <protection hidden="1"/>
    </xf>
    <xf numFmtId="0" fontId="67" fillId="0" borderId="0" xfId="57" applyFont="1" applyAlignment="1" applyProtection="1">
      <alignment horizontal="left" vertical="top"/>
      <protection hidden="1"/>
    </xf>
    <xf numFmtId="0" fontId="66" fillId="0" borderId="0" xfId="0" applyFont="1" applyAlignment="1" applyProtection="1">
      <alignment vertical="top"/>
      <protection hidden="1"/>
    </xf>
    <xf numFmtId="0" fontId="66" fillId="0" borderId="0" xfId="0" applyFont="1" applyAlignment="1" applyProtection="1">
      <alignment horizontal="right" vertical="top"/>
      <protection hidden="1"/>
    </xf>
    <xf numFmtId="0" fontId="66" fillId="0" borderId="11" xfId="0" applyFont="1" applyBorder="1" applyAlignment="1" applyProtection="1">
      <alignment horizontal="center" vertical="top" wrapText="1"/>
      <protection hidden="1"/>
    </xf>
    <xf numFmtId="0" fontId="66" fillId="0" borderId="11" xfId="0" applyFont="1" applyBorder="1" applyAlignment="1" applyProtection="1">
      <alignment horizontal="center" vertical="top"/>
      <protection hidden="1"/>
    </xf>
    <xf numFmtId="0" fontId="66" fillId="0" borderId="11" xfId="43" applyFont="1" applyBorder="1" applyAlignment="1">
      <alignment horizontal="center" vertical="top" wrapText="1"/>
    </xf>
    <xf numFmtId="0" fontId="66" fillId="0" borderId="11" xfId="0" applyFont="1" applyBorder="1" applyAlignment="1" applyProtection="1">
      <alignment horizontal="left" vertical="top"/>
      <protection hidden="1"/>
    </xf>
    <xf numFmtId="0" fontId="66" fillId="0" borderId="11" xfId="0" applyFont="1" applyBorder="1" applyAlignment="1" applyProtection="1">
      <alignment horizontal="left" vertical="top" wrapText="1"/>
      <protection hidden="1"/>
    </xf>
    <xf numFmtId="0" fontId="66" fillId="0" borderId="11" xfId="0" applyFont="1" applyBorder="1" applyAlignment="1">
      <alignment horizontal="center" vertical="center" wrapText="1"/>
    </xf>
    <xf numFmtId="0" fontId="66" fillId="0" borderId="11" xfId="0" applyFont="1" applyBorder="1" applyAlignment="1">
      <alignment horizontal="center" vertical="top"/>
    </xf>
    <xf numFmtId="180" fontId="67" fillId="3" borderId="34" xfId="0" applyNumberFormat="1" applyFont="1" applyFill="1" applyBorder="1" applyAlignment="1" applyProtection="1">
      <alignment horizontal="center" vertical="top"/>
      <protection locked="0"/>
    </xf>
    <xf numFmtId="0" fontId="79" fillId="0" borderId="11" xfId="29" applyFont="1" applyBorder="1" applyAlignment="1">
      <alignment horizontal="center" vertical="center"/>
    </xf>
    <xf numFmtId="0" fontId="80" fillId="0" borderId="11" xfId="0" applyFont="1" applyBorder="1" applyAlignment="1">
      <alignment horizontal="center" vertical="center"/>
    </xf>
    <xf numFmtId="180" fontId="67" fillId="3" borderId="11" xfId="0" applyNumberFormat="1" applyFont="1" applyFill="1" applyBorder="1" applyAlignment="1" applyProtection="1">
      <alignment horizontal="center" vertical="top"/>
      <protection locked="0"/>
    </xf>
    <xf numFmtId="0" fontId="67" fillId="3" borderId="11" xfId="0" applyFont="1" applyFill="1" applyBorder="1" applyAlignment="1" applyProtection="1">
      <alignment horizontal="center" vertical="center" wrapText="1"/>
      <protection locked="0"/>
    </xf>
    <xf numFmtId="2" fontId="80" fillId="0" borderId="11" xfId="7" applyNumberFormat="1" applyFont="1" applyBorder="1" applyAlignment="1">
      <alignment horizontal="center" vertical="center" wrapText="1"/>
    </xf>
    <xf numFmtId="180" fontId="67" fillId="3" borderId="11" xfId="0" applyNumberFormat="1" applyFont="1" applyFill="1" applyBorder="1" applyAlignment="1" applyProtection="1">
      <alignment horizontal="center" vertical="center"/>
      <protection locked="0"/>
    </xf>
    <xf numFmtId="2" fontId="66" fillId="0" borderId="11" xfId="43" applyNumberFormat="1" applyFont="1" applyBorder="1" applyAlignment="1" applyProtection="1">
      <alignment horizontal="center" vertical="center" wrapText="1"/>
      <protection hidden="1"/>
    </xf>
    <xf numFmtId="0" fontId="80" fillId="0" borderId="11" xfId="0" applyFont="1" applyBorder="1" applyAlignment="1">
      <alignment horizontal="center" vertical="top"/>
    </xf>
    <xf numFmtId="2" fontId="66" fillId="0" borderId="11" xfId="0" applyNumberFormat="1" applyFont="1" applyBorder="1" applyAlignment="1" applyProtection="1">
      <alignment horizontal="center" vertical="top"/>
      <protection hidden="1"/>
    </xf>
    <xf numFmtId="43" fontId="66" fillId="0" borderId="11" xfId="7" applyFont="1" applyFill="1" applyBorder="1" applyAlignment="1" applyProtection="1">
      <alignment horizontal="right" vertical="top"/>
      <protection hidden="1"/>
    </xf>
    <xf numFmtId="0" fontId="79" fillId="0" borderId="11" xfId="0" quotePrefix="1" applyFont="1" applyBorder="1" applyAlignment="1">
      <alignment horizontal="center" vertical="center"/>
    </xf>
    <xf numFmtId="0" fontId="80" fillId="0" borderId="11" xfId="0" applyFont="1" applyBorder="1" applyAlignment="1">
      <alignment horizontal="left" vertical="center" wrapText="1"/>
    </xf>
    <xf numFmtId="0" fontId="80" fillId="0" borderId="11" xfId="0" applyFont="1" applyBorder="1" applyAlignment="1">
      <alignment horizontal="left" vertical="top" wrapText="1"/>
    </xf>
    <xf numFmtId="0" fontId="67" fillId="0" borderId="11" xfId="0" applyFont="1" applyBorder="1" applyAlignment="1" applyProtection="1">
      <alignment horizontal="center" vertical="top"/>
      <protection hidden="1"/>
    </xf>
    <xf numFmtId="0" fontId="66" fillId="0" borderId="11" xfId="43" applyFont="1" applyBorder="1" applyAlignment="1" applyProtection="1">
      <alignment horizontal="right" vertical="top" wrapText="1"/>
      <protection hidden="1"/>
    </xf>
    <xf numFmtId="0" fontId="66" fillId="0" borderId="11" xfId="0" applyFont="1" applyBorder="1" applyAlignment="1">
      <alignment horizontal="left" vertical="top" wrapText="1"/>
    </xf>
    <xf numFmtId="0" fontId="79" fillId="0" borderId="11" xfId="0" applyFont="1" applyBorder="1" applyAlignment="1">
      <alignment horizontal="center" vertical="top" wrapText="1"/>
    </xf>
    <xf numFmtId="0" fontId="67" fillId="3" borderId="11" xfId="0" applyFont="1" applyFill="1" applyBorder="1" applyAlignment="1" applyProtection="1">
      <alignment horizontal="center" vertical="top" wrapText="1"/>
      <protection locked="0"/>
    </xf>
    <xf numFmtId="0" fontId="80" fillId="0" borderId="11" xfId="0" applyFont="1" applyBorder="1" applyAlignment="1">
      <alignment horizontal="center" vertical="top" wrapText="1"/>
    </xf>
    <xf numFmtId="0" fontId="79" fillId="0" borderId="11" xfId="0" quotePrefix="1" applyFont="1" applyBorder="1" applyAlignment="1">
      <alignment horizontal="center" vertical="top"/>
    </xf>
    <xf numFmtId="0" fontId="79" fillId="0" borderId="11" xfId="0" applyFont="1" applyBorder="1" applyAlignment="1">
      <alignment horizontal="center" vertical="top"/>
    </xf>
    <xf numFmtId="0" fontId="79" fillId="0" borderId="11" xfId="0" applyFont="1" applyBorder="1" applyAlignment="1">
      <alignment horizontal="left" vertical="top" wrapText="1"/>
    </xf>
    <xf numFmtId="0" fontId="67" fillId="0" borderId="11" xfId="61" applyFont="1" applyFill="1" applyBorder="1" applyAlignment="1" applyProtection="1">
      <alignment horizontal="center" vertical="top" wrapText="1"/>
      <protection hidden="1"/>
    </xf>
    <xf numFmtId="0" fontId="67" fillId="0" borderId="33" xfId="61" applyFont="1" applyFill="1" applyBorder="1" applyAlignment="1" applyProtection="1">
      <alignment horizontal="center" vertical="top" wrapText="1"/>
      <protection hidden="1"/>
    </xf>
    <xf numFmtId="0" fontId="67" fillId="0" borderId="11" xfId="0" applyFont="1" applyBorder="1" applyAlignment="1" applyProtection="1">
      <alignment vertical="top"/>
      <protection hidden="1"/>
    </xf>
    <xf numFmtId="0" fontId="67" fillId="0" borderId="8" xfId="61" applyNumberFormat="1" applyFont="1" applyFill="1" applyBorder="1" applyAlignment="1" applyProtection="1">
      <alignment horizontal="center" vertical="top"/>
      <protection hidden="1"/>
    </xf>
    <xf numFmtId="0" fontId="67" fillId="0" borderId="8" xfId="61" applyNumberFormat="1" applyFont="1" applyFill="1" applyBorder="1" applyAlignment="1" applyProtection="1">
      <alignment horizontal="center" vertical="top" wrapText="1"/>
      <protection hidden="1"/>
    </xf>
    <xf numFmtId="0" fontId="66" fillId="0" borderId="8" xfId="61" applyNumberFormat="1" applyFont="1" applyFill="1" applyBorder="1" applyAlignment="1" applyProtection="1">
      <alignment horizontal="center" vertical="top"/>
      <protection hidden="1"/>
    </xf>
    <xf numFmtId="0" fontId="66" fillId="0" borderId="8" xfId="61" applyNumberFormat="1" applyFont="1" applyFill="1" applyBorder="1" applyAlignment="1" applyProtection="1">
      <alignment horizontal="center" vertical="top" wrapText="1"/>
      <protection hidden="1"/>
    </xf>
    <xf numFmtId="0" fontId="66" fillId="0" borderId="8" xfId="61" applyNumberFormat="1" applyFont="1" applyFill="1" applyBorder="1" applyAlignment="1" applyProtection="1">
      <alignment horizontal="left" vertical="top" wrapText="1"/>
      <protection hidden="1"/>
    </xf>
    <xf numFmtId="0" fontId="67" fillId="0" borderId="8" xfId="0" applyFont="1" applyBorder="1" applyAlignment="1" applyProtection="1">
      <alignment horizontal="center" vertical="top"/>
      <protection hidden="1"/>
    </xf>
    <xf numFmtId="1" fontId="67" fillId="0" borderId="8" xfId="0" applyNumberFormat="1" applyFont="1" applyBorder="1" applyAlignment="1" applyProtection="1">
      <alignment vertical="top"/>
      <protection hidden="1"/>
    </xf>
    <xf numFmtId="0" fontId="67" fillId="0" borderId="8" xfId="0" applyFont="1" applyBorder="1" applyAlignment="1" applyProtection="1">
      <alignment vertical="top"/>
      <protection hidden="1"/>
    </xf>
    <xf numFmtId="43" fontId="67" fillId="0" borderId="0" xfId="0" applyNumberFormat="1" applyFont="1" applyAlignment="1" applyProtection="1">
      <alignment vertical="top"/>
      <protection hidden="1"/>
    </xf>
    <xf numFmtId="0" fontId="66" fillId="0" borderId="0" xfId="0" applyFont="1" applyAlignment="1" applyProtection="1">
      <alignment horizontal="left" vertical="top" wrapText="1"/>
      <protection hidden="1"/>
    </xf>
    <xf numFmtId="0" fontId="66" fillId="0" borderId="0" xfId="0" applyFont="1" applyAlignment="1" applyProtection="1">
      <alignment horizontal="center" vertical="top" wrapText="1"/>
      <protection hidden="1"/>
    </xf>
    <xf numFmtId="0" fontId="66" fillId="0" borderId="0" xfId="0" applyFont="1" applyAlignment="1" applyProtection="1">
      <alignment vertical="top" wrapText="1"/>
      <protection hidden="1"/>
    </xf>
    <xf numFmtId="0" fontId="81" fillId="0" borderId="0" xfId="0" applyFont="1" applyAlignment="1" applyProtection="1">
      <alignment vertical="top"/>
      <protection hidden="1"/>
    </xf>
    <xf numFmtId="0" fontId="67" fillId="0" borderId="0" xfId="0" applyFont="1" applyAlignment="1" applyProtection="1">
      <alignment horizontal="justify" vertical="top" wrapText="1"/>
      <protection hidden="1"/>
    </xf>
    <xf numFmtId="0" fontId="66" fillId="0" borderId="0" xfId="0" applyFont="1" applyAlignment="1" applyProtection="1">
      <alignment horizontal="justify" vertical="top"/>
      <protection hidden="1"/>
    </xf>
    <xf numFmtId="177" fontId="66" fillId="0" borderId="0" xfId="0" applyNumberFormat="1" applyFont="1" applyAlignment="1" applyProtection="1">
      <alignment horizontal="center" vertical="top"/>
      <protection hidden="1"/>
    </xf>
    <xf numFmtId="177" fontId="66" fillId="0" borderId="0" xfId="0" applyNumberFormat="1" applyFont="1" applyAlignment="1" applyProtection="1">
      <alignment horizontal="left" vertical="top"/>
      <protection hidden="1"/>
    </xf>
    <xf numFmtId="0" fontId="66" fillId="0" borderId="0" xfId="0" applyFont="1" applyAlignment="1" applyProtection="1">
      <alignment horizontal="justify" vertical="top" wrapText="1"/>
      <protection hidden="1"/>
    </xf>
    <xf numFmtId="177" fontId="66" fillId="0" borderId="0" xfId="0" applyNumberFormat="1" applyFont="1" applyAlignment="1" applyProtection="1">
      <alignment horizontal="justify" vertical="top"/>
      <protection hidden="1"/>
    </xf>
    <xf numFmtId="0" fontId="80" fillId="0" borderId="0" xfId="0" applyFont="1" applyAlignment="1" applyProtection="1">
      <alignment horizontal="right" vertical="top"/>
      <protection hidden="1"/>
    </xf>
    <xf numFmtId="177" fontId="80" fillId="0" borderId="0" xfId="0" applyNumberFormat="1" applyFont="1" applyAlignment="1" applyProtection="1">
      <alignment horizontal="justify" vertical="top"/>
      <protection hidden="1"/>
    </xf>
    <xf numFmtId="0" fontId="80" fillId="0" borderId="0" xfId="0" applyFont="1" applyAlignment="1" applyProtection="1">
      <alignment horizontal="left" vertical="top"/>
      <protection hidden="1"/>
    </xf>
    <xf numFmtId="0" fontId="67" fillId="0" borderId="0" xfId="0" applyFont="1" applyAlignment="1" applyProtection="1">
      <alignment horizontal="justify" vertical="top"/>
      <protection hidden="1"/>
    </xf>
    <xf numFmtId="43" fontId="82" fillId="0" borderId="0" xfId="7" applyFont="1" applyFill="1" applyBorder="1" applyAlignment="1" applyProtection="1">
      <alignment horizontal="right" vertical="top"/>
    </xf>
    <xf numFmtId="0" fontId="79" fillId="0" borderId="0" xfId="0" applyFont="1" applyAlignment="1" applyProtection="1">
      <alignment vertical="top"/>
      <protection hidden="1"/>
    </xf>
    <xf numFmtId="0" fontId="70" fillId="0" borderId="11" xfId="53" applyNumberFormat="1" applyFont="1" applyFill="1" applyBorder="1" applyAlignment="1" applyProtection="1">
      <alignment horizontal="right" vertical="center" wrapText="1"/>
      <protection hidden="1"/>
    </xf>
    <xf numFmtId="0" fontId="5" fillId="0" borderId="11" xfId="0" applyFont="1" applyBorder="1" applyAlignment="1">
      <alignment vertical="top" wrapText="1"/>
    </xf>
    <xf numFmtId="0" fontId="5" fillId="0" borderId="11" xfId="0" applyFont="1" applyBorder="1" applyAlignment="1">
      <alignment horizontal="center" vertical="center"/>
    </xf>
    <xf numFmtId="0" fontId="5" fillId="0" borderId="11" xfId="57" applyFont="1" applyBorder="1" applyAlignment="1" applyProtection="1">
      <alignment horizontal="center" vertical="center"/>
      <protection hidden="1"/>
    </xf>
    <xf numFmtId="181" fontId="78" fillId="0" borderId="11" xfId="0" applyNumberFormat="1" applyFont="1" applyBorder="1" applyAlignment="1">
      <alignment horizontal="left" vertical="center" wrapText="1"/>
    </xf>
    <xf numFmtId="181" fontId="72" fillId="0" borderId="11" xfId="0" applyNumberFormat="1" applyFont="1" applyBorder="1" applyAlignment="1">
      <alignment horizontal="left" vertical="center" wrapText="1"/>
    </xf>
    <xf numFmtId="181" fontId="84" fillId="0" borderId="11" xfId="0" applyNumberFormat="1" applyFont="1" applyBorder="1" applyAlignment="1">
      <alignment horizontal="left" vertical="center" wrapText="1"/>
    </xf>
    <xf numFmtId="181" fontId="85" fillId="0" borderId="11" xfId="0" applyNumberFormat="1" applyFont="1" applyBorder="1" applyAlignment="1">
      <alignment horizontal="justify" vertical="center" wrapText="1"/>
    </xf>
    <xf numFmtId="181" fontId="85" fillId="0" borderId="11" xfId="0" applyNumberFormat="1" applyFont="1" applyBorder="1" applyAlignment="1">
      <alignment horizontal="left" vertical="center" wrapText="1"/>
    </xf>
    <xf numFmtId="181" fontId="85" fillId="0" borderId="11" xfId="0" applyNumberFormat="1" applyFont="1" applyBorder="1" applyAlignment="1">
      <alignment vertical="center" wrapText="1"/>
    </xf>
    <xf numFmtId="181" fontId="86" fillId="0" borderId="11" xfId="0" applyNumberFormat="1" applyFont="1" applyBorder="1" applyAlignment="1">
      <alignment horizontal="left" vertical="center" wrapText="1"/>
    </xf>
    <xf numFmtId="181" fontId="84" fillId="0" borderId="11" xfId="0" applyNumberFormat="1" applyFont="1" applyBorder="1" applyAlignment="1">
      <alignment vertical="center" wrapText="1"/>
    </xf>
    <xf numFmtId="3" fontId="85" fillId="0" borderId="11" xfId="0" applyNumberFormat="1" applyFont="1" applyBorder="1" applyAlignment="1">
      <alignment horizontal="left" vertical="center" wrapText="1"/>
    </xf>
    <xf numFmtId="3" fontId="84" fillId="0" borderId="11" xfId="0" applyNumberFormat="1" applyFont="1" applyBorder="1" applyAlignment="1">
      <alignment horizontal="left" vertical="center" wrapText="1"/>
    </xf>
    <xf numFmtId="0" fontId="87" fillId="0" borderId="11" xfId="0" applyFont="1" applyBorder="1" applyAlignment="1">
      <alignment vertical="center" wrapText="1"/>
    </xf>
    <xf numFmtId="0" fontId="85" fillId="0" borderId="11" xfId="0" applyFont="1" applyBorder="1" applyAlignment="1">
      <alignment vertical="center" wrapText="1"/>
    </xf>
    <xf numFmtId="0" fontId="84" fillId="0" borderId="11" xfId="0" applyFont="1" applyBorder="1" applyAlignment="1">
      <alignment vertical="center" wrapText="1"/>
    </xf>
    <xf numFmtId="181" fontId="72" fillId="0" borderId="11" xfId="0" applyNumberFormat="1" applyFont="1" applyBorder="1" applyAlignment="1">
      <alignment horizontal="center" vertical="center" wrapText="1"/>
    </xf>
    <xf numFmtId="173" fontId="84" fillId="0" borderId="11" xfId="0" applyNumberFormat="1" applyFont="1" applyBorder="1" applyAlignment="1">
      <alignment horizontal="center" vertical="center" wrapText="1"/>
    </xf>
    <xf numFmtId="173" fontId="85" fillId="0" borderId="11" xfId="0" applyNumberFormat="1" applyFont="1" applyBorder="1" applyAlignment="1">
      <alignment horizontal="center" vertical="center" wrapText="1"/>
    </xf>
    <xf numFmtId="181" fontId="85" fillId="0" borderId="11" xfId="0" applyNumberFormat="1" applyFont="1" applyBorder="1" applyAlignment="1">
      <alignment horizontal="center" vertical="center" wrapText="1"/>
    </xf>
    <xf numFmtId="181" fontId="86" fillId="0" borderId="11" xfId="0" applyNumberFormat="1" applyFont="1" applyBorder="1" applyAlignment="1">
      <alignment horizontal="center" vertical="center" wrapText="1"/>
    </xf>
    <xf numFmtId="0" fontId="85" fillId="0" borderId="11" xfId="0" applyFont="1" applyBorder="1" applyAlignment="1">
      <alignment horizontal="center" vertical="center" wrapText="1"/>
    </xf>
    <xf numFmtId="1" fontId="85" fillId="0" borderId="11" xfId="0" applyNumberFormat="1" applyFont="1" applyBorder="1" applyAlignment="1">
      <alignment horizontal="center" vertical="center" wrapText="1"/>
    </xf>
    <xf numFmtId="3" fontId="85" fillId="0" borderId="11" xfId="0" applyNumberFormat="1" applyFont="1" applyBorder="1" applyAlignment="1">
      <alignment horizontal="center" vertical="center" wrapText="1"/>
    </xf>
    <xf numFmtId="3" fontId="84" fillId="0" borderId="11" xfId="0" applyNumberFormat="1" applyFont="1" applyBorder="1" applyAlignment="1">
      <alignment horizontal="center" vertical="center" wrapText="1"/>
    </xf>
    <xf numFmtId="1" fontId="86" fillId="0" borderId="11" xfId="0" applyNumberFormat="1" applyFont="1" applyBorder="1" applyAlignment="1">
      <alignment horizontal="center" vertical="center"/>
    </xf>
    <xf numFmtId="3" fontId="86" fillId="0" borderId="11" xfId="0" applyNumberFormat="1" applyFont="1" applyBorder="1" applyAlignment="1">
      <alignment horizontal="center" vertical="center"/>
    </xf>
    <xf numFmtId="1" fontId="84" fillId="0" borderId="11" xfId="0" applyNumberFormat="1" applyFont="1" applyBorder="1" applyAlignment="1">
      <alignment horizontal="center" vertical="center" wrapText="1"/>
    </xf>
    <xf numFmtId="0" fontId="84" fillId="0" borderId="11" xfId="0" applyFont="1" applyBorder="1" applyAlignment="1">
      <alignment horizontal="center" vertical="center" wrapText="1"/>
    </xf>
    <xf numFmtId="0" fontId="72" fillId="0" borderId="11" xfId="0" applyFont="1" applyBorder="1" applyAlignment="1">
      <alignment horizontal="center" vertical="center"/>
    </xf>
    <xf numFmtId="0" fontId="85" fillId="0" borderId="11" xfId="0" quotePrefix="1" applyFont="1" applyBorder="1" applyAlignment="1">
      <alignment horizontal="center" vertical="center" wrapText="1"/>
    </xf>
    <xf numFmtId="167" fontId="85" fillId="0" borderId="11" xfId="0" applyNumberFormat="1" applyFont="1" applyBorder="1" applyAlignment="1">
      <alignment horizontal="center" vertical="center" wrapText="1"/>
    </xf>
    <xf numFmtId="0" fontId="87" fillId="0" borderId="11" xfId="0" applyFont="1" applyBorder="1" applyAlignment="1">
      <alignment horizontal="center" vertical="center" wrapText="1"/>
    </xf>
    <xf numFmtId="0" fontId="86" fillId="0" borderId="11" xfId="0" applyFont="1" applyBorder="1" applyAlignment="1">
      <alignment horizontal="center" vertical="center" wrapText="1"/>
    </xf>
    <xf numFmtId="0" fontId="86" fillId="0" borderId="11" xfId="0" applyFont="1" applyBorder="1" applyAlignment="1">
      <alignment horizontal="center" vertical="center"/>
    </xf>
    <xf numFmtId="1" fontId="88" fillId="0" borderId="11" xfId="0" applyNumberFormat="1" applyFont="1" applyBorder="1" applyAlignment="1">
      <alignment horizontal="center" vertical="center" shrinkToFit="1"/>
    </xf>
    <xf numFmtId="1" fontId="88" fillId="0" borderId="11" xfId="0" applyNumberFormat="1" applyFont="1" applyBorder="1" applyAlignment="1">
      <alignment horizontal="center" vertical="top" shrinkToFit="1"/>
    </xf>
    <xf numFmtId="181" fontId="71" fillId="0" borderId="11" xfId="0" applyNumberFormat="1" applyFont="1" applyBorder="1" applyAlignment="1">
      <alignment horizontal="left" vertical="center"/>
    </xf>
    <xf numFmtId="21" fontId="72" fillId="0" borderId="11" xfId="0" quotePrefix="1" applyNumberFormat="1" applyFont="1" applyBorder="1" applyAlignment="1">
      <alignment horizontal="left" vertical="center" wrapText="1"/>
    </xf>
    <xf numFmtId="181" fontId="71" fillId="0" borderId="11" xfId="0" applyNumberFormat="1" applyFont="1" applyBorder="1" applyAlignment="1">
      <alignment horizontal="left" vertical="center" wrapText="1"/>
    </xf>
    <xf numFmtId="3" fontId="72" fillId="0" borderId="11" xfId="0" applyNumberFormat="1" applyFont="1" applyBorder="1" applyAlignment="1">
      <alignment horizontal="left" vertical="center" wrapText="1"/>
    </xf>
    <xf numFmtId="181" fontId="72" fillId="0" borderId="11" xfId="0" applyNumberFormat="1" applyFont="1" applyBorder="1" applyAlignment="1">
      <alignment horizontal="left" vertical="center"/>
    </xf>
    <xf numFmtId="181" fontId="71" fillId="0" borderId="11" xfId="0" quotePrefix="1" applyNumberFormat="1" applyFont="1" applyBorder="1" applyAlignment="1">
      <alignment horizontal="left" vertical="center"/>
    </xf>
    <xf numFmtId="0" fontId="71" fillId="0" borderId="11" xfId="0" applyFont="1" applyBorder="1" applyAlignment="1">
      <alignment horizontal="left" vertical="center"/>
    </xf>
    <xf numFmtId="181" fontId="5" fillId="0" borderId="11" xfId="0" applyNumberFormat="1" applyFont="1" applyBorder="1" applyAlignment="1">
      <alignment horizontal="left" vertical="center" wrapText="1"/>
    </xf>
    <xf numFmtId="0" fontId="78" fillId="0" borderId="11" xfId="0" applyFont="1" applyBorder="1" applyAlignment="1">
      <alignment horizontal="left" vertical="center"/>
    </xf>
    <xf numFmtId="0" fontId="6" fillId="0" borderId="11" xfId="0" applyFont="1" applyBorder="1" applyAlignment="1">
      <alignment horizontal="left" vertical="center"/>
    </xf>
    <xf numFmtId="0" fontId="5" fillId="0" borderId="11" xfId="0" applyFont="1" applyBorder="1" applyAlignment="1">
      <alignment horizontal="left" vertical="center"/>
    </xf>
    <xf numFmtId="0" fontId="78" fillId="0" borderId="11" xfId="0" applyFont="1" applyBorder="1" applyAlignment="1">
      <alignment horizontal="left" vertical="center" wrapText="1"/>
    </xf>
    <xf numFmtId="0" fontId="75" fillId="0" borderId="11" xfId="0" applyFont="1" applyBorder="1" applyAlignment="1">
      <alignment horizontal="left" vertical="center" wrapText="1"/>
    </xf>
    <xf numFmtId="0" fontId="5" fillId="0" borderId="11" xfId="0" applyFont="1" applyBorder="1" applyAlignment="1">
      <alignment horizontal="left" vertical="top" wrapText="1"/>
    </xf>
    <xf numFmtId="173" fontId="71" fillId="0" borderId="11" xfId="0" applyNumberFormat="1" applyFont="1" applyBorder="1" applyAlignment="1">
      <alignment horizontal="center" vertical="center"/>
    </xf>
    <xf numFmtId="181" fontId="72" fillId="0" borderId="11" xfId="0" applyNumberFormat="1" applyFont="1" applyBorder="1" applyAlignment="1">
      <alignment horizontal="center" vertical="center"/>
    </xf>
    <xf numFmtId="169" fontId="71" fillId="0" borderId="11" xfId="0" applyNumberFormat="1" applyFont="1" applyBorder="1" applyAlignment="1">
      <alignment horizontal="center" vertical="center"/>
    </xf>
    <xf numFmtId="173" fontId="72" fillId="0" borderId="11" xfId="0" applyNumberFormat="1" applyFont="1" applyBorder="1" applyAlignment="1">
      <alignment horizontal="center" vertical="center"/>
    </xf>
    <xf numFmtId="0" fontId="78" fillId="0" borderId="11" xfId="0" applyFont="1" applyBorder="1" applyAlignment="1">
      <alignment horizontal="center" vertical="center"/>
    </xf>
    <xf numFmtId="166" fontId="6" fillId="0" borderId="11" xfId="0" applyNumberFormat="1" applyFont="1" applyBorder="1" applyAlignment="1">
      <alignment horizontal="center" vertical="center"/>
    </xf>
    <xf numFmtId="0" fontId="75" fillId="0" borderId="11" xfId="0" applyFont="1" applyBorder="1" applyAlignment="1">
      <alignment horizontal="center" vertical="center"/>
    </xf>
    <xf numFmtId="0" fontId="5" fillId="0" borderId="11" xfId="62" applyFont="1" applyBorder="1" applyAlignment="1">
      <alignment horizontal="center" vertical="center"/>
    </xf>
    <xf numFmtId="0" fontId="5" fillId="0" borderId="11" xfId="62" applyFont="1" applyBorder="1" applyAlignment="1">
      <alignment horizontal="center" vertical="center" wrapText="1"/>
    </xf>
    <xf numFmtId="0" fontId="6" fillId="0" borderId="11" xfId="62" applyFont="1" applyBorder="1" applyAlignment="1">
      <alignment horizontal="center" vertical="center" wrapText="1"/>
    </xf>
    <xf numFmtId="167" fontId="5" fillId="0" borderId="11" xfId="62" applyNumberFormat="1" applyFont="1" applyBorder="1" applyAlignment="1">
      <alignment horizontal="center" vertical="center"/>
    </xf>
    <xf numFmtId="0" fontId="6" fillId="0" borderId="11" xfId="0" applyFont="1" applyBorder="1" applyAlignment="1">
      <alignment horizontal="center" vertical="center"/>
    </xf>
    <xf numFmtId="0" fontId="78" fillId="0" borderId="11" xfId="62" applyFont="1" applyBorder="1" applyAlignment="1">
      <alignment horizontal="center" vertical="center" wrapText="1"/>
    </xf>
    <xf numFmtId="167" fontId="5" fillId="0" borderId="11" xfId="16" applyNumberFormat="1" applyFont="1" applyFill="1" applyBorder="1" applyAlignment="1">
      <alignment horizontal="center" vertical="center" wrapText="1"/>
    </xf>
    <xf numFmtId="167" fontId="6" fillId="0" borderId="11" xfId="62" applyNumberFormat="1" applyFont="1" applyBorder="1" applyAlignment="1">
      <alignment horizontal="center" vertical="center"/>
    </xf>
    <xf numFmtId="167" fontId="78" fillId="0" borderId="11" xfId="62" applyNumberFormat="1" applyFont="1" applyBorder="1" applyAlignment="1">
      <alignment horizontal="center" vertical="center"/>
    </xf>
    <xf numFmtId="167" fontId="75" fillId="0" borderId="11" xfId="62" applyNumberFormat="1" applyFont="1" applyBorder="1" applyAlignment="1">
      <alignment horizontal="center" vertical="center"/>
    </xf>
    <xf numFmtId="0" fontId="16" fillId="0" borderId="11" xfId="57" applyBorder="1" applyAlignment="1" applyProtection="1">
      <alignment horizontal="center" vertical="center"/>
      <protection hidden="1"/>
    </xf>
    <xf numFmtId="2" fontId="67" fillId="0" borderId="11" xfId="0" applyNumberFormat="1" applyFont="1" applyBorder="1" applyAlignment="1" applyProtection="1">
      <alignment horizontal="center" vertical="center"/>
      <protection hidden="1"/>
    </xf>
    <xf numFmtId="2" fontId="80" fillId="0" borderId="11" xfId="0" applyNumberFormat="1" applyFont="1" applyBorder="1" applyAlignment="1">
      <alignment horizontal="center" vertical="center"/>
    </xf>
    <xf numFmtId="2" fontId="63" fillId="0" borderId="11" xfId="0" applyNumberFormat="1" applyFont="1" applyBorder="1" applyAlignment="1" applyProtection="1">
      <alignment horizontal="center" vertical="center"/>
      <protection hidden="1"/>
    </xf>
    <xf numFmtId="2" fontId="6" fillId="0" borderId="11" xfId="0" applyNumberFormat="1" applyFont="1" applyBorder="1" applyAlignment="1" applyProtection="1">
      <alignment horizontal="center" vertical="top" wrapText="1"/>
      <protection hidden="1"/>
    </xf>
    <xf numFmtId="2" fontId="57" fillId="0" borderId="11" xfId="0" applyNumberFormat="1" applyFont="1" applyBorder="1" applyAlignment="1" applyProtection="1">
      <alignment horizontal="center" vertical="top"/>
      <protection hidden="1"/>
    </xf>
    <xf numFmtId="178" fontId="5" fillId="0" borderId="0" xfId="7" applyNumberFormat="1" applyFont="1" applyAlignment="1" applyProtection="1">
      <alignment vertical="top"/>
      <protection hidden="1"/>
    </xf>
    <xf numFmtId="0" fontId="31" fillId="7" borderId="0" xfId="0" applyFont="1" applyFill="1" applyAlignment="1" applyProtection="1">
      <alignment horizontal="center" vertical="center"/>
      <protection hidden="1"/>
    </xf>
    <xf numFmtId="0" fontId="6" fillId="0" borderId="43" xfId="56" applyFont="1" applyBorder="1" applyAlignment="1" applyProtection="1">
      <alignment horizontal="justify" vertical="top" wrapText="1"/>
      <protection locked="0"/>
    </xf>
    <xf numFmtId="0" fontId="6" fillId="0" borderId="14" xfId="56" applyFont="1" applyBorder="1" applyAlignment="1" applyProtection="1">
      <alignment horizontal="justify" vertical="top" wrapText="1"/>
      <protection locked="0"/>
    </xf>
    <xf numFmtId="0" fontId="6" fillId="0" borderId="44" xfId="56" applyFont="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33"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Border="1" applyAlignment="1" applyProtection="1">
      <alignment horizontal="left" vertical="center"/>
      <protection locked="0"/>
    </xf>
    <xf numFmtId="0" fontId="47" fillId="0" borderId="14" xfId="0" applyFont="1" applyBorder="1" applyAlignment="1" applyProtection="1">
      <alignment horizontal="left" vertical="center"/>
      <protection locked="0"/>
    </xf>
    <xf numFmtId="0" fontId="47" fillId="0" borderId="44" xfId="0" applyFont="1" applyBorder="1" applyAlignment="1" applyProtection="1">
      <alignment horizontal="left" vertical="center"/>
      <protection locked="0"/>
    </xf>
    <xf numFmtId="0" fontId="47" fillId="0" borderId="43" xfId="0" applyFont="1" applyBorder="1" applyAlignment="1" applyProtection="1">
      <alignment horizontal="left" vertical="center"/>
      <protection locked="0"/>
    </xf>
    <xf numFmtId="0" fontId="15" fillId="0" borderId="4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44" xfId="0" applyFont="1" applyBorder="1" applyAlignment="1" applyProtection="1">
      <alignment horizontal="left" vertical="center"/>
      <protection locked="0"/>
    </xf>
    <xf numFmtId="0" fontId="1" fillId="0" borderId="5" xfId="56" applyBorder="1"/>
    <xf numFmtId="0" fontId="1" fillId="0" borderId="0" xfId="56"/>
    <xf numFmtId="0" fontId="1" fillId="0" borderId="6" xfId="56" applyBorder="1"/>
    <xf numFmtId="0" fontId="43" fillId="0" borderId="14" xfId="56" applyFont="1" applyBorder="1" applyAlignment="1" applyProtection="1">
      <alignment horizontal="justify" vertical="center"/>
      <protection hidden="1"/>
    </xf>
    <xf numFmtId="0" fontId="43" fillId="0" borderId="18" xfId="56" applyFont="1" applyBorder="1" applyAlignment="1" applyProtection="1">
      <alignment horizontal="justify" vertical="center"/>
      <protection hidden="1"/>
    </xf>
    <xf numFmtId="0" fontId="25" fillId="0" borderId="5" xfId="56" applyFont="1" applyBorder="1" applyAlignment="1" applyProtection="1">
      <alignment horizontal="right" vertical="center"/>
      <protection hidden="1"/>
    </xf>
    <xf numFmtId="0" fontId="25" fillId="0" borderId="0" xfId="56" applyFont="1" applyAlignment="1" applyProtection="1">
      <alignment horizontal="right" vertical="center"/>
      <protection hidden="1"/>
    </xf>
    <xf numFmtId="0" fontId="23" fillId="0" borderId="5" xfId="56" applyFont="1" applyBorder="1" applyAlignment="1" applyProtection="1">
      <alignment horizontal="right" vertical="center"/>
      <protection hidden="1"/>
    </xf>
    <xf numFmtId="0" fontId="23" fillId="0" borderId="0" xfId="56" applyFont="1" applyAlignment="1" applyProtection="1">
      <alignment horizontal="right" vertical="center"/>
      <protection hidden="1"/>
    </xf>
    <xf numFmtId="0" fontId="25" fillId="0" borderId="37" xfId="56" applyFont="1" applyBorder="1" applyAlignment="1" applyProtection="1">
      <alignment horizontal="right" vertical="center"/>
      <protection hidden="1"/>
    </xf>
    <xf numFmtId="0" fontId="25" fillId="0" borderId="4" xfId="56" applyFont="1" applyBorder="1" applyAlignment="1" applyProtection="1">
      <alignment horizontal="right" vertical="center"/>
      <protection hidden="1"/>
    </xf>
    <xf numFmtId="0" fontId="6" fillId="8" borderId="33" xfId="56" applyFont="1" applyFill="1" applyBorder="1" applyAlignment="1" applyProtection="1">
      <alignment horizontal="center" vertical="center"/>
      <protection hidden="1"/>
    </xf>
    <xf numFmtId="0" fontId="6" fillId="8" borderId="3" xfId="56" applyFont="1" applyFill="1" applyBorder="1" applyAlignment="1" applyProtection="1">
      <alignment horizontal="center" vertical="center"/>
      <protection hidden="1"/>
    </xf>
    <xf numFmtId="0" fontId="6" fillId="8" borderId="34" xfId="56" applyFont="1" applyFill="1" applyBorder="1" applyAlignment="1" applyProtection="1">
      <alignment horizontal="center" vertical="center"/>
      <protection hidden="1"/>
    </xf>
    <xf numFmtId="0" fontId="21" fillId="0" borderId="5" xfId="56" applyFont="1" applyBorder="1" applyAlignment="1" applyProtection="1">
      <alignment horizontal="center" vertical="center" wrapText="1"/>
      <protection hidden="1"/>
    </xf>
    <xf numFmtId="0" fontId="21" fillId="0" borderId="0" xfId="56" applyFont="1" applyAlignment="1" applyProtection="1">
      <alignment horizontal="center" vertical="center" wrapText="1"/>
      <protection hidden="1"/>
    </xf>
    <xf numFmtId="0" fontId="21" fillId="0" borderId="6" xfId="56" applyFont="1" applyBorder="1" applyAlignment="1" applyProtection="1">
      <alignment horizontal="center" vertical="center" wrapText="1"/>
      <protection hidden="1"/>
    </xf>
    <xf numFmtId="0" fontId="22" fillId="0" borderId="5" xfId="56" applyFont="1" applyBorder="1" applyAlignment="1" applyProtection="1">
      <alignment horizontal="center" vertical="center"/>
      <protection hidden="1"/>
    </xf>
    <xf numFmtId="0" fontId="22" fillId="0" borderId="0" xfId="56" applyFont="1" applyAlignment="1" applyProtection="1">
      <alignment horizontal="center" vertical="center"/>
      <protection hidden="1"/>
    </xf>
    <xf numFmtId="0" fontId="22" fillId="0" borderId="6" xfId="56" applyFont="1" applyBorder="1" applyAlignment="1" applyProtection="1">
      <alignment horizontal="center" vertical="center"/>
      <protection hidden="1"/>
    </xf>
    <xf numFmtId="0" fontId="57" fillId="0" borderId="45" xfId="0" applyFont="1" applyBorder="1" applyAlignment="1" applyProtection="1">
      <alignment horizontal="center" vertical="top"/>
      <protection hidden="1"/>
    </xf>
    <xf numFmtId="0" fontId="21" fillId="0" borderId="14" xfId="0" applyFont="1" applyBorder="1" applyAlignment="1" applyProtection="1">
      <alignment horizontal="center" vertical="center"/>
      <protection hidden="1"/>
    </xf>
    <xf numFmtId="0" fontId="21" fillId="0" borderId="0" xfId="0" applyFont="1" applyAlignment="1" applyProtection="1">
      <alignment horizontal="left" vertical="top"/>
      <protection hidden="1"/>
    </xf>
    <xf numFmtId="0" fontId="57" fillId="0" borderId="0" xfId="0" applyFont="1" applyAlignment="1" applyProtection="1">
      <alignment horizontal="center" vertical="top"/>
      <protection hidden="1"/>
    </xf>
    <xf numFmtId="0" fontId="31" fillId="7" borderId="0" xfId="0" applyFont="1" applyFill="1" applyAlignment="1" applyProtection="1">
      <alignment horizontal="center" vertical="top" wrapText="1"/>
      <protection hidden="1"/>
    </xf>
    <xf numFmtId="0" fontId="41" fillId="0" borderId="4"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protection hidden="1"/>
    </xf>
    <xf numFmtId="0" fontId="27" fillId="7" borderId="0" xfId="0" applyFont="1" applyFill="1" applyAlignment="1" applyProtection="1">
      <alignment horizontal="center" vertical="center"/>
      <protection hidden="1"/>
    </xf>
    <xf numFmtId="0" fontId="66" fillId="12" borderId="33" xfId="61" applyFont="1" applyFill="1" applyBorder="1" applyAlignment="1" applyProtection="1">
      <alignment horizontal="center" vertical="center" wrapText="1"/>
      <protection hidden="1"/>
    </xf>
    <xf numFmtId="0" fontId="66" fillId="12" borderId="3" xfId="61" applyFont="1" applyFill="1" applyBorder="1" applyAlignment="1" applyProtection="1">
      <alignment horizontal="center" vertical="center" wrapText="1"/>
      <protection hidden="1"/>
    </xf>
    <xf numFmtId="0" fontId="66" fillId="12" borderId="34" xfId="61" applyFont="1" applyFill="1" applyBorder="1" applyAlignment="1" applyProtection="1">
      <alignment horizontal="center" vertical="center" wrapText="1"/>
      <protection hidden="1"/>
    </xf>
    <xf numFmtId="0" fontId="69" fillId="0" borderId="0" xfId="0" applyFont="1" applyAlignment="1" applyProtection="1">
      <alignment horizontal="justify" vertical="top" wrapText="1"/>
      <protection hidden="1"/>
    </xf>
    <xf numFmtId="0" fontId="80" fillId="0" borderId="0" xfId="0" applyFont="1" applyAlignment="1" applyProtection="1">
      <alignment horizontal="left" vertical="top"/>
      <protection hidden="1"/>
    </xf>
    <xf numFmtId="0" fontId="66" fillId="0" borderId="0" xfId="0" applyFont="1" applyAlignment="1" applyProtection="1">
      <alignment horizontal="left" vertical="top" wrapText="1"/>
      <protection hidden="1"/>
    </xf>
    <xf numFmtId="0" fontId="66" fillId="12" borderId="33" xfId="61" applyFont="1" applyFill="1" applyBorder="1" applyAlignment="1" applyProtection="1">
      <alignment horizontal="center" vertical="top" wrapText="1"/>
      <protection hidden="1"/>
    </xf>
    <xf numFmtId="0" fontId="66" fillId="12" borderId="3" xfId="61" applyFont="1" applyFill="1" applyBorder="1" applyAlignment="1" applyProtection="1">
      <alignment horizontal="center" vertical="top" wrapText="1"/>
      <protection hidden="1"/>
    </xf>
    <xf numFmtId="0" fontId="66" fillId="12" borderId="34" xfId="61" applyFont="1" applyFill="1" applyBorder="1" applyAlignment="1" applyProtection="1">
      <alignment horizontal="center" vertical="top" wrapText="1"/>
      <protection hidden="1"/>
    </xf>
    <xf numFmtId="0" fontId="66" fillId="0" borderId="0" xfId="57" applyFont="1" applyAlignment="1" applyProtection="1">
      <alignment horizontal="left" vertical="top" wrapText="1"/>
      <protection hidden="1"/>
    </xf>
    <xf numFmtId="0" fontId="80" fillId="0" borderId="33" xfId="0" applyFont="1" applyBorder="1" applyAlignment="1">
      <alignment horizontal="left" vertical="top" wrapText="1"/>
    </xf>
    <xf numFmtId="0" fontId="80" fillId="0" borderId="3" xfId="0" applyFont="1" applyBorder="1" applyAlignment="1">
      <alignment horizontal="left" vertical="top" wrapText="1"/>
    </xf>
    <xf numFmtId="0" fontId="80" fillId="0" borderId="34" xfId="0" applyFont="1" applyBorder="1" applyAlignment="1">
      <alignment horizontal="left" vertical="top" wrapText="1"/>
    </xf>
    <xf numFmtId="0" fontId="66" fillId="0" borderId="0" xfId="0" applyFont="1" applyAlignment="1" applyProtection="1">
      <alignment horizontal="center" vertical="top" wrapText="1"/>
      <protection hidden="1"/>
    </xf>
    <xf numFmtId="0" fontId="68" fillId="7" borderId="0" xfId="0" applyFont="1" applyFill="1" applyAlignment="1" applyProtection="1">
      <alignment horizontal="center" vertical="top"/>
      <protection hidden="1"/>
    </xf>
    <xf numFmtId="0" fontId="16"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0" borderId="0" xfId="0" applyFont="1" applyAlignment="1" applyProtection="1">
      <alignment horizontal="justify" vertical="center" wrapText="1"/>
      <protection hidden="1"/>
    </xf>
    <xf numFmtId="0" fontId="15" fillId="0" borderId="11" xfId="61" applyFont="1" applyFill="1" applyBorder="1" applyAlignment="1" applyProtection="1">
      <alignment horizontal="left" vertical="center" wrapText="1"/>
      <protection hidden="1"/>
    </xf>
    <xf numFmtId="0" fontId="15" fillId="0" borderId="11" xfId="61" applyNumberFormat="1" applyFont="1" applyFill="1" applyBorder="1" applyAlignment="1" applyProtection="1">
      <alignment horizontal="left" vertical="center"/>
      <protection hidden="1"/>
    </xf>
    <xf numFmtId="0" fontId="15" fillId="0" borderId="11" xfId="61" applyNumberFormat="1" applyFont="1" applyFill="1" applyBorder="1" applyAlignment="1" applyProtection="1">
      <alignment horizontal="left" vertical="center" wrapText="1"/>
      <protection hidden="1"/>
    </xf>
    <xf numFmtId="0" fontId="29" fillId="0" borderId="0" xfId="0" applyFont="1" applyAlignment="1" applyProtection="1">
      <alignment horizontal="justify" vertical="center" wrapText="1"/>
      <protection hidden="1"/>
    </xf>
    <xf numFmtId="0" fontId="15" fillId="0" borderId="0" xfId="57" applyFont="1" applyAlignment="1" applyProtection="1">
      <alignment horizontal="left" vertical="center"/>
      <protection hidden="1"/>
    </xf>
    <xf numFmtId="0" fontId="15" fillId="0" borderId="0" xfId="0" applyFont="1" applyAlignment="1" applyProtection="1">
      <alignment horizontal="center" vertical="center" wrapText="1"/>
      <protection hidden="1"/>
    </xf>
    <xf numFmtId="0" fontId="76" fillId="0" borderId="33" xfId="0" applyFont="1" applyBorder="1" applyAlignment="1">
      <alignment horizontal="center" vertical="top" wrapText="1"/>
    </xf>
    <xf numFmtId="0" fontId="76" fillId="0" borderId="3" xfId="0" applyFont="1" applyBorder="1" applyAlignment="1">
      <alignment horizontal="center" vertical="top" wrapText="1"/>
    </xf>
    <xf numFmtId="0" fontId="76" fillId="0" borderId="34" xfId="0" applyFont="1" applyBorder="1" applyAlignment="1">
      <alignment horizontal="center" vertical="top" wrapText="1"/>
    </xf>
    <xf numFmtId="0" fontId="15" fillId="0" borderId="0" xfId="57"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vertical="center"/>
      <protection hidden="1"/>
    </xf>
    <xf numFmtId="0" fontId="83" fillId="0" borderId="0" xfId="0" applyFont="1" applyAlignment="1" applyProtection="1">
      <alignment horizontal="left" vertical="top" wrapText="1"/>
      <protection hidden="1"/>
    </xf>
    <xf numFmtId="0" fontId="57" fillId="12" borderId="33" xfId="61" applyFont="1" applyFill="1" applyBorder="1" applyAlignment="1" applyProtection="1">
      <alignment horizontal="center" vertical="top" wrapText="1"/>
      <protection hidden="1"/>
    </xf>
    <xf numFmtId="0" fontId="57" fillId="12" borderId="3" xfId="61" applyFont="1" applyFill="1" applyBorder="1" applyAlignment="1" applyProtection="1">
      <alignment horizontal="center" vertical="top" wrapText="1"/>
      <protection hidden="1"/>
    </xf>
    <xf numFmtId="0" fontId="57" fillId="12" borderId="34" xfId="61" applyFont="1" applyFill="1" applyBorder="1" applyAlignment="1" applyProtection="1">
      <alignment horizontal="center" vertical="top" wrapText="1"/>
      <protection hidden="1"/>
    </xf>
    <xf numFmtId="0" fontId="57" fillId="0" borderId="0" xfId="57" applyFont="1" applyAlignment="1" applyProtection="1">
      <alignment horizontal="left" vertical="top" wrapText="1"/>
      <protection hidden="1"/>
    </xf>
    <xf numFmtId="0" fontId="57" fillId="0" borderId="0" xfId="0" applyFont="1" applyAlignment="1" applyProtection="1">
      <alignment horizontal="center" vertical="top" wrapText="1"/>
      <protection hidden="1"/>
    </xf>
    <xf numFmtId="0" fontId="31" fillId="7" borderId="0" xfId="0" applyFont="1" applyFill="1" applyAlignment="1" applyProtection="1">
      <alignment horizontal="center" vertical="top"/>
      <protection hidden="1"/>
    </xf>
    <xf numFmtId="2" fontId="15" fillId="2" borderId="11" xfId="56" applyNumberFormat="1" applyFont="1" applyFill="1" applyBorder="1" applyAlignment="1" applyProtection="1">
      <alignment horizontal="center" vertical="center" wrapText="1"/>
      <protection hidden="1"/>
    </xf>
    <xf numFmtId="0" fontId="15" fillId="3" borderId="35" xfId="56" applyFont="1" applyFill="1" applyBorder="1" applyAlignment="1" applyProtection="1">
      <alignment horizontal="center" vertical="center" wrapText="1"/>
      <protection locked="0" hidden="1"/>
    </xf>
    <xf numFmtId="0" fontId="15" fillId="3" borderId="36" xfId="56" applyFont="1" applyFill="1" applyBorder="1" applyAlignment="1" applyProtection="1">
      <alignment horizontal="center" vertical="center" wrapText="1"/>
      <protection locked="0" hidden="1"/>
    </xf>
    <xf numFmtId="0" fontId="15" fillId="3" borderId="5" xfId="56" applyFont="1" applyFill="1" applyBorder="1" applyAlignment="1" applyProtection="1">
      <alignment horizontal="center" vertical="center" wrapText="1"/>
      <protection locked="0" hidden="1"/>
    </xf>
    <xf numFmtId="0" fontId="15" fillId="3" borderId="6" xfId="56" applyFont="1" applyFill="1" applyBorder="1" applyAlignment="1" applyProtection="1">
      <alignment horizontal="center" vertical="center" wrapText="1"/>
      <protection locked="0" hidden="1"/>
    </xf>
    <xf numFmtId="0" fontId="15" fillId="3" borderId="37" xfId="56" applyFont="1" applyFill="1" applyBorder="1" applyAlignment="1" applyProtection="1">
      <alignment horizontal="center" vertical="center" wrapText="1"/>
      <protection locked="0" hidden="1"/>
    </xf>
    <xf numFmtId="0" fontId="15" fillId="3" borderId="7" xfId="56" applyFont="1" applyFill="1" applyBorder="1" applyAlignment="1" applyProtection="1">
      <alignment horizontal="center" vertical="center" wrapText="1"/>
      <protection locked="0" hidden="1"/>
    </xf>
    <xf numFmtId="0" fontId="16" fillId="0" borderId="11" xfId="56" applyFont="1" applyBorder="1" applyAlignment="1" applyProtection="1">
      <alignment horizontal="justify" vertical="center" wrapText="1"/>
      <protection hidden="1"/>
    </xf>
    <xf numFmtId="0" fontId="0" fillId="0" borderId="11" xfId="56" applyFont="1" applyBorder="1" applyAlignment="1" applyProtection="1">
      <alignment horizontal="justify" vertical="center" wrapText="1"/>
      <protection hidden="1"/>
    </xf>
    <xf numFmtId="0" fontId="15" fillId="2" borderId="33" xfId="56" applyFont="1" applyFill="1" applyBorder="1" applyAlignment="1" applyProtection="1">
      <alignment horizontal="left" vertical="center" wrapText="1"/>
      <protection hidden="1"/>
    </xf>
    <xf numFmtId="0" fontId="15" fillId="2" borderId="3" xfId="56" applyFont="1" applyFill="1" applyBorder="1" applyAlignment="1" applyProtection="1">
      <alignment horizontal="left" vertical="center" wrapText="1"/>
      <protection hidden="1"/>
    </xf>
    <xf numFmtId="43" fontId="15" fillId="0" borderId="11" xfId="7" applyFont="1" applyFill="1" applyBorder="1" applyAlignment="1" applyProtection="1">
      <alignment horizontal="center" vertical="center" wrapText="1"/>
      <protection hidden="1"/>
    </xf>
    <xf numFmtId="43" fontId="15" fillId="0" borderId="33" xfId="7" applyFont="1" applyFill="1" applyBorder="1" applyAlignment="1" applyProtection="1">
      <alignment horizontal="center" vertical="center" wrapText="1"/>
      <protection hidden="1"/>
    </xf>
    <xf numFmtId="43" fontId="15" fillId="0" borderId="34" xfId="7" applyFont="1" applyFill="1" applyBorder="1" applyAlignment="1" applyProtection="1">
      <alignment horizontal="center" vertical="center" wrapText="1"/>
      <protection hidden="1"/>
    </xf>
    <xf numFmtId="0" fontId="0" fillId="0" borderId="0" xfId="56" applyFont="1" applyAlignment="1" applyProtection="1">
      <alignment horizontal="justify" vertical="center" wrapText="1"/>
      <protection hidden="1"/>
    </xf>
    <xf numFmtId="0" fontId="16" fillId="0" borderId="0" xfId="56" applyFont="1" applyAlignment="1" applyProtection="1">
      <alignment horizontal="justify" vertical="center" wrapText="1"/>
      <protection hidden="1"/>
    </xf>
    <xf numFmtId="43" fontId="15" fillId="11" borderId="11" xfId="7" applyFont="1" applyFill="1" applyBorder="1" applyAlignment="1" applyProtection="1">
      <alignment horizontal="center" vertical="center"/>
      <protection hidden="1"/>
    </xf>
    <xf numFmtId="0" fontId="15" fillId="3" borderId="11" xfId="56" applyFont="1" applyFill="1" applyBorder="1" applyAlignment="1" applyProtection="1">
      <alignment horizontal="center" vertical="center" wrapText="1"/>
      <protection locked="0" hidden="1"/>
    </xf>
    <xf numFmtId="0" fontId="16" fillId="0" borderId="33" xfId="56" applyFont="1" applyBorder="1" applyAlignment="1" applyProtection="1">
      <alignment horizontal="justify" vertical="center" wrapText="1"/>
      <protection hidden="1"/>
    </xf>
    <xf numFmtId="0" fontId="16" fillId="0" borderId="34" xfId="56" applyFont="1" applyBorder="1" applyAlignment="1" applyProtection="1">
      <alignment horizontal="justify" vertical="center" wrapText="1"/>
      <protection hidden="1"/>
    </xf>
    <xf numFmtId="0" fontId="15" fillId="0" borderId="0" xfId="56" applyFont="1" applyAlignment="1" applyProtection="1">
      <alignment horizontal="center" vertical="center" wrapText="1"/>
      <protection hidden="1"/>
    </xf>
    <xf numFmtId="0" fontId="15" fillId="0" borderId="33" xfId="56" applyFont="1" applyBorder="1" applyAlignment="1" applyProtection="1">
      <alignment horizontal="center" vertical="center" wrapText="1"/>
      <protection hidden="1"/>
    </xf>
    <xf numFmtId="0" fontId="15" fillId="0" borderId="34" xfId="56" applyFont="1" applyBorder="1" applyAlignment="1" applyProtection="1">
      <alignment horizontal="center" vertical="center" wrapText="1"/>
      <protection hidden="1"/>
    </xf>
    <xf numFmtId="0" fontId="15" fillId="0" borderId="33" xfId="56" applyFont="1" applyBorder="1" applyAlignment="1" applyProtection="1">
      <alignment horizontal="left" vertical="center" wrapText="1"/>
      <protection hidden="1"/>
    </xf>
    <xf numFmtId="0" fontId="15" fillId="0" borderId="34" xfId="56" applyFont="1" applyBorder="1" applyAlignment="1" applyProtection="1">
      <alignment horizontal="left" vertical="center" wrapText="1"/>
      <protection hidden="1"/>
    </xf>
    <xf numFmtId="0" fontId="15" fillId="0" borderId="0" xfId="56" applyFont="1" applyAlignment="1" applyProtection="1">
      <alignment horizontal="left" vertical="top" wrapText="1"/>
      <protection hidden="1"/>
    </xf>
    <xf numFmtId="0" fontId="27" fillId="7" borderId="0" xfId="56" applyFont="1" applyFill="1" applyAlignment="1" applyProtection="1">
      <alignment horizontal="center" vertical="center"/>
      <protection hidden="1"/>
    </xf>
    <xf numFmtId="2" fontId="15" fillId="0" borderId="33" xfId="56" applyNumberFormat="1" applyFont="1" applyBorder="1" applyAlignment="1" applyProtection="1">
      <alignment horizontal="center" vertical="center" wrapText="1"/>
      <protection hidden="1"/>
    </xf>
    <xf numFmtId="2" fontId="15" fillId="0" borderId="34" xfId="56" applyNumberFormat="1" applyFont="1" applyBorder="1" applyAlignment="1" applyProtection="1">
      <alignment horizontal="center" vertical="center" wrapText="1"/>
      <protection hidden="1"/>
    </xf>
    <xf numFmtId="0" fontId="16" fillId="0" borderId="11" xfId="56" applyFont="1" applyBorder="1" applyAlignment="1" applyProtection="1">
      <alignment horizontal="center" vertical="center"/>
      <protection hidden="1"/>
    </xf>
    <xf numFmtId="0" fontId="15" fillId="0" borderId="11" xfId="56" applyFont="1" applyBorder="1" applyAlignment="1" applyProtection="1">
      <alignment horizontal="left" vertical="center" wrapText="1"/>
      <protection hidden="1"/>
    </xf>
    <xf numFmtId="0" fontId="15" fillId="0" borderId="11" xfId="56" applyFont="1" applyBorder="1" applyAlignment="1" applyProtection="1">
      <alignment horizontal="center" vertical="center" wrapText="1"/>
      <protection hidden="1"/>
    </xf>
    <xf numFmtId="2" fontId="15" fillId="0" borderId="11" xfId="56" applyNumberFormat="1" applyFont="1" applyBorder="1" applyAlignment="1" applyProtection="1">
      <alignment horizontal="center" vertical="center"/>
      <protection hidden="1"/>
    </xf>
    <xf numFmtId="3" fontId="15" fillId="3" borderId="33" xfId="56" applyNumberFormat="1" applyFont="1" applyFill="1" applyBorder="1" applyAlignment="1" applyProtection="1">
      <alignment horizontal="right" vertical="center"/>
      <protection locked="0" hidden="1"/>
    </xf>
    <xf numFmtId="3" fontId="15" fillId="3" borderId="34" xfId="56" applyNumberFormat="1" applyFont="1" applyFill="1" applyBorder="1" applyAlignment="1" applyProtection="1">
      <alignment horizontal="right" vertical="center"/>
      <protection locked="0" hidden="1"/>
    </xf>
    <xf numFmtId="2" fontId="15" fillId="0" borderId="11" xfId="56" applyNumberFormat="1" applyFont="1" applyBorder="1" applyAlignment="1" applyProtection="1">
      <alignment horizontal="center" vertical="center" wrapText="1"/>
      <protection hidden="1"/>
    </xf>
    <xf numFmtId="0" fontId="15" fillId="0" borderId="0" xfId="56" applyFont="1" applyAlignment="1" applyProtection="1">
      <alignment horizontal="left" vertical="top"/>
      <protection hidden="1"/>
    </xf>
    <xf numFmtId="9" fontId="15" fillId="3" borderId="11" xfId="56" applyNumberFormat="1" applyFont="1" applyFill="1" applyBorder="1" applyAlignment="1" applyProtection="1">
      <alignment horizontal="center" vertical="center" wrapText="1"/>
      <protection locked="0" hidden="1"/>
    </xf>
    <xf numFmtId="0" fontId="15" fillId="0" borderId="4" xfId="0" applyFont="1" applyBorder="1" applyAlignment="1">
      <alignment horizontal="center" vertical="center" wrapText="1"/>
    </xf>
    <xf numFmtId="0" fontId="15" fillId="2" borderId="11" xfId="56" applyFont="1" applyFill="1" applyBorder="1" applyAlignment="1" applyProtection="1">
      <alignment horizontal="left" vertical="center" wrapText="1"/>
      <protection hidden="1"/>
    </xf>
    <xf numFmtId="0" fontId="0" fillId="0" borderId="33" xfId="56" applyFont="1" applyBorder="1" applyAlignment="1" applyProtection="1">
      <alignment horizontal="justify" vertical="center" wrapText="1"/>
      <protection hidden="1"/>
    </xf>
    <xf numFmtId="0" fontId="16" fillId="0" borderId="3" xfId="56" applyFont="1" applyBorder="1" applyAlignment="1" applyProtection="1">
      <alignment horizontal="justify" vertical="center" wrapText="1"/>
      <protection hidden="1"/>
    </xf>
    <xf numFmtId="0" fontId="0" fillId="0" borderId="33" xfId="56" applyFont="1" applyBorder="1" applyAlignment="1" applyProtection="1">
      <alignment horizontal="justify" vertical="center"/>
      <protection hidden="1"/>
    </xf>
    <xf numFmtId="0" fontId="16" fillId="0" borderId="3" xfId="56" applyFont="1" applyBorder="1" applyAlignment="1" applyProtection="1">
      <alignment horizontal="justify" vertical="center"/>
      <protection hidden="1"/>
    </xf>
    <xf numFmtId="0" fontId="0" fillId="0" borderId="35" xfId="56" applyFont="1" applyBorder="1" applyAlignment="1" applyProtection="1">
      <alignment horizontal="justify" vertical="center"/>
      <protection hidden="1"/>
    </xf>
    <xf numFmtId="0" fontId="16" fillId="0" borderId="8" xfId="56" applyFont="1" applyBorder="1" applyAlignment="1" applyProtection="1">
      <alignment horizontal="justify" vertical="center"/>
      <protection hidden="1"/>
    </xf>
    <xf numFmtId="0" fontId="16" fillId="0" borderId="33" xfId="56" applyFont="1" applyBorder="1" applyAlignment="1" applyProtection="1">
      <alignment horizontal="justify" vertical="center"/>
      <protection hidden="1"/>
    </xf>
    <xf numFmtId="0" fontId="16" fillId="0" borderId="34" xfId="56" applyFont="1" applyBorder="1" applyAlignment="1" applyProtection="1">
      <alignment horizontal="justify" vertical="center"/>
      <protection hidden="1"/>
    </xf>
    <xf numFmtId="0" fontId="0" fillId="0" borderId="35" xfId="56" applyFont="1" applyBorder="1" applyAlignment="1" applyProtection="1">
      <alignment horizontal="justify" vertical="center" wrapText="1"/>
      <protection hidden="1"/>
    </xf>
    <xf numFmtId="0" fontId="16" fillId="0" borderId="36" xfId="56" applyFont="1" applyBorder="1" applyAlignment="1" applyProtection="1">
      <alignment horizontal="justify" vertical="center" wrapText="1"/>
      <protection hidden="1"/>
    </xf>
    <xf numFmtId="2" fontId="32" fillId="0" borderId="0" xfId="57" applyNumberFormat="1" applyFont="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6" fillId="0" borderId="0" xfId="57" applyAlignment="1" applyProtection="1">
      <alignment horizontal="justify" vertical="top"/>
      <protection hidden="1"/>
    </xf>
    <xf numFmtId="0" fontId="15" fillId="3" borderId="0" xfId="57" applyFont="1" applyFill="1" applyAlignment="1" applyProtection="1">
      <alignment horizontal="justify" vertical="top"/>
      <protection locked="0"/>
    </xf>
    <xf numFmtId="2" fontId="32" fillId="0" borderId="0" xfId="57" applyNumberFormat="1" applyFont="1" applyAlignment="1" applyProtection="1">
      <alignment vertical="center"/>
      <protection hidden="1"/>
    </xf>
    <xf numFmtId="168" fontId="27" fillId="0" borderId="0" xfId="0" applyNumberFormat="1" applyFont="1" applyAlignment="1" applyProtection="1">
      <alignment horizontal="center" vertical="center" wrapText="1"/>
      <protection hidden="1"/>
    </xf>
    <xf numFmtId="0" fontId="27" fillId="0" borderId="0" xfId="57" applyFont="1" applyAlignment="1" applyProtection="1">
      <alignment horizontal="center" vertical="center"/>
      <protection hidden="1"/>
    </xf>
    <xf numFmtId="0" fontId="32" fillId="0" borderId="0" xfId="57" applyFont="1" applyAlignment="1" applyProtection="1">
      <alignment horizontal="center" vertical="center"/>
      <protection hidden="1"/>
    </xf>
    <xf numFmtId="0" fontId="15" fillId="0" borderId="0" xfId="57" applyFont="1" applyAlignment="1" applyProtection="1">
      <alignment horizontal="center" vertical="center" wrapText="1"/>
      <protection hidden="1"/>
    </xf>
    <xf numFmtId="0" fontId="15" fillId="0" borderId="33" xfId="55" applyFont="1" applyBorder="1" applyAlignment="1" applyProtection="1">
      <alignment horizontal="justify" vertical="top"/>
      <protection hidden="1"/>
    </xf>
    <xf numFmtId="0" fontId="16" fillId="0" borderId="3" xfId="55" applyFont="1" applyBorder="1" applyAlignment="1" applyProtection="1">
      <alignment horizontal="justify" vertical="top"/>
      <protection hidden="1"/>
    </xf>
    <xf numFmtId="0" fontId="16" fillId="0" borderId="34" xfId="55" applyFont="1" applyBorder="1" applyAlignment="1" applyProtection="1">
      <alignment horizontal="justify" vertical="top"/>
      <protection hidden="1"/>
    </xf>
    <xf numFmtId="0" fontId="15" fillId="0" borderId="46" xfId="55" applyFont="1" applyBorder="1" applyAlignment="1" applyProtection="1">
      <alignment horizontal="justify" vertical="top"/>
      <protection hidden="1"/>
    </xf>
    <xf numFmtId="0" fontId="16" fillId="0" borderId="47" xfId="55" applyFont="1" applyBorder="1" applyAlignment="1" applyProtection="1">
      <alignment horizontal="justify" vertical="top"/>
      <protection hidden="1"/>
    </xf>
    <xf numFmtId="0" fontId="16" fillId="0" borderId="48" xfId="55" applyFont="1" applyBorder="1" applyAlignment="1" applyProtection="1">
      <alignment horizontal="justify" vertical="top"/>
      <protection hidden="1"/>
    </xf>
    <xf numFmtId="0" fontId="15" fillId="0" borderId="46" xfId="55" applyFont="1" applyBorder="1" applyAlignment="1" applyProtection="1">
      <alignment horizontal="justify" vertical="center"/>
      <protection hidden="1"/>
    </xf>
    <xf numFmtId="0" fontId="16" fillId="0" borderId="47" xfId="55" applyFont="1" applyBorder="1" applyAlignment="1" applyProtection="1">
      <alignment horizontal="justify" vertical="center"/>
      <protection hidden="1"/>
    </xf>
    <xf numFmtId="0" fontId="16" fillId="0" borderId="48" xfId="55" applyFont="1" applyBorder="1" applyAlignment="1" applyProtection="1">
      <alignment horizontal="justify" vertical="center"/>
      <protection hidden="1"/>
    </xf>
    <xf numFmtId="0" fontId="0" fillId="0" borderId="8" xfId="55" applyFont="1" applyBorder="1" applyAlignment="1" applyProtection="1">
      <alignment horizontal="left" vertical="center" wrapText="1"/>
      <protection hidden="1"/>
    </xf>
    <xf numFmtId="0" fontId="16" fillId="0" borderId="8" xfId="55" applyFont="1" applyBorder="1" applyAlignment="1" applyProtection="1">
      <alignment horizontal="left" vertical="center" wrapText="1"/>
      <protection hidden="1"/>
    </xf>
    <xf numFmtId="0" fontId="15" fillId="0" borderId="0" xfId="49" applyFont="1" applyAlignment="1" applyProtection="1">
      <alignment horizontal="left" vertical="center" indent="2"/>
      <protection hidden="1"/>
    </xf>
    <xf numFmtId="0" fontId="0" fillId="0" borderId="11" xfId="55" applyFont="1" applyBorder="1" applyAlignment="1" applyProtection="1">
      <alignment horizontal="left" vertical="top" wrapText="1"/>
      <protection hidden="1"/>
    </xf>
    <xf numFmtId="0" fontId="16" fillId="0" borderId="11" xfId="55" applyFont="1" applyBorder="1" applyAlignment="1" applyProtection="1">
      <alignment horizontal="left" vertical="top" wrapText="1"/>
      <protection hidden="1"/>
    </xf>
    <xf numFmtId="0" fontId="0" fillId="0" borderId="33" xfId="55" applyFont="1" applyBorder="1" applyAlignment="1" applyProtection="1">
      <alignment horizontal="left" vertical="top" wrapText="1"/>
      <protection hidden="1"/>
    </xf>
    <xf numFmtId="0" fontId="16" fillId="0" borderId="3" xfId="55" applyFont="1" applyBorder="1" applyAlignment="1" applyProtection="1">
      <alignment horizontal="left" vertical="top" wrapText="1"/>
      <protection hidden="1"/>
    </xf>
    <xf numFmtId="0" fontId="16" fillId="0" borderId="34" xfId="55" applyFont="1" applyBorder="1" applyAlignment="1" applyProtection="1">
      <alignment horizontal="left" vertical="top" wrapText="1"/>
      <protection hidden="1"/>
    </xf>
    <xf numFmtId="10" fontId="16" fillId="3" borderId="33" xfId="55" applyNumberFormat="1" applyFont="1" applyFill="1" applyBorder="1" applyAlignment="1" applyProtection="1">
      <alignment horizontal="center" vertical="center"/>
      <protection locked="0"/>
    </xf>
    <xf numFmtId="10" fontId="16" fillId="3" borderId="3" xfId="55" applyNumberFormat="1" applyFont="1" applyFill="1" applyBorder="1" applyAlignment="1" applyProtection="1">
      <alignment horizontal="center" vertical="center"/>
      <protection locked="0"/>
    </xf>
    <xf numFmtId="10" fontId="16" fillId="3" borderId="34" xfId="55" applyNumberFormat="1" applyFont="1" applyFill="1" applyBorder="1" applyAlignment="1" applyProtection="1">
      <alignment horizontal="center" vertical="center"/>
      <protection locked="0"/>
    </xf>
    <xf numFmtId="0" fontId="15" fillId="9" borderId="0" xfId="55" applyNumberFormat="1" applyFont="1" applyFill="1" applyBorder="1" applyAlignment="1" applyProtection="1">
      <alignment horizontal="center" vertical="center" wrapText="1"/>
      <protection hidden="1"/>
    </xf>
    <xf numFmtId="0" fontId="15" fillId="0" borderId="0" xfId="0" applyFont="1" applyAlignment="1" applyProtection="1">
      <alignment horizontal="justify" vertical="top" wrapText="1"/>
      <protection hidden="1"/>
    </xf>
    <xf numFmtId="0" fontId="39" fillId="0" borderId="0" xfId="55"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55" fillId="0" borderId="0" xfId="55" applyNumberFormat="1" applyFont="1" applyFill="1" applyBorder="1" applyAlignment="1" applyProtection="1">
      <alignment horizontal="center" vertical="top" wrapText="1"/>
      <protection hidden="1"/>
    </xf>
    <xf numFmtId="0" fontId="31" fillId="7" borderId="0" xfId="0" applyFont="1" applyFill="1" applyAlignment="1" applyProtection="1">
      <alignment horizontal="center" vertical="center" wrapText="1"/>
      <protection hidden="1"/>
    </xf>
    <xf numFmtId="0" fontId="31" fillId="7" borderId="6" xfId="0" applyFont="1" applyFill="1" applyBorder="1" applyAlignment="1" applyProtection="1">
      <alignment horizontal="center" vertical="center" wrapText="1"/>
      <protection hidden="1"/>
    </xf>
    <xf numFmtId="0" fontId="6" fillId="0" borderId="0" xfId="49" applyFont="1" applyAlignment="1" applyProtection="1">
      <alignment horizontal="justify" vertical="center"/>
      <protection hidden="1"/>
    </xf>
    <xf numFmtId="0" fontId="5" fillId="0" borderId="0" xfId="49" applyFont="1" applyAlignment="1" applyProtection="1">
      <alignment horizontal="justify" vertical="top"/>
      <protection hidden="1"/>
    </xf>
    <xf numFmtId="0" fontId="0" fillId="0" borderId="0" xfId="49" applyFont="1" applyAlignment="1" applyProtection="1">
      <alignment horizontal="justify" vertical="top"/>
      <protection hidden="1"/>
    </xf>
    <xf numFmtId="0" fontId="16" fillId="0" borderId="0" xfId="49" applyFont="1" applyAlignment="1" applyProtection="1">
      <alignment horizontal="justify" vertical="top"/>
      <protection hidden="1"/>
    </xf>
    <xf numFmtId="0" fontId="16" fillId="0" borderId="45" xfId="0" applyFont="1" applyBorder="1" applyAlignment="1" applyProtection="1">
      <alignment horizontal="left" vertical="center" indent="2"/>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locked="0"/>
    </xf>
    <xf numFmtId="0" fontId="16" fillId="0" borderId="0" xfId="0" applyFont="1" applyAlignment="1" applyProtection="1">
      <alignment horizontal="left" vertical="center" indent="2"/>
      <protection hidden="1"/>
    </xf>
    <xf numFmtId="177" fontId="15" fillId="0" borderId="0" xfId="49" applyNumberFormat="1" applyFont="1" applyAlignment="1" applyProtection="1">
      <alignment horizontal="left" vertical="center" indent="1"/>
      <protection hidden="1"/>
    </xf>
    <xf numFmtId="0" fontId="15" fillId="0" borderId="0" xfId="49" applyFont="1" applyAlignment="1" applyProtection="1">
      <alignment horizontal="center" vertical="center"/>
      <protection hidden="1"/>
    </xf>
    <xf numFmtId="0" fontId="0" fillId="3" borderId="0" xfId="49" applyFont="1" applyFill="1" applyAlignment="1" applyProtection="1">
      <alignment horizontal="left" vertical="center"/>
      <protection locked="0"/>
    </xf>
    <xf numFmtId="0" fontId="16" fillId="3" borderId="0" xfId="49" applyFont="1" applyFill="1" applyAlignment="1" applyProtection="1">
      <alignment horizontal="left" vertical="center"/>
      <protection locked="0"/>
    </xf>
    <xf numFmtId="177" fontId="16" fillId="0" borderId="0" xfId="49" applyNumberFormat="1" applyFont="1" applyAlignment="1" applyProtection="1">
      <alignment horizontal="left" vertical="center"/>
      <protection hidden="1"/>
    </xf>
    <xf numFmtId="0" fontId="6" fillId="0" borderId="0" xfId="49" applyFont="1" applyAlignment="1" applyProtection="1">
      <alignment horizontal="justify" vertical="top"/>
      <protection hidden="1"/>
    </xf>
    <xf numFmtId="0" fontId="5" fillId="0" borderId="0" xfId="49" applyFont="1" applyAlignment="1" applyProtection="1">
      <alignment horizontal="justify" vertical="center"/>
      <protection hidden="1"/>
    </xf>
    <xf numFmtId="0" fontId="16" fillId="0" borderId="14" xfId="0" applyFont="1" applyBorder="1" applyAlignment="1" applyProtection="1">
      <alignment horizontal="left" vertical="center" indent="2"/>
      <protection hidden="1"/>
    </xf>
    <xf numFmtId="0" fontId="0" fillId="0" borderId="0" xfId="49" applyFont="1" applyAlignment="1" applyProtection="1">
      <alignment vertical="top" wrapText="1"/>
      <protection hidden="1"/>
    </xf>
    <xf numFmtId="0" fontId="0" fillId="0" borderId="0" xfId="0" applyAlignment="1">
      <alignment vertical="top" wrapText="1"/>
    </xf>
    <xf numFmtId="0" fontId="16" fillId="0" borderId="0" xfId="60" applyFont="1" applyAlignment="1" applyProtection="1">
      <alignment horizontal="justify" vertical="center" wrapText="1"/>
      <protection hidden="1"/>
    </xf>
    <xf numFmtId="1" fontId="24" fillId="0" borderId="11" xfId="60" applyNumberFormat="1" applyFont="1" applyBorder="1" applyAlignment="1" applyProtection="1">
      <alignment horizontal="justify" vertical="center" wrapText="1"/>
      <protection hidden="1"/>
    </xf>
    <xf numFmtId="4" fontId="15" fillId="0" borderId="33" xfId="60" applyNumberFormat="1" applyFont="1" applyBorder="1" applyAlignment="1" applyProtection="1">
      <alignment horizontal="center" vertical="center" wrapText="1"/>
      <protection hidden="1"/>
    </xf>
    <xf numFmtId="4" fontId="15" fillId="0" borderId="3" xfId="60" applyNumberFormat="1" applyFont="1" applyBorder="1" applyAlignment="1" applyProtection="1">
      <alignment horizontal="center" vertical="center" wrapText="1"/>
      <protection hidden="1"/>
    </xf>
    <xf numFmtId="0" fontId="16" fillId="0" borderId="0" xfId="60" applyFont="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6" fillId="0" borderId="0" xfId="60" applyNumberFormat="1" applyFont="1" applyAlignment="1" applyProtection="1">
      <alignment horizontal="justify" vertical="top" wrapText="1"/>
      <protection hidden="1"/>
    </xf>
    <xf numFmtId="0" fontId="16" fillId="0" borderId="0" xfId="60" applyFont="1" applyAlignment="1" applyProtection="1">
      <alignment horizontal="justify" vertical="top" wrapText="1"/>
      <protection hidden="1"/>
    </xf>
    <xf numFmtId="0" fontId="16" fillId="0" borderId="6" xfId="60" applyFont="1" applyBorder="1" applyAlignment="1" applyProtection="1">
      <alignment horizontal="justify" vertical="top" wrapText="1"/>
      <protection hidden="1"/>
    </xf>
    <xf numFmtId="1" fontId="15" fillId="0" borderId="0" xfId="60" applyNumberFormat="1" applyFont="1" applyAlignment="1" applyProtection="1">
      <alignment horizontal="center" vertical="center" wrapText="1"/>
      <protection hidden="1"/>
    </xf>
    <xf numFmtId="0" fontId="15" fillId="0" borderId="0" xfId="60" applyFont="1" applyAlignment="1" applyProtection="1">
      <alignment horizontal="center" vertical="center" wrapText="1"/>
      <protection hidden="1"/>
    </xf>
    <xf numFmtId="4" fontId="15" fillId="0" borderId="0" xfId="60" applyNumberFormat="1" applyFont="1" applyAlignment="1" applyProtection="1">
      <alignment horizontal="right" vertical="center" wrapText="1"/>
      <protection hidden="1"/>
    </xf>
    <xf numFmtId="1" fontId="15" fillId="0" borderId="11" xfId="60" applyNumberFormat="1" applyFont="1" applyBorder="1" applyAlignment="1" applyProtection="1">
      <alignment horizontal="center" vertical="center" wrapText="1"/>
      <protection hidden="1"/>
    </xf>
    <xf numFmtId="4" fontId="15" fillId="0" borderId="11" xfId="60" applyNumberFormat="1" applyFont="1" applyBorder="1" applyAlignment="1" applyProtection="1">
      <alignment horizontal="center" vertical="center" wrapText="1"/>
      <protection hidden="1"/>
    </xf>
    <xf numFmtId="0" fontId="19" fillId="0" borderId="0" xfId="60" applyFont="1" applyAlignment="1" applyProtection="1">
      <alignment horizontal="left"/>
      <protection hidden="1"/>
    </xf>
    <xf numFmtId="0" fontId="19" fillId="0" borderId="6" xfId="60" applyFont="1" applyBorder="1" applyAlignment="1" applyProtection="1">
      <alignment horizontal="left"/>
      <protection hidden="1"/>
    </xf>
    <xf numFmtId="1" fontId="15" fillId="0" borderId="33" xfId="60" applyNumberFormat="1" applyFont="1" applyBorder="1" applyAlignment="1" applyProtection="1">
      <alignment horizontal="center" vertical="center" wrapText="1"/>
      <protection hidden="1"/>
    </xf>
    <xf numFmtId="1" fontId="15" fillId="0" borderId="34" xfId="60" applyNumberFormat="1" applyFont="1" applyBorder="1" applyAlignment="1" applyProtection="1">
      <alignment horizontal="center" vertical="center" wrapText="1"/>
      <protection hidden="1"/>
    </xf>
    <xf numFmtId="4" fontId="15" fillId="0" borderId="33" xfId="60" applyNumberFormat="1" applyFont="1" applyBorder="1" applyAlignment="1" applyProtection="1">
      <alignment horizontal="right" vertical="center" wrapText="1"/>
      <protection hidden="1"/>
    </xf>
    <xf numFmtId="4" fontId="16" fillId="0" borderId="34" xfId="60" applyNumberFormat="1" applyFont="1" applyBorder="1" applyAlignment="1" applyProtection="1">
      <alignment horizontal="right" vertical="center" wrapText="1"/>
      <protection hidden="1"/>
    </xf>
    <xf numFmtId="0" fontId="16" fillId="0" borderId="6" xfId="60" applyFont="1" applyBorder="1" applyAlignment="1" applyProtection="1">
      <alignment horizontal="justify" vertical="center" wrapText="1"/>
      <protection hidden="1"/>
    </xf>
    <xf numFmtId="2" fontId="35"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Comma 4" xfId="19" xr:uid="{00000000-0005-0000-0000-000012000000}"/>
    <cellStyle name="Currency 2" xfId="20" xr:uid="{00000000-0005-0000-0000-000013000000}"/>
    <cellStyle name="Formula" xfId="21" xr:uid="{00000000-0005-0000-0000-000014000000}"/>
    <cellStyle name="Header1" xfId="22" xr:uid="{00000000-0005-0000-0000-000015000000}"/>
    <cellStyle name="Header2" xfId="23" xr:uid="{00000000-0005-0000-0000-000016000000}"/>
    <cellStyle name="Hyperlink" xfId="24" builtinId="8"/>
    <cellStyle name="Hyperlink 2" xfId="25" xr:uid="{00000000-0005-0000-0000-000018000000}"/>
    <cellStyle name="Hypertextový odkaz" xfId="26" xr:uid="{00000000-0005-0000-0000-000019000000}"/>
    <cellStyle name="no dec" xfId="27" xr:uid="{00000000-0005-0000-0000-00001A000000}"/>
    <cellStyle name="Normal" xfId="0" builtinId="0"/>
    <cellStyle name="Normal - Style1" xfId="28" xr:uid="{00000000-0005-0000-0000-00001C000000}"/>
    <cellStyle name="Normal 10" xfId="29" xr:uid="{00000000-0005-0000-0000-00001D000000}"/>
    <cellStyle name="Normal 11" xfId="30" xr:uid="{00000000-0005-0000-0000-00001E000000}"/>
    <cellStyle name="Normal 12" xfId="31" xr:uid="{00000000-0005-0000-0000-00001F000000}"/>
    <cellStyle name="Normal 13" xfId="32" xr:uid="{00000000-0005-0000-0000-000020000000}"/>
    <cellStyle name="Normal 14" xfId="33" xr:uid="{00000000-0005-0000-0000-000021000000}"/>
    <cellStyle name="Normal 15" xfId="34" xr:uid="{00000000-0005-0000-0000-000022000000}"/>
    <cellStyle name="Normal 16" xfId="35" xr:uid="{00000000-0005-0000-0000-000023000000}"/>
    <cellStyle name="Normal 17" xfId="36" xr:uid="{00000000-0005-0000-0000-000024000000}"/>
    <cellStyle name="Normal 18" xfId="37" xr:uid="{00000000-0005-0000-0000-000025000000}"/>
    <cellStyle name="Normal 19" xfId="38" xr:uid="{00000000-0005-0000-0000-000026000000}"/>
    <cellStyle name="Normal 2" xfId="39" xr:uid="{00000000-0005-0000-0000-000027000000}"/>
    <cellStyle name="Normal 3" xfId="40" xr:uid="{00000000-0005-0000-0000-000028000000}"/>
    <cellStyle name="Normal 3 2"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74" xfId="46" xr:uid="{00000000-0005-0000-0000-00002E000000}"/>
    <cellStyle name="Normal 8" xfId="47" xr:uid="{00000000-0005-0000-0000-00002F000000}"/>
    <cellStyle name="Normal 9" xfId="48" xr:uid="{00000000-0005-0000-0000-000030000000}"/>
    <cellStyle name="Normal_Annexures TW 04" xfId="49" xr:uid="{00000000-0005-0000-0000-000031000000}"/>
    <cellStyle name="Normal_Attach 3(JV)" xfId="50" xr:uid="{00000000-0005-0000-0000-000032000000}"/>
    <cellStyle name="Normal_Entertainment Form" xfId="51" xr:uid="{00000000-0005-0000-0000-000033000000}"/>
    <cellStyle name="Normal_pgcil-tivim-pricesched" xfId="52" xr:uid="{00000000-0005-0000-0000-000034000000}"/>
    <cellStyle name="Normal_pgcil-tivim-pricesched_Sch-1" xfId="53" xr:uid="{00000000-0005-0000-0000-000035000000}"/>
    <cellStyle name="Normal_pgcil-tivim-pricesched_Sch-3 " xfId="54" xr:uid="{00000000-0005-0000-0000-000036000000}"/>
    <cellStyle name="Normal_PRICE SCHEDULE-4 to 6-A4" xfId="55" xr:uid="{00000000-0005-0000-0000-000037000000}"/>
    <cellStyle name="Normal_Price_Schedules for Insulator Package Rev-01" xfId="56" xr:uid="{00000000-0005-0000-0000-000038000000}"/>
    <cellStyle name="Normal_PRICE-SCHE Bihar-Rev-2-corrections" xfId="57" xr:uid="{00000000-0005-0000-0000-000039000000}"/>
    <cellStyle name="Normal_PRICE-SCHE Bihar-Rev-2-corrections_Annexures TW 04" xfId="58" xr:uid="{00000000-0005-0000-0000-00003A000000}"/>
    <cellStyle name="Normal_PRICE-SCHE Bihar-Rev-2-corrections_Price_Schedules for Insulator Package Rev-01" xfId="59" xr:uid="{00000000-0005-0000-0000-00003B000000}"/>
    <cellStyle name="Normal_QUOTED CORRECTED 2" xfId="60" xr:uid="{00000000-0005-0000-0000-00003C000000}"/>
    <cellStyle name="Normal_Sch-1" xfId="61" xr:uid="{00000000-0005-0000-0000-00003D000000}"/>
    <cellStyle name="Normal_Sheet1" xfId="62" xr:uid="{00000000-0005-0000-0000-00003E000000}"/>
    <cellStyle name="Popis" xfId="63" xr:uid="{00000000-0005-0000-0000-00003F000000}"/>
    <cellStyle name="Sledovaný hypertextový odkaz" xfId="64" xr:uid="{00000000-0005-0000-0000-000040000000}"/>
    <cellStyle name="Standard_BS14" xfId="65" xr:uid="{00000000-0005-0000-0000-000041000000}"/>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2.xml.rels><?xml version="1.0" encoding="UTF-8" standalone="yes"?>
<Relationships xmlns="http://schemas.openxmlformats.org/package/2006/relationships"><Relationship Id="rId1" Type="http://schemas.openxmlformats.org/officeDocument/2006/relationships/hyperlink" Target="#'Sch-4'!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1904</xdr:colOff>
      <xdr:row>7</xdr:row>
      <xdr:rowOff>50006</xdr:rowOff>
    </xdr:from>
    <xdr:to>
      <xdr:col>4</xdr:col>
      <xdr:colOff>1127847</xdr:colOff>
      <xdr:row>8</xdr:row>
      <xdr:rowOff>195262</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id="{11FF9EBA-1099-F5D6-484F-DEE43882349D}"/>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3</xdr:col>
      <xdr:colOff>1752600</xdr:colOff>
      <xdr:row>10</xdr:row>
      <xdr:rowOff>171450</xdr:rowOff>
    </xdr:from>
    <xdr:to>
      <xdr:col>4</xdr:col>
      <xdr:colOff>819150</xdr:colOff>
      <xdr:row>13</xdr:row>
      <xdr:rowOff>0</xdr:rowOff>
    </xdr:to>
    <xdr:pic>
      <xdr:nvPicPr>
        <xdr:cNvPr id="146445" name="Picture 3">
          <a:extLst>
            <a:ext uri="{FF2B5EF4-FFF2-40B4-BE49-F238E27FC236}">
              <a16:creationId xmlns:a16="http://schemas.microsoft.com/office/drawing/2014/main" id="{D7C73DF6-264B-AED3-735D-BBE877E5CC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5" y="3038475"/>
          <a:ext cx="20097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10</xdr:row>
      <xdr:rowOff>57150</xdr:rowOff>
    </xdr:from>
    <xdr:to>
      <xdr:col>3</xdr:col>
      <xdr:colOff>1323975</xdr:colOff>
      <xdr:row>13</xdr:row>
      <xdr:rowOff>85725</xdr:rowOff>
    </xdr:to>
    <xdr:pic>
      <xdr:nvPicPr>
        <xdr:cNvPr id="146446" name="Picture 4">
          <a:extLst>
            <a:ext uri="{FF2B5EF4-FFF2-40B4-BE49-F238E27FC236}">
              <a16:creationId xmlns:a16="http://schemas.microsoft.com/office/drawing/2014/main" id="{18171919-BF76-4B47-A72F-98E383192D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1038225" y="2924175"/>
          <a:ext cx="47339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47472" name="Group 1">
          <a:hlinkClick xmlns:r="http://schemas.openxmlformats.org/officeDocument/2006/relationships" r:id="rId1" tooltip="Click to Proceed"/>
          <a:extLst>
            <a:ext uri="{FF2B5EF4-FFF2-40B4-BE49-F238E27FC236}">
              <a16:creationId xmlns:a16="http://schemas.microsoft.com/office/drawing/2014/main" id="{34F6A755-2655-B961-8A01-C725B0420D7E}"/>
            </a:ext>
          </a:extLst>
        </xdr:cNvPr>
        <xdr:cNvGrpSpPr>
          <a:grpSpLocks/>
        </xdr:cNvGrpSpPr>
      </xdr:nvGrpSpPr>
      <xdr:grpSpPr bwMode="auto">
        <a:xfrm>
          <a:off x="7105650" y="57150"/>
          <a:ext cx="1209675" cy="1323975"/>
          <a:chOff x="804" y="5"/>
          <a:chExt cx="116" cy="73"/>
        </a:xfrm>
      </xdr:grpSpPr>
      <xdr:sp macro="" textlink="">
        <xdr:nvSpPr>
          <xdr:cNvPr id="147474" name="AutoShape 2">
            <a:extLst>
              <a:ext uri="{FF2B5EF4-FFF2-40B4-BE49-F238E27FC236}">
                <a16:creationId xmlns:a16="http://schemas.microsoft.com/office/drawing/2014/main" id="{34955924-CAC5-FC83-94F1-618C33758D6D}"/>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62FAB20B-3987-91D2-9D69-F2A050B69624}"/>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lnSpc>
                <a:spcPts val="1100"/>
              </a:lnSpc>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49</xdr:row>
      <xdr:rowOff>0</xdr:rowOff>
    </xdr:from>
    <xdr:to>
      <xdr:col>2</xdr:col>
      <xdr:colOff>4981575</xdr:colOff>
      <xdr:row>49</xdr:row>
      <xdr:rowOff>0</xdr:rowOff>
    </xdr:to>
    <xdr:pic>
      <xdr:nvPicPr>
        <xdr:cNvPr id="147473" name="Picture 4">
          <a:extLst>
            <a:ext uri="{FF2B5EF4-FFF2-40B4-BE49-F238E27FC236}">
              <a16:creationId xmlns:a16="http://schemas.microsoft.com/office/drawing/2014/main" id="{EBC73FC0-61AA-1447-81E6-3EE528942B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49637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0</xdr:row>
      <xdr:rowOff>28575</xdr:rowOff>
    </xdr:from>
    <xdr:to>
      <xdr:col>19</xdr:col>
      <xdr:colOff>85725</xdr:colOff>
      <xdr:row>2</xdr:row>
      <xdr:rowOff>266700</xdr:rowOff>
    </xdr:to>
    <xdr:grpSp>
      <xdr:nvGrpSpPr>
        <xdr:cNvPr id="148492" name="Group 38">
          <a:hlinkClick xmlns:r="http://schemas.openxmlformats.org/officeDocument/2006/relationships" r:id="rId1" tooltip="Click for Sch-2"/>
          <a:extLst>
            <a:ext uri="{FF2B5EF4-FFF2-40B4-BE49-F238E27FC236}">
              <a16:creationId xmlns:a16="http://schemas.microsoft.com/office/drawing/2014/main" id="{7142C418-8A5E-A1B8-E3B3-C58D888FBCF0}"/>
            </a:ext>
          </a:extLst>
        </xdr:cNvPr>
        <xdr:cNvGrpSpPr>
          <a:grpSpLocks/>
        </xdr:cNvGrpSpPr>
      </xdr:nvGrpSpPr>
      <xdr:grpSpPr bwMode="auto">
        <a:xfrm>
          <a:off x="22107525" y="28575"/>
          <a:ext cx="2911475" cy="809625"/>
          <a:chOff x="804" y="5"/>
          <a:chExt cx="116" cy="73"/>
        </a:xfrm>
      </xdr:grpSpPr>
      <xdr:sp macro="" textlink="">
        <xdr:nvSpPr>
          <xdr:cNvPr id="148493" name="AutoShape 39">
            <a:extLst>
              <a:ext uri="{FF2B5EF4-FFF2-40B4-BE49-F238E27FC236}">
                <a16:creationId xmlns:a16="http://schemas.microsoft.com/office/drawing/2014/main" id="{9603AB0B-7A7A-0941-4917-7B3B9104C877}"/>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EB97805E-3CC0-CBC7-89CC-7CA52747C683}"/>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266700</xdr:colOff>
      <xdr:row>0</xdr:row>
      <xdr:rowOff>19050</xdr:rowOff>
    </xdr:from>
    <xdr:to>
      <xdr:col>10</xdr:col>
      <xdr:colOff>628650</xdr:colOff>
      <xdr:row>2</xdr:row>
      <xdr:rowOff>257175</xdr:rowOff>
    </xdr:to>
    <xdr:grpSp>
      <xdr:nvGrpSpPr>
        <xdr:cNvPr id="149516" name="Group 1">
          <a:hlinkClick xmlns:r="http://schemas.openxmlformats.org/officeDocument/2006/relationships" r:id="rId1" tooltip="Click for Sch-3"/>
          <a:extLst>
            <a:ext uri="{FF2B5EF4-FFF2-40B4-BE49-F238E27FC236}">
              <a16:creationId xmlns:a16="http://schemas.microsoft.com/office/drawing/2014/main" id="{C2E9DFC9-7B9A-B145-4F8C-33447F29D34C}"/>
            </a:ext>
          </a:extLst>
        </xdr:cNvPr>
        <xdr:cNvGrpSpPr>
          <a:grpSpLocks/>
        </xdr:cNvGrpSpPr>
      </xdr:nvGrpSpPr>
      <xdr:grpSpPr bwMode="auto">
        <a:xfrm>
          <a:off x="11791950" y="19050"/>
          <a:ext cx="880533" cy="703792"/>
          <a:chOff x="804" y="5"/>
          <a:chExt cx="116" cy="73"/>
        </a:xfrm>
      </xdr:grpSpPr>
      <xdr:sp macro="" textlink="">
        <xdr:nvSpPr>
          <xdr:cNvPr id="149517" name="AutoShape 2">
            <a:extLst>
              <a:ext uri="{FF2B5EF4-FFF2-40B4-BE49-F238E27FC236}">
                <a16:creationId xmlns:a16="http://schemas.microsoft.com/office/drawing/2014/main" id="{76F232B3-E22B-75F4-7998-2CE09A2C9AF6}"/>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hlinkClick xmlns:r="http://schemas.openxmlformats.org/officeDocument/2006/relationships" r:id="rId1"/>
            <a:extLst>
              <a:ext uri="{FF2B5EF4-FFF2-40B4-BE49-F238E27FC236}">
                <a16:creationId xmlns:a16="http://schemas.microsoft.com/office/drawing/2014/main" id="{7CA574E5-4E5C-F517-B667-A57804407D75}"/>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257175</xdr:colOff>
      <xdr:row>0</xdr:row>
      <xdr:rowOff>19050</xdr:rowOff>
    </xdr:from>
    <xdr:to>
      <xdr:col>13</xdr:col>
      <xdr:colOff>676275</xdr:colOff>
      <xdr:row>2</xdr:row>
      <xdr:rowOff>257175</xdr:rowOff>
    </xdr:to>
    <xdr:grpSp>
      <xdr:nvGrpSpPr>
        <xdr:cNvPr id="150541" name="Group 1">
          <a:hlinkClick xmlns:r="http://schemas.openxmlformats.org/officeDocument/2006/relationships" r:id="rId1" tooltip="Click for Sch-4"/>
          <a:extLst>
            <a:ext uri="{FF2B5EF4-FFF2-40B4-BE49-F238E27FC236}">
              <a16:creationId xmlns:a16="http://schemas.microsoft.com/office/drawing/2014/main" id="{75753A67-5B7D-33C5-19AB-7B76EB3643B7}"/>
            </a:ext>
          </a:extLst>
        </xdr:cNvPr>
        <xdr:cNvGrpSpPr>
          <a:grpSpLocks/>
        </xdr:cNvGrpSpPr>
      </xdr:nvGrpSpPr>
      <xdr:grpSpPr bwMode="auto">
        <a:xfrm>
          <a:off x="15994592" y="19050"/>
          <a:ext cx="1223433" cy="703792"/>
          <a:chOff x="804" y="5"/>
          <a:chExt cx="116" cy="73"/>
        </a:xfrm>
      </xdr:grpSpPr>
      <xdr:sp macro="" textlink="">
        <xdr:nvSpPr>
          <xdr:cNvPr id="150542" name="AutoShape 2">
            <a:extLst>
              <a:ext uri="{FF2B5EF4-FFF2-40B4-BE49-F238E27FC236}">
                <a16:creationId xmlns:a16="http://schemas.microsoft.com/office/drawing/2014/main" id="{E75896EA-178D-7B83-8FC7-08B9319E35F5}"/>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E5DFDA5B-D7EB-95A8-3902-BB41A48EDCB3}"/>
              </a:ext>
            </a:extLst>
          </xdr:cNvPr>
          <xdr:cNvSpPr txBox="1">
            <a:spLocks noChangeArrowheads="1"/>
          </xdr:cNvSpPr>
        </xdr:nvSpPr>
        <xdr:spPr bwMode="auto">
          <a:xfrm>
            <a:off x="819" y="23"/>
            <a:ext cx="97"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8</xdr:col>
      <xdr:colOff>114300</xdr:colOff>
      <xdr:row>2</xdr:row>
      <xdr:rowOff>304800</xdr:rowOff>
    </xdr:to>
    <xdr:grpSp>
      <xdr:nvGrpSpPr>
        <xdr:cNvPr id="151564" name="Group 25">
          <a:hlinkClick xmlns:r="http://schemas.openxmlformats.org/officeDocument/2006/relationships" r:id="rId1" tooltip="Click for Sch-5"/>
          <a:extLst>
            <a:ext uri="{FF2B5EF4-FFF2-40B4-BE49-F238E27FC236}">
              <a16:creationId xmlns:a16="http://schemas.microsoft.com/office/drawing/2014/main" id="{A5945E72-2531-6FA1-76FE-A4D2A19BFFCE}"/>
            </a:ext>
          </a:extLst>
        </xdr:cNvPr>
        <xdr:cNvGrpSpPr>
          <a:grpSpLocks/>
        </xdr:cNvGrpSpPr>
      </xdr:nvGrpSpPr>
      <xdr:grpSpPr bwMode="auto">
        <a:xfrm>
          <a:off x="9942419" y="28575"/>
          <a:ext cx="1019175" cy="690843"/>
          <a:chOff x="804" y="5"/>
          <a:chExt cx="116" cy="73"/>
        </a:xfrm>
      </xdr:grpSpPr>
      <xdr:sp macro="" textlink="">
        <xdr:nvSpPr>
          <xdr:cNvPr id="151565" name="AutoShape 26">
            <a:extLst>
              <a:ext uri="{FF2B5EF4-FFF2-40B4-BE49-F238E27FC236}">
                <a16:creationId xmlns:a16="http://schemas.microsoft.com/office/drawing/2014/main" id="{B841CEE2-C4C4-ABE4-69AF-6E955B7AC276}"/>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EF741E24-EDF7-7A00-E9C5-99C5C5105997}"/>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52588" name="Group 25">
          <a:hlinkClick xmlns:r="http://schemas.openxmlformats.org/officeDocument/2006/relationships" r:id="rId1" tooltip="Click for Sch-5"/>
          <a:extLst>
            <a:ext uri="{FF2B5EF4-FFF2-40B4-BE49-F238E27FC236}">
              <a16:creationId xmlns:a16="http://schemas.microsoft.com/office/drawing/2014/main" id="{9D8B6527-EB50-D435-1B7F-D266F09B3313}"/>
            </a:ext>
          </a:extLst>
        </xdr:cNvPr>
        <xdr:cNvGrpSpPr>
          <a:grpSpLocks/>
        </xdr:cNvGrpSpPr>
      </xdr:nvGrpSpPr>
      <xdr:grpSpPr bwMode="auto">
        <a:xfrm>
          <a:off x="9535190" y="47625"/>
          <a:ext cx="1107115" cy="697097"/>
          <a:chOff x="804" y="5"/>
          <a:chExt cx="116" cy="73"/>
        </a:xfrm>
      </xdr:grpSpPr>
      <xdr:sp macro="" textlink="">
        <xdr:nvSpPr>
          <xdr:cNvPr id="152589" name="AutoShape 26">
            <a:extLst>
              <a:ext uri="{FF2B5EF4-FFF2-40B4-BE49-F238E27FC236}">
                <a16:creationId xmlns:a16="http://schemas.microsoft.com/office/drawing/2014/main" id="{71FF99E3-DC63-7E1F-5DFE-851D96E73ED7}"/>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EBA0F5FF-3ACD-E15F-BF83-BF5299C5B39D}"/>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2867025</xdr:colOff>
      <xdr:row>0</xdr:row>
      <xdr:rowOff>19050</xdr:rowOff>
    </xdr:from>
    <xdr:to>
      <xdr:col>6</xdr:col>
      <xdr:colOff>581025</xdr:colOff>
      <xdr:row>2</xdr:row>
      <xdr:rowOff>257175</xdr:rowOff>
    </xdr:to>
    <xdr:grpSp>
      <xdr:nvGrpSpPr>
        <xdr:cNvPr id="153612" name="Group 1">
          <a:hlinkClick xmlns:r="http://schemas.openxmlformats.org/officeDocument/2006/relationships" r:id="rId1" tooltip="Click for Sch-6"/>
          <a:extLst>
            <a:ext uri="{FF2B5EF4-FFF2-40B4-BE49-F238E27FC236}">
              <a16:creationId xmlns:a16="http://schemas.microsoft.com/office/drawing/2014/main" id="{995FB075-6839-398C-7970-513E6CD6976F}"/>
            </a:ext>
          </a:extLst>
        </xdr:cNvPr>
        <xdr:cNvGrpSpPr>
          <a:grpSpLocks/>
        </xdr:cNvGrpSpPr>
      </xdr:nvGrpSpPr>
      <xdr:grpSpPr bwMode="auto">
        <a:xfrm>
          <a:off x="7048500" y="19050"/>
          <a:ext cx="1504950" cy="866775"/>
          <a:chOff x="804" y="5"/>
          <a:chExt cx="116" cy="73"/>
        </a:xfrm>
      </xdr:grpSpPr>
      <xdr:sp macro="" textlink="">
        <xdr:nvSpPr>
          <xdr:cNvPr id="153613" name="AutoShape 2">
            <a:extLst>
              <a:ext uri="{FF2B5EF4-FFF2-40B4-BE49-F238E27FC236}">
                <a16:creationId xmlns:a16="http://schemas.microsoft.com/office/drawing/2014/main" id="{AAF0AD22-D313-C3FC-C654-F404992667A6}"/>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FF081C21-5865-90AE-9476-B3B3B8568DB3}"/>
              </a:ext>
            </a:extLst>
          </xdr:cNvPr>
          <xdr:cNvSpPr txBox="1">
            <a:spLocks noChangeArrowheads="1"/>
          </xdr:cNvSpPr>
        </xdr:nvSpPr>
        <xdr:spPr bwMode="auto">
          <a:xfrm>
            <a:off x="820"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Next</a:t>
            </a:r>
            <a:r>
              <a:rPr lang="en-US" sz="1000" b="1" i="0" strike="noStrike" baseline="0">
                <a:solidFill>
                  <a:srgbClr val="000000"/>
                </a:solidFill>
                <a:latin typeface="Book Antiqua"/>
              </a:rPr>
              <a:t> attachment</a:t>
            </a:r>
            <a:endParaRPr lang="en-US" sz="1000" b="1" i="0" strike="noStrike">
              <a:solidFill>
                <a:srgbClr val="000000"/>
              </a:solidFill>
              <a:latin typeface="Book Antiqua"/>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154636" name="Group 1">
          <a:hlinkClick xmlns:r="http://schemas.openxmlformats.org/officeDocument/2006/relationships" r:id="rId1" tooltip="Click for Sch-6"/>
          <a:extLst>
            <a:ext uri="{FF2B5EF4-FFF2-40B4-BE49-F238E27FC236}">
              <a16:creationId xmlns:a16="http://schemas.microsoft.com/office/drawing/2014/main" id="{AEEBC84D-1116-379F-B433-C2F70DD9172C}"/>
            </a:ext>
          </a:extLst>
        </xdr:cNvPr>
        <xdr:cNvGrpSpPr>
          <a:grpSpLocks/>
        </xdr:cNvGrpSpPr>
      </xdr:nvGrpSpPr>
      <xdr:grpSpPr bwMode="auto">
        <a:xfrm>
          <a:off x="7400925" y="19050"/>
          <a:ext cx="1104900" cy="695325"/>
          <a:chOff x="804" y="5"/>
          <a:chExt cx="116" cy="73"/>
        </a:xfrm>
      </xdr:grpSpPr>
      <xdr:sp macro="" textlink="">
        <xdr:nvSpPr>
          <xdr:cNvPr id="154637" name="AutoShape 2">
            <a:extLst>
              <a:ext uri="{FF2B5EF4-FFF2-40B4-BE49-F238E27FC236}">
                <a16:creationId xmlns:a16="http://schemas.microsoft.com/office/drawing/2014/main" id="{A329D7AD-FA99-A859-7463-8DB29766139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9FC1A67-E27B-F44F-635E-E2427A212B35}"/>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155660" name="Group 5">
          <a:hlinkClick xmlns:r="http://schemas.openxmlformats.org/officeDocument/2006/relationships" r:id="rId1" tooltip="Click for Discount Letter"/>
          <a:extLst>
            <a:ext uri="{FF2B5EF4-FFF2-40B4-BE49-F238E27FC236}">
              <a16:creationId xmlns:a16="http://schemas.microsoft.com/office/drawing/2014/main" id="{28FC4F22-04F0-DE7E-5AF6-AAAB4433438F}"/>
            </a:ext>
          </a:extLst>
        </xdr:cNvPr>
        <xdr:cNvGrpSpPr>
          <a:grpSpLocks/>
        </xdr:cNvGrpSpPr>
      </xdr:nvGrpSpPr>
      <xdr:grpSpPr bwMode="auto">
        <a:xfrm>
          <a:off x="7629525" y="19050"/>
          <a:ext cx="1104900" cy="695325"/>
          <a:chOff x="762" y="2"/>
          <a:chExt cx="116" cy="73"/>
        </a:xfrm>
      </xdr:grpSpPr>
      <xdr:sp macro="" textlink="">
        <xdr:nvSpPr>
          <xdr:cNvPr id="155661" name="AutoShape 2">
            <a:extLst>
              <a:ext uri="{FF2B5EF4-FFF2-40B4-BE49-F238E27FC236}">
                <a16:creationId xmlns:a16="http://schemas.microsoft.com/office/drawing/2014/main" id="{F002F2BF-3807-E6AB-8099-3783B21A44B5}"/>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100704E-0012-1444-985A-FAE0DFFE05F9}"/>
              </a:ext>
            </a:extLst>
          </xdr:cNvPr>
          <xdr:cNvSpPr txBox="1">
            <a:spLocks noChangeArrowheads="1"/>
          </xdr:cNvSpPr>
        </xdr:nvSpPr>
        <xdr:spPr bwMode="auto">
          <a:xfrm>
            <a:off x="779" y="18"/>
            <a:ext cx="99"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156684" name="Group 4">
          <a:hlinkClick xmlns:r="http://schemas.openxmlformats.org/officeDocument/2006/relationships" r:id="rId1" tooltip="Click for Bid Form"/>
          <a:extLst>
            <a:ext uri="{FF2B5EF4-FFF2-40B4-BE49-F238E27FC236}">
              <a16:creationId xmlns:a16="http://schemas.microsoft.com/office/drawing/2014/main" id="{9598F6EB-5115-6136-41E8-35A8AE24C988}"/>
            </a:ext>
          </a:extLst>
        </xdr:cNvPr>
        <xdr:cNvGrpSpPr>
          <a:grpSpLocks/>
        </xdr:cNvGrpSpPr>
      </xdr:nvGrpSpPr>
      <xdr:grpSpPr bwMode="auto">
        <a:xfrm>
          <a:off x="7469605" y="19050"/>
          <a:ext cx="752475" cy="943476"/>
          <a:chOff x="784" y="2"/>
          <a:chExt cx="116" cy="73"/>
        </a:xfrm>
      </xdr:grpSpPr>
      <xdr:sp macro="" textlink="">
        <xdr:nvSpPr>
          <xdr:cNvPr id="156685" name="AutoShape 2">
            <a:extLst>
              <a:ext uri="{FF2B5EF4-FFF2-40B4-BE49-F238E27FC236}">
                <a16:creationId xmlns:a16="http://schemas.microsoft.com/office/drawing/2014/main" id="{088C8CED-C569-4B8D-CC63-E948F9B7B5C6}"/>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5EB0CA9B-8B60-C400-E134-2CEA74605FCA}"/>
              </a:ext>
            </a:extLst>
          </xdr:cNvPr>
          <xdr:cNvSpPr txBox="1">
            <a:spLocks noChangeArrowheads="1"/>
          </xdr:cNvSpPr>
        </xdr:nvSpPr>
        <xdr:spPr bwMode="auto">
          <a:xfrm>
            <a:off x="796" y="18"/>
            <a:ext cx="85"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191624BF-B6A4-B332-D168-360A770812C5}"/>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393276</xdr:colOff>
      <xdr:row>1</xdr:row>
      <xdr:rowOff>105833</xdr:rowOff>
    </xdr:from>
    <xdr:to>
      <xdr:col>7</xdr:col>
      <xdr:colOff>209076</xdr:colOff>
      <xdr:row>2</xdr:row>
      <xdr:rowOff>87481</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1758A44C-0CFE-1108-A052-26687054669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86360</xdr:colOff>
      <xdr:row>1</xdr:row>
      <xdr:rowOff>19050</xdr:rowOff>
    </xdr:from>
    <xdr:to>
      <xdr:col>7</xdr:col>
      <xdr:colOff>370334</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DBF4CCD3-94DF-F8FF-D299-18F51AB73DC9}"/>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160780" name="Group 5">
          <a:hlinkClick xmlns:r="http://schemas.openxmlformats.org/officeDocument/2006/relationships" r:id="rId1" tooltip="Back to Cover Page"/>
          <a:extLst>
            <a:ext uri="{FF2B5EF4-FFF2-40B4-BE49-F238E27FC236}">
              <a16:creationId xmlns:a16="http://schemas.microsoft.com/office/drawing/2014/main" id="{DF94A2DE-6095-60BF-9956-EFC91D445326}"/>
            </a:ext>
          </a:extLst>
        </xdr:cNvPr>
        <xdr:cNvGrpSpPr>
          <a:grpSpLocks/>
        </xdr:cNvGrpSpPr>
      </xdr:nvGrpSpPr>
      <xdr:grpSpPr bwMode="auto">
        <a:xfrm>
          <a:off x="7258050" y="47625"/>
          <a:ext cx="1104900" cy="695325"/>
          <a:chOff x="762" y="5"/>
          <a:chExt cx="116" cy="73"/>
        </a:xfrm>
      </xdr:grpSpPr>
      <xdr:sp macro="" textlink="">
        <xdr:nvSpPr>
          <xdr:cNvPr id="160781" name="AutoShape 2">
            <a:extLst>
              <a:ext uri="{FF2B5EF4-FFF2-40B4-BE49-F238E27FC236}">
                <a16:creationId xmlns:a16="http://schemas.microsoft.com/office/drawing/2014/main" id="{B85167B2-35DA-2BCA-8DAE-143BF2C2DC3A}"/>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747BB7E8-D801-AD6A-F8CF-D0388F48DE3D}"/>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11.2017/3%20NIT-2017-18/NIT-02%2017-18/2)%20Amendment%20to%20Bidding%20Documents/NIT-02/Amendment%20to%20PKG-C%20CB%20Retrofitting%20at%20Rourkela/13%20Price%20Schedule%20%20Vol.III%20-R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D25">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A4" t="str">
            <v xml:space="preserve">Rs. Zero Only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drawing" Target="../drawings/drawing1.xml"/><Relationship Id="rId5" Type="http://schemas.openxmlformats.org/officeDocument/2006/relationships/printerSettings" Target="../printerSettings/printerSettings14.bin"/><Relationship Id="rId10" Type="http://schemas.openxmlformats.org/officeDocument/2006/relationships/printerSettings" Target="../printerSettings/printerSettings19.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drawing" Target="../drawings/drawing3.xml"/><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drawing" Target="../drawings/drawing4.xml"/><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drawing" Target="../drawings/drawing5.xml"/><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drawing" Target="../drawings/drawing6.xml"/><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drawing" Target="../drawings/drawing7.xml"/><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7.bin"/><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11" Type="http://schemas.openxmlformats.org/officeDocument/2006/relationships/drawing" Target="../drawings/drawing8.xml"/><Relationship Id="rId5" Type="http://schemas.openxmlformats.org/officeDocument/2006/relationships/printerSettings" Target="../printerSettings/printerSettings94.bin"/><Relationship Id="rId10" Type="http://schemas.openxmlformats.org/officeDocument/2006/relationships/printerSettings" Target="../printerSettings/printerSettings99.bin"/><Relationship Id="rId4" Type="http://schemas.openxmlformats.org/officeDocument/2006/relationships/printerSettings" Target="../printerSettings/printerSettings93.bin"/><Relationship Id="rId9" Type="http://schemas.openxmlformats.org/officeDocument/2006/relationships/printerSettings" Target="../printerSettings/printerSettings9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10" Type="http://schemas.openxmlformats.org/officeDocument/2006/relationships/drawing" Target="../drawings/drawing9.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10" Type="http://schemas.openxmlformats.org/officeDocument/2006/relationships/drawing" Target="../drawings/drawing10.xml"/><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10" Type="http://schemas.openxmlformats.org/officeDocument/2006/relationships/drawing" Target="../drawings/drawing11.xml"/><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10" Type="http://schemas.openxmlformats.org/officeDocument/2006/relationships/drawing" Target="../drawings/drawing12.xml"/><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10" Type="http://schemas.openxmlformats.org/officeDocument/2006/relationships/drawing" Target="../drawings/drawing13.xml"/><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10" Type="http://schemas.openxmlformats.org/officeDocument/2006/relationships/drawing" Target="../drawings/drawing14.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1.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10" Type="http://schemas.openxmlformats.org/officeDocument/2006/relationships/drawing" Target="../drawings/drawing15.xml"/><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9"/>
  <sheetViews>
    <sheetView showGridLines="0" workbookViewId="0">
      <selection activeCell="D22" sqref="D22"/>
    </sheetView>
  </sheetViews>
  <sheetFormatPr defaultRowHeight="16.5"/>
  <cols>
    <col min="1" max="1" width="3.5" style="257" customWidth="1"/>
    <col min="2" max="2" width="18" style="265" customWidth="1"/>
    <col min="3" max="3" width="6.625" style="265" customWidth="1"/>
    <col min="4" max="4" width="43.75" style="265" customWidth="1"/>
    <col min="5" max="5" width="11" style="265" customWidth="1"/>
    <col min="6" max="6" width="9" style="265"/>
    <col min="7" max="16384" width="9" style="259"/>
  </cols>
  <sheetData>
    <row r="1" spans="1:6">
      <c r="B1" s="258"/>
      <c r="C1" s="258"/>
      <c r="D1" s="258"/>
      <c r="E1" s="258"/>
      <c r="F1" s="258"/>
    </row>
    <row r="2" spans="1:6" ht="18.75">
      <c r="A2" s="721" t="s">
        <v>150</v>
      </c>
      <c r="B2" s="721"/>
      <c r="C2" s="721"/>
      <c r="D2" s="721"/>
      <c r="E2" s="721"/>
      <c r="F2" s="721"/>
    </row>
    <row r="3" spans="1:6">
      <c r="A3" s="725" t="s">
        <v>162</v>
      </c>
      <c r="B3" s="725"/>
      <c r="C3" s="725"/>
      <c r="D3" s="725"/>
      <c r="E3" s="725"/>
      <c r="F3" s="725"/>
    </row>
    <row r="4" spans="1:6">
      <c r="B4" s="261"/>
      <c r="C4" s="261"/>
      <c r="D4" s="261"/>
      <c r="E4" s="261"/>
      <c r="F4" s="261"/>
    </row>
    <row r="5" spans="1:6" ht="78" customHeight="1">
      <c r="A5" s="262">
        <v>1</v>
      </c>
      <c r="B5" s="263" t="s">
        <v>149</v>
      </c>
      <c r="C5" s="722" t="s">
        <v>537</v>
      </c>
      <c r="D5" s="723"/>
      <c r="E5" s="723"/>
      <c r="F5" s="724"/>
    </row>
    <row r="6" spans="1:6">
      <c r="A6" s="260"/>
      <c r="B6" s="264"/>
    </row>
    <row r="7" spans="1:6" ht="24.95" customHeight="1">
      <c r="A7" s="260">
        <v>2</v>
      </c>
      <c r="B7" s="264" t="s">
        <v>152</v>
      </c>
      <c r="C7" s="732" t="s">
        <v>538</v>
      </c>
      <c r="D7" s="733"/>
      <c r="E7" s="733"/>
      <c r="F7" s="734"/>
    </row>
    <row r="8" spans="1:6">
      <c r="A8" s="260"/>
      <c r="B8" s="264"/>
    </row>
    <row r="9" spans="1:6" ht="24.95" hidden="1" customHeight="1">
      <c r="A9" s="260">
        <v>3</v>
      </c>
      <c r="B9" s="264" t="s">
        <v>151</v>
      </c>
      <c r="C9" s="728"/>
      <c r="D9" s="729"/>
      <c r="E9" s="729"/>
      <c r="F9" s="730"/>
    </row>
    <row r="10" spans="1:6" hidden="1">
      <c r="A10" s="260"/>
      <c r="B10" s="264"/>
    </row>
    <row r="11" spans="1:6" hidden="1">
      <c r="A11" s="260">
        <v>4</v>
      </c>
      <c r="B11" s="264" t="s">
        <v>153</v>
      </c>
      <c r="C11" s="728" t="s">
        <v>446</v>
      </c>
      <c r="D11" s="729"/>
      <c r="E11" s="729"/>
      <c r="F11" s="730"/>
    </row>
    <row r="12" spans="1:6" hidden="1">
      <c r="A12" s="260">
        <v>5</v>
      </c>
      <c r="B12" s="264" t="s">
        <v>156</v>
      </c>
      <c r="C12" s="731"/>
      <c r="D12" s="729"/>
      <c r="E12" s="729"/>
      <c r="F12" s="730"/>
    </row>
    <row r="13" spans="1:6" hidden="1">
      <c r="A13" s="260"/>
      <c r="B13" s="264"/>
    </row>
    <row r="14" spans="1:6" ht="24.95" hidden="1" customHeight="1">
      <c r="A14" s="260">
        <v>6</v>
      </c>
      <c r="B14" s="264" t="s">
        <v>154</v>
      </c>
      <c r="C14" s="726" t="s">
        <v>161</v>
      </c>
      <c r="D14" s="727"/>
      <c r="E14" s="266" t="s">
        <v>155</v>
      </c>
    </row>
    <row r="15" spans="1:6" ht="20.100000000000001" hidden="1" customHeight="1">
      <c r="C15" s="267" t="s">
        <v>157</v>
      </c>
      <c r="D15" s="268" t="s">
        <v>175</v>
      </c>
      <c r="E15" s="269">
        <v>1</v>
      </c>
    </row>
    <row r="16" spans="1:6" ht="20.100000000000001" hidden="1" customHeight="1">
      <c r="C16" s="270" t="s">
        <v>158</v>
      </c>
      <c r="D16" s="271" t="s">
        <v>176</v>
      </c>
      <c r="E16" s="272">
        <v>1</v>
      </c>
    </row>
    <row r="17" spans="3:5" ht="20.100000000000001" hidden="1" customHeight="1">
      <c r="C17" s="270" t="s">
        <v>160</v>
      </c>
      <c r="D17" s="271" t="s">
        <v>404</v>
      </c>
      <c r="E17" s="272">
        <v>1</v>
      </c>
    </row>
    <row r="18" spans="3:5" ht="20.100000000000001" hidden="1" customHeight="1">
      <c r="C18" s="273" t="s">
        <v>159</v>
      </c>
      <c r="D18" s="274" t="s">
        <v>405</v>
      </c>
      <c r="E18" s="275">
        <v>1</v>
      </c>
    </row>
    <row r="19" spans="3:5" hidden="1"/>
  </sheetData>
  <sheetProtection selectLockedCells="1" selectUnlockedCells="1"/>
  <customSheetViews>
    <customSheetView guid="{9CA44E70-650F-49CD-967F-298619682CA2}" showGridLines="0" hiddenRows="1" state="hidden" topLeftCell="A7">
      <selection activeCell="C9" sqref="C9:F9"/>
      <pageMargins left="0.5" right="0.5" top="1" bottom="1" header="0.5" footer="0.5"/>
      <pageSetup orientation="portrait" r:id="rId1"/>
      <headerFooter alignWithMargins="0"/>
    </customSheetView>
    <customSheetView guid="{C39F923C-6CD3-45D8-86F8-6C4D806DDD7E}" showGridLines="0" hiddenRows="1" state="hidden">
      <selection activeCell="D22" sqref="D22"/>
      <pageMargins left="0.5" right="0.5" top="1" bottom="1" header="0.5" footer="0.5"/>
      <pageSetup orientation="portrait" r:id="rId2"/>
      <headerFooter alignWithMargins="0"/>
    </customSheetView>
    <customSheetView guid="{B1277D53-29D6-4226-81E2-084FB62977B6}" showGridLines="0" hiddenRows="1" state="hidden">
      <selection activeCell="I14" sqref="I14"/>
      <pageMargins left="0.75" right="0.75" top="1" bottom="1" header="0.5" footer="0.5"/>
      <pageSetup orientation="portrait" r:id="rId3"/>
      <headerFooter alignWithMargins="0"/>
    </customSheetView>
    <customSheetView guid="{58D82F59-8CF6-455F-B9F4-081499FDF243}" showGridLines="0" hiddenRows="1" state="hidden">
      <selection activeCell="I14" sqref="I14"/>
      <pageMargins left="0.75" right="0.75" top="1" bottom="1" header="0.5" footer="0.5"/>
      <pageSetup orientation="portrait" r:id="rId4"/>
      <headerFooter alignWithMargins="0"/>
    </customSheetView>
    <customSheetView guid="{696D9240-6693-44E8-B9A4-2BFADD101EE2}" showGridLines="0" hiddenRows="1" state="hidden">
      <selection activeCell="C9" sqref="C9:F9"/>
      <pageMargins left="0.75" right="0.75" top="1" bottom="1" header="0.5" footer="0.5"/>
      <pageSetup orientation="portrait" r:id="rId5"/>
      <headerFooter alignWithMargins="0"/>
    </customSheetView>
    <customSheetView guid="{B0EE7D76-5806-4718-BDAD-3A3EA691E5E4}" showGridLines="0" hiddenRows="1" state="hidden">
      <selection activeCell="I14" sqref="I14"/>
      <pageMargins left="0.75" right="0.75" top="1" bottom="1" header="0.5" footer="0.5"/>
      <pageSetup orientation="portrait" r:id="rId6"/>
      <headerFooter alignWithMargins="0"/>
    </customSheetView>
    <customSheetView guid="{E95B21C1-D936-4435-AF6F-90CF0B6A7506}" showGridLines="0" hiddenRows="1" state="hidden">
      <selection activeCell="C7" sqref="C7:F7"/>
      <pageMargins left="0.75" right="0.75" top="1" bottom="1" header="0.5" footer="0.5"/>
      <pageSetup orientation="portrait" r:id="rId7"/>
      <headerFooter alignWithMargins="0"/>
    </customSheetView>
    <customSheetView guid="{08A645C4-A23F-4400-B0CE-1685BC312A6F}" showGridLines="0" hiddenRows="1" state="hidden">
      <selection activeCell="C9" sqref="C9:F9"/>
      <pageMargins left="0.5" right="0.5" top="1" bottom="1" header="0.5" footer="0.5"/>
      <pageSetup orientation="portrait" r:id="rId8"/>
      <headerFooter alignWithMargins="0"/>
    </customSheetView>
  </customSheetViews>
  <mergeCells count="8">
    <mergeCell ref="A2:F2"/>
    <mergeCell ref="C5:F5"/>
    <mergeCell ref="A3:F3"/>
    <mergeCell ref="C14:D14"/>
    <mergeCell ref="C11:F11"/>
    <mergeCell ref="C12:F12"/>
    <mergeCell ref="C9:F9"/>
    <mergeCell ref="C7:F7"/>
  </mergeCells>
  <phoneticPr fontId="30" type="noConversion"/>
  <pageMargins left="0.5" right="0.5" top="1" bottom="1" header="0.5" footer="0.5"/>
  <pageSetup orientation="portrait"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zoomScaleNormal="100" zoomScaleSheetLayoutView="100" workbookViewId="0">
      <selection activeCell="C5" sqref="C5:E5"/>
    </sheetView>
  </sheetViews>
  <sheetFormatPr defaultColWidth="8" defaultRowHeight="13.5"/>
  <cols>
    <col min="1" max="1" width="8.625" style="8" customWidth="1"/>
    <col min="2" max="2" width="11.125" style="8" customWidth="1"/>
    <col min="3" max="4" width="38.625" style="8" customWidth="1"/>
    <col min="5" max="5" width="14.875" style="8" customWidth="1"/>
    <col min="6" max="6" width="8.625" style="19" customWidth="1"/>
    <col min="7" max="9" width="8" style="19" customWidth="1"/>
    <col min="10" max="16384" width="8" style="12"/>
  </cols>
  <sheetData>
    <row r="1" spans="1:10" ht="30.75" customHeight="1">
      <c r="B1" s="746" t="s">
        <v>163</v>
      </c>
      <c r="C1" s="747"/>
      <c r="D1" s="747"/>
      <c r="E1" s="748"/>
      <c r="F1" s="9"/>
      <c r="G1" s="10"/>
      <c r="H1" s="10"/>
      <c r="I1" s="10"/>
      <c r="J1" s="11"/>
    </row>
    <row r="2" spans="1:10" ht="50.1" customHeight="1">
      <c r="A2" s="13"/>
      <c r="B2" s="749" t="str">
        <f>'Basic Data'!C5</f>
        <v>Supply &amp; Services contract for Diversion/Modification of 400kV S/C Rengali-Indravati Transmission Line near Bhawanipatna for Construction of NH Bypass Road (Deposit Work on Behalf of NHAI).</v>
      </c>
      <c r="C2" s="750"/>
      <c r="D2" s="750"/>
      <c r="E2" s="751"/>
      <c r="F2" s="10"/>
      <c r="G2" s="10"/>
      <c r="H2" s="10"/>
      <c r="I2" s="10"/>
      <c r="J2" s="11"/>
    </row>
    <row r="3" spans="1:10" ht="23.25" customHeight="1">
      <c r="A3" s="13"/>
      <c r="B3" s="752" t="str">
        <f>"Specification No.: " &amp; 'Basic Data'!C7</f>
        <v>Specification No.: ODP/BB/C&amp;M-3524/OT-20/RFx No. 5002003084/23-24</v>
      </c>
      <c r="C3" s="753"/>
      <c r="D3" s="753"/>
      <c r="E3" s="754"/>
      <c r="F3" s="10"/>
      <c r="G3" s="10"/>
      <c r="H3" s="10"/>
      <c r="I3" s="10"/>
      <c r="J3" s="11"/>
    </row>
    <row r="4" spans="1:10" ht="30" customHeight="1">
      <c r="A4" s="13"/>
      <c r="B4" s="179">
        <v>1</v>
      </c>
      <c r="C4" s="738" t="s">
        <v>524</v>
      </c>
      <c r="D4" s="738"/>
      <c r="E4" s="739"/>
      <c r="F4" s="10"/>
      <c r="G4" s="16"/>
      <c r="H4" s="16"/>
      <c r="I4" s="10"/>
      <c r="J4" s="11"/>
    </row>
    <row r="5" spans="1:10" ht="30" customHeight="1">
      <c r="A5" s="13"/>
      <c r="B5" s="179">
        <v>2</v>
      </c>
      <c r="C5" s="738" t="s">
        <v>318</v>
      </c>
      <c r="D5" s="738"/>
      <c r="E5" s="739"/>
      <c r="F5" s="10"/>
      <c r="G5" s="10"/>
      <c r="H5" s="10"/>
      <c r="I5" s="10"/>
      <c r="J5" s="11"/>
    </row>
    <row r="6" spans="1:10" s="19" customFormat="1" ht="30" customHeight="1">
      <c r="A6" s="13"/>
      <c r="B6" s="179">
        <v>3</v>
      </c>
      <c r="C6" s="738" t="s">
        <v>140</v>
      </c>
      <c r="D6" s="738"/>
      <c r="E6" s="739"/>
      <c r="F6" s="10"/>
      <c r="G6" s="10"/>
      <c r="H6" s="10"/>
      <c r="I6" s="10"/>
      <c r="J6" s="10"/>
    </row>
    <row r="7" spans="1:10" ht="52.5" hidden="1" customHeight="1">
      <c r="A7" s="13"/>
      <c r="B7" s="180">
        <v>4</v>
      </c>
      <c r="C7" s="738" t="s">
        <v>243</v>
      </c>
      <c r="D7" s="738"/>
      <c r="E7" s="739"/>
      <c r="F7" s="10"/>
      <c r="G7" s="10"/>
      <c r="H7" s="10"/>
      <c r="I7" s="10"/>
      <c r="J7" s="11"/>
    </row>
    <row r="8" spans="1:10" ht="12" customHeight="1">
      <c r="A8" s="13"/>
      <c r="B8" s="14"/>
      <c r="C8" s="13"/>
      <c r="D8" s="13"/>
      <c r="E8" s="15"/>
      <c r="F8" s="10"/>
      <c r="G8" s="10"/>
      <c r="H8" s="10"/>
      <c r="I8" s="10"/>
      <c r="J8" s="11"/>
    </row>
    <row r="9" spans="1:10" ht="20.25" customHeight="1">
      <c r="A9" s="13"/>
      <c r="B9" s="735"/>
      <c r="C9" s="736"/>
      <c r="D9" s="736"/>
      <c r="E9" s="737"/>
      <c r="F9" s="10"/>
      <c r="G9" s="10"/>
      <c r="H9" s="10"/>
      <c r="I9" s="10"/>
      <c r="J9" s="11"/>
    </row>
    <row r="10" spans="1:10" ht="33.75" hidden="1" customHeight="1">
      <c r="A10" s="13"/>
      <c r="B10" s="14"/>
      <c r="C10" s="13"/>
      <c r="D10" s="13"/>
      <c r="E10" s="17"/>
      <c r="F10" s="10"/>
      <c r="G10" s="10"/>
      <c r="H10" s="10"/>
      <c r="I10" s="10"/>
      <c r="J10" s="11"/>
    </row>
    <row r="11" spans="1:10" ht="24" customHeight="1">
      <c r="B11" s="742"/>
      <c r="C11" s="743"/>
      <c r="D11" s="743"/>
      <c r="E11" s="18"/>
    </row>
    <row r="12" spans="1:10" ht="15.95" customHeight="1">
      <c r="B12" s="740"/>
      <c r="C12" s="741"/>
      <c r="D12" s="741"/>
      <c r="E12" s="20"/>
      <c r="G12" s="10"/>
      <c r="H12" s="10"/>
      <c r="I12" s="10"/>
      <c r="J12" s="11"/>
    </row>
    <row r="13" spans="1:10" ht="24" customHeight="1">
      <c r="B13" s="742"/>
      <c r="C13" s="743"/>
      <c r="D13" s="743"/>
      <c r="E13" s="18"/>
      <c r="F13" s="21"/>
      <c r="G13" s="22"/>
      <c r="H13" s="22"/>
      <c r="I13" s="22"/>
      <c r="J13" s="22"/>
    </row>
    <row r="14" spans="1:10" ht="15.95" customHeight="1">
      <c r="B14" s="744"/>
      <c r="C14" s="745"/>
      <c r="D14" s="745"/>
      <c r="E14" s="23"/>
      <c r="F14" s="21"/>
      <c r="G14" s="22"/>
      <c r="H14" s="22"/>
      <c r="I14" s="22"/>
      <c r="J14" s="22"/>
    </row>
    <row r="15" spans="1:10" ht="15.75">
      <c r="A15" s="13"/>
      <c r="B15" s="24"/>
      <c r="C15" s="24"/>
      <c r="D15" s="24"/>
      <c r="E15" s="24"/>
      <c r="F15" s="10"/>
      <c r="G15" s="10"/>
      <c r="H15" s="10"/>
      <c r="I15" s="10"/>
      <c r="J15" s="11"/>
    </row>
    <row r="16" spans="1:10" ht="15.75">
      <c r="A16" s="13"/>
      <c r="B16" s="13"/>
      <c r="C16" s="13"/>
      <c r="D16" s="13"/>
      <c r="E16" s="13"/>
      <c r="F16" s="10"/>
      <c r="G16" s="10"/>
      <c r="H16" s="10"/>
      <c r="I16" s="10"/>
      <c r="J16" s="11"/>
    </row>
    <row r="17" spans="1:10" ht="15.75">
      <c r="A17" s="13"/>
      <c r="B17" s="13"/>
      <c r="C17" s="13"/>
      <c r="D17" s="13"/>
      <c r="E17" s="13"/>
      <c r="F17" s="10"/>
      <c r="G17" s="10"/>
      <c r="H17" s="10"/>
      <c r="I17" s="10"/>
      <c r="J17" s="11"/>
    </row>
  </sheetData>
  <sheetProtection password="84E7" sheet="1" formatColumns="0" formatRows="0" selectLockedCells="1"/>
  <customSheetViews>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5"/>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08A645C4-A23F-4400-B0CE-1685BC312A6F}" showGridLines="0" hiddenRows="1">
      <selection activeCell="B14" sqref="B14:D14"/>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s>
  <mergeCells count="12">
    <mergeCell ref="C6:E6"/>
    <mergeCell ref="B1:E1"/>
    <mergeCell ref="C4:E4"/>
    <mergeCell ref="C5:E5"/>
    <mergeCell ref="B2:E2"/>
    <mergeCell ref="B3:E3"/>
    <mergeCell ref="B9:E9"/>
    <mergeCell ref="C7:E7"/>
    <mergeCell ref="B12:D12"/>
    <mergeCell ref="B13:D13"/>
    <mergeCell ref="B14:D14"/>
    <mergeCell ref="B11:D11"/>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10"/>
  <headerFooter alignWithMargins="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33"/>
  <sheetViews>
    <sheetView showGridLines="0" zoomScaleNormal="100" workbookViewId="0">
      <selection activeCell="C5" sqref="C5"/>
    </sheetView>
  </sheetViews>
  <sheetFormatPr defaultRowHeight="16.5"/>
  <cols>
    <col min="1" max="1" width="9" style="442"/>
    <col min="2" max="2" width="9" style="441"/>
    <col min="3" max="3" width="72.625" style="441" customWidth="1"/>
    <col min="4" max="4" width="66.125" style="440" customWidth="1"/>
    <col min="5" max="16384" width="9" style="76"/>
  </cols>
  <sheetData>
    <row r="1" spans="1:11" ht="88.5" customHeight="1">
      <c r="A1" s="759" t="str">
        <f>"General Instruction to the Bidders for filling up this workbook of Price Schedules for Package " &amp; 'Basic Data'!C5</f>
        <v>General Instruction to the Bidders for filling up this workbook of Price Schedules for Package Supply &amp; Services contract for Diversion/Modification of 400kV S/C Rengali-Indravati Transmission Line near Bhawanipatna for Construction of NH Bypass Road (Deposit Work on Behalf of NHAI).</v>
      </c>
      <c r="B1" s="759"/>
      <c r="C1" s="759"/>
      <c r="D1" s="459"/>
      <c r="E1" s="458"/>
      <c r="F1" s="458"/>
      <c r="G1" s="458"/>
      <c r="H1" s="458"/>
      <c r="I1" s="458"/>
      <c r="J1" s="458"/>
      <c r="K1" s="458"/>
    </row>
    <row r="2" spans="1:11" ht="18" customHeight="1">
      <c r="D2" s="457"/>
      <c r="E2" s="456"/>
      <c r="F2" s="456"/>
      <c r="G2" s="456"/>
      <c r="H2" s="456"/>
      <c r="I2" s="456"/>
      <c r="J2" s="456"/>
      <c r="K2" s="456"/>
    </row>
    <row r="3" spans="1:11" ht="18" customHeight="1">
      <c r="A3" s="454" t="s">
        <v>442</v>
      </c>
      <c r="B3" s="441" t="s">
        <v>441</v>
      </c>
      <c r="D3" s="448"/>
      <c r="E3" s="447"/>
      <c r="F3" s="447"/>
      <c r="G3" s="447"/>
      <c r="H3" s="447"/>
      <c r="I3" s="447"/>
      <c r="J3" s="447"/>
      <c r="K3" s="447"/>
    </row>
    <row r="4" spans="1:11" ht="18" customHeight="1">
      <c r="B4" s="455" t="s">
        <v>440</v>
      </c>
      <c r="C4" s="449" t="s">
        <v>439</v>
      </c>
      <c r="D4" s="448"/>
      <c r="E4" s="447"/>
      <c r="F4" s="447"/>
      <c r="G4" s="447"/>
      <c r="H4" s="447"/>
      <c r="I4" s="447"/>
      <c r="J4" s="447"/>
      <c r="K4" s="447"/>
    </row>
    <row r="5" spans="1:11" ht="38.1" customHeight="1">
      <c r="B5" s="455" t="s">
        <v>438</v>
      </c>
      <c r="C5" s="449" t="s">
        <v>437</v>
      </c>
      <c r="D5" s="448"/>
      <c r="E5" s="447"/>
      <c r="F5" s="447"/>
      <c r="G5" s="447"/>
      <c r="H5" s="447"/>
      <c r="I5" s="447"/>
      <c r="J5" s="447"/>
      <c r="K5" s="447"/>
    </row>
    <row r="6" spans="1:11" ht="18" customHeight="1">
      <c r="B6" s="455" t="s">
        <v>436</v>
      </c>
      <c r="C6" s="449" t="s">
        <v>435</v>
      </c>
      <c r="D6" s="448"/>
      <c r="E6" s="447"/>
      <c r="F6" s="447"/>
      <c r="G6" s="447"/>
      <c r="H6" s="447"/>
      <c r="I6" s="447"/>
      <c r="J6" s="447"/>
      <c r="K6" s="447"/>
    </row>
    <row r="7" spans="1:11" ht="18" customHeight="1">
      <c r="B7" s="455" t="s">
        <v>434</v>
      </c>
      <c r="C7" s="449" t="s">
        <v>433</v>
      </c>
      <c r="D7" s="448"/>
      <c r="E7" s="447"/>
      <c r="F7" s="447"/>
      <c r="G7" s="447"/>
      <c r="H7" s="447"/>
      <c r="I7" s="447"/>
      <c r="J7" s="447"/>
      <c r="K7" s="447"/>
    </row>
    <row r="8" spans="1:11" ht="18" customHeight="1">
      <c r="B8" s="455" t="s">
        <v>432</v>
      </c>
      <c r="C8" s="449" t="s">
        <v>431</v>
      </c>
      <c r="D8" s="448"/>
      <c r="E8" s="447"/>
      <c r="F8" s="447"/>
      <c r="G8" s="447"/>
      <c r="H8" s="447"/>
      <c r="I8" s="447"/>
      <c r="J8" s="447"/>
      <c r="K8" s="447"/>
    </row>
    <row r="9" spans="1:11" ht="18" customHeight="1">
      <c r="B9" s="455" t="s">
        <v>430</v>
      </c>
      <c r="C9" s="449" t="s">
        <v>429</v>
      </c>
      <c r="D9" s="448"/>
      <c r="E9" s="447"/>
      <c r="F9" s="447"/>
      <c r="G9" s="447"/>
      <c r="H9" s="447"/>
      <c r="I9" s="447"/>
      <c r="J9" s="447"/>
      <c r="K9" s="447"/>
    </row>
    <row r="10" spans="1:11" ht="18" customHeight="1">
      <c r="B10" s="455"/>
      <c r="C10" s="449"/>
      <c r="D10" s="448"/>
      <c r="E10" s="447"/>
      <c r="F10" s="447"/>
      <c r="G10" s="447"/>
      <c r="H10" s="447"/>
      <c r="I10" s="447"/>
      <c r="J10" s="447"/>
      <c r="K10" s="447"/>
    </row>
    <row r="11" spans="1:11" ht="18" customHeight="1">
      <c r="A11" s="454" t="s">
        <v>428</v>
      </c>
      <c r="B11" s="441" t="s">
        <v>427</v>
      </c>
      <c r="D11" s="448"/>
      <c r="E11" s="447"/>
      <c r="F11" s="447"/>
      <c r="G11" s="447"/>
      <c r="H11" s="447"/>
      <c r="I11" s="447"/>
      <c r="J11" s="447"/>
      <c r="K11" s="447"/>
    </row>
    <row r="12" spans="1:11" ht="18" customHeight="1">
      <c r="B12" s="757" t="s">
        <v>426</v>
      </c>
      <c r="C12" s="757"/>
      <c r="D12" s="451"/>
      <c r="E12" s="447"/>
      <c r="F12" s="447"/>
      <c r="G12" s="447"/>
      <c r="H12" s="447"/>
      <c r="I12" s="447"/>
      <c r="J12" s="447"/>
      <c r="K12" s="447"/>
    </row>
    <row r="13" spans="1:11" ht="18" customHeight="1">
      <c r="B13" s="453"/>
      <c r="C13" s="449" t="s">
        <v>425</v>
      </c>
      <c r="D13" s="448"/>
      <c r="E13" s="447"/>
      <c r="F13" s="447"/>
      <c r="G13" s="447"/>
      <c r="H13" s="447"/>
      <c r="I13" s="447"/>
      <c r="J13" s="447"/>
      <c r="K13" s="447"/>
    </row>
    <row r="14" spans="1:11" ht="18" customHeight="1">
      <c r="B14" s="757" t="s">
        <v>424</v>
      </c>
      <c r="C14" s="757"/>
      <c r="D14" s="451"/>
      <c r="E14" s="447"/>
      <c r="F14" s="447"/>
      <c r="G14" s="447"/>
      <c r="H14" s="447"/>
      <c r="I14" s="447"/>
      <c r="J14" s="447"/>
      <c r="K14" s="447"/>
    </row>
    <row r="15" spans="1:11" ht="67.5" customHeight="1">
      <c r="B15" s="450" t="s">
        <v>412</v>
      </c>
      <c r="C15" s="449" t="s">
        <v>443</v>
      </c>
      <c r="D15" s="448"/>
      <c r="E15" s="447"/>
      <c r="F15" s="447"/>
      <c r="G15" s="447"/>
      <c r="H15" s="447"/>
      <c r="I15" s="447"/>
      <c r="J15" s="447"/>
      <c r="K15" s="447"/>
    </row>
    <row r="16" spans="1:11" ht="24.75" hidden="1" customHeight="1">
      <c r="B16" s="450" t="s">
        <v>412</v>
      </c>
      <c r="C16" s="452" t="s">
        <v>423</v>
      </c>
      <c r="D16" s="448"/>
      <c r="E16" s="447"/>
      <c r="F16" s="447"/>
      <c r="G16" s="447"/>
      <c r="H16" s="447"/>
      <c r="I16" s="447"/>
      <c r="J16" s="447"/>
      <c r="K16" s="447"/>
    </row>
    <row r="17" spans="2:11" ht="42" hidden="1" customHeight="1">
      <c r="B17" s="450" t="s">
        <v>412</v>
      </c>
      <c r="C17" s="452" t="s">
        <v>422</v>
      </c>
      <c r="D17" s="448"/>
      <c r="E17" s="447"/>
      <c r="F17" s="447"/>
      <c r="G17" s="447"/>
      <c r="H17" s="447"/>
      <c r="I17" s="447"/>
      <c r="J17" s="447"/>
      <c r="K17" s="447"/>
    </row>
    <row r="18" spans="2:11" ht="18" customHeight="1">
      <c r="B18" s="450" t="s">
        <v>412</v>
      </c>
      <c r="C18" s="449" t="s">
        <v>444</v>
      </c>
      <c r="D18" s="448"/>
      <c r="E18" s="447"/>
      <c r="F18" s="447"/>
      <c r="G18" s="447"/>
      <c r="H18" s="447"/>
      <c r="I18" s="447"/>
      <c r="J18" s="447"/>
      <c r="K18" s="447"/>
    </row>
    <row r="19" spans="2:11" ht="18" customHeight="1">
      <c r="B19" s="450" t="s">
        <v>412</v>
      </c>
      <c r="C19" s="449" t="s">
        <v>421</v>
      </c>
      <c r="D19" s="448"/>
      <c r="E19" s="447"/>
      <c r="F19" s="447"/>
      <c r="G19" s="447"/>
      <c r="H19" s="447"/>
      <c r="I19" s="447"/>
      <c r="J19" s="447"/>
      <c r="K19" s="447"/>
    </row>
    <row r="20" spans="2:11" ht="27" customHeight="1">
      <c r="B20" s="450" t="s">
        <v>412</v>
      </c>
      <c r="C20" s="449" t="s">
        <v>420</v>
      </c>
      <c r="D20" s="448"/>
      <c r="E20" s="447"/>
      <c r="F20" s="447"/>
      <c r="G20" s="447"/>
      <c r="H20" s="447"/>
      <c r="I20" s="447"/>
      <c r="J20" s="447"/>
      <c r="K20" s="447"/>
    </row>
    <row r="21" spans="2:11" ht="18" customHeight="1">
      <c r="B21" s="757" t="s">
        <v>419</v>
      </c>
      <c r="C21" s="757"/>
      <c r="D21" s="451"/>
      <c r="E21" s="447"/>
      <c r="F21" s="447"/>
      <c r="G21" s="447"/>
      <c r="H21" s="447"/>
      <c r="I21" s="447"/>
      <c r="J21" s="447"/>
      <c r="K21" s="447"/>
    </row>
    <row r="22" spans="2:11" ht="54" customHeight="1">
      <c r="B22" s="450" t="s">
        <v>412</v>
      </c>
      <c r="C22" s="482" t="s">
        <v>417</v>
      </c>
      <c r="D22" s="448"/>
      <c r="E22" s="447"/>
      <c r="F22" s="447"/>
      <c r="G22" s="447"/>
      <c r="H22" s="447"/>
      <c r="I22" s="447"/>
      <c r="J22" s="447"/>
      <c r="K22" s="447"/>
    </row>
    <row r="23" spans="2:11" ht="72" customHeight="1">
      <c r="B23" s="450" t="s">
        <v>412</v>
      </c>
      <c r="C23" s="482" t="s">
        <v>494</v>
      </c>
      <c r="D23" s="448"/>
      <c r="E23" s="447"/>
      <c r="F23" s="447"/>
      <c r="G23" s="447"/>
      <c r="H23" s="447"/>
      <c r="I23" s="447"/>
      <c r="J23" s="447"/>
      <c r="K23" s="447"/>
    </row>
    <row r="24" spans="2:11" ht="18" customHeight="1">
      <c r="B24" s="450" t="s">
        <v>412</v>
      </c>
      <c r="C24" s="449" t="s">
        <v>416</v>
      </c>
      <c r="D24" s="448"/>
      <c r="E24" s="447"/>
      <c r="F24" s="447"/>
      <c r="G24" s="447"/>
      <c r="H24" s="447"/>
      <c r="I24" s="447"/>
      <c r="J24" s="447"/>
      <c r="K24" s="447"/>
    </row>
    <row r="25" spans="2:11" ht="6.75" customHeight="1">
      <c r="B25" s="450"/>
      <c r="C25" s="449"/>
      <c r="D25" s="448"/>
      <c r="E25" s="447"/>
      <c r="F25" s="447"/>
      <c r="G25" s="447"/>
      <c r="H25" s="447"/>
      <c r="I25" s="447"/>
      <c r="J25" s="447"/>
      <c r="K25" s="447"/>
    </row>
    <row r="26" spans="2:11" ht="18" customHeight="1">
      <c r="B26" s="757" t="s">
        <v>418</v>
      </c>
      <c r="C26" s="757"/>
      <c r="D26" s="451"/>
      <c r="E26" s="447"/>
      <c r="F26" s="447"/>
      <c r="G26" s="447"/>
      <c r="H26" s="447"/>
      <c r="I26" s="447"/>
      <c r="J26" s="447"/>
      <c r="K26" s="447"/>
    </row>
    <row r="27" spans="2:11" ht="54" customHeight="1">
      <c r="B27" s="450" t="s">
        <v>412</v>
      </c>
      <c r="C27" s="449" t="s">
        <v>417</v>
      </c>
      <c r="D27" s="448"/>
      <c r="E27" s="447"/>
      <c r="F27" s="447"/>
      <c r="G27" s="447"/>
      <c r="H27" s="447"/>
      <c r="I27" s="447"/>
      <c r="J27" s="447"/>
      <c r="K27" s="447"/>
    </row>
    <row r="28" spans="2:11" ht="18" customHeight="1">
      <c r="B28" s="450" t="s">
        <v>412</v>
      </c>
      <c r="C28" s="449" t="s">
        <v>416</v>
      </c>
      <c r="D28" s="448"/>
      <c r="E28" s="447"/>
      <c r="F28" s="447"/>
      <c r="G28" s="447"/>
      <c r="H28" s="447"/>
      <c r="I28" s="447"/>
      <c r="J28" s="447"/>
      <c r="K28" s="447"/>
    </row>
    <row r="29" spans="2:11" ht="18" customHeight="1">
      <c r="B29" s="757" t="s">
        <v>513</v>
      </c>
      <c r="C29" s="757"/>
      <c r="D29" s="451"/>
    </row>
    <row r="30" spans="2:11" ht="46.5" customHeight="1">
      <c r="B30" s="450" t="s">
        <v>412</v>
      </c>
      <c r="C30" s="449" t="s">
        <v>417</v>
      </c>
      <c r="D30" s="448"/>
      <c r="E30" s="447"/>
      <c r="F30" s="447"/>
      <c r="G30" s="447"/>
      <c r="H30" s="447"/>
      <c r="I30" s="447"/>
      <c r="J30" s="447"/>
      <c r="K30" s="447"/>
    </row>
    <row r="31" spans="2:11" ht="30.75" customHeight="1">
      <c r="B31" s="450" t="s">
        <v>412</v>
      </c>
      <c r="C31" s="449" t="s">
        <v>416</v>
      </c>
      <c r="D31" s="448"/>
    </row>
    <row r="32" spans="2:11" ht="18" customHeight="1">
      <c r="B32" s="757" t="s">
        <v>449</v>
      </c>
      <c r="C32" s="757"/>
      <c r="D32" s="451"/>
    </row>
    <row r="33" spans="1:11" ht="37.5" customHeight="1">
      <c r="B33" s="450" t="s">
        <v>412</v>
      </c>
      <c r="C33" s="481" t="s">
        <v>491</v>
      </c>
      <c r="D33" s="448"/>
      <c r="E33" s="447"/>
      <c r="F33" s="447"/>
      <c r="G33" s="447"/>
      <c r="H33" s="447"/>
      <c r="I33" s="447"/>
      <c r="J33" s="447"/>
      <c r="K33" s="447"/>
    </row>
    <row r="34" spans="1:11" ht="33" customHeight="1">
      <c r="B34" s="450" t="s">
        <v>412</v>
      </c>
      <c r="C34" s="481" t="s">
        <v>415</v>
      </c>
      <c r="D34" s="448"/>
      <c r="E34" s="447"/>
      <c r="F34" s="447"/>
      <c r="G34" s="447"/>
      <c r="H34" s="447"/>
      <c r="I34" s="447"/>
      <c r="J34" s="447"/>
      <c r="K34" s="447"/>
    </row>
    <row r="35" spans="1:11" ht="18" customHeight="1">
      <c r="B35" s="757" t="s">
        <v>450</v>
      </c>
      <c r="C35" s="757"/>
    </row>
    <row r="36" spans="1:11" ht="38.1" customHeight="1">
      <c r="B36" s="450" t="s">
        <v>412</v>
      </c>
      <c r="C36" s="481" t="s">
        <v>493</v>
      </c>
    </row>
    <row r="37" spans="1:11" ht="28.15" customHeight="1">
      <c r="B37" s="450" t="s">
        <v>412</v>
      </c>
      <c r="C37" s="481" t="s">
        <v>415</v>
      </c>
    </row>
    <row r="38" spans="1:11" hidden="1">
      <c r="B38" s="757" t="s">
        <v>517</v>
      </c>
      <c r="C38" s="757"/>
    </row>
    <row r="39" spans="1:11" ht="47.25" hidden="1">
      <c r="B39" s="450" t="s">
        <v>412</v>
      </c>
      <c r="C39" s="449" t="s">
        <v>417</v>
      </c>
    </row>
    <row r="40" spans="1:11" hidden="1">
      <c r="B40" s="450" t="s">
        <v>412</v>
      </c>
      <c r="C40" s="449" t="s">
        <v>416</v>
      </c>
    </row>
    <row r="41" spans="1:11" ht="18" customHeight="1">
      <c r="B41" s="757" t="s">
        <v>414</v>
      </c>
      <c r="C41" s="757"/>
    </row>
    <row r="42" spans="1:11" ht="18" customHeight="1">
      <c r="B42" s="450" t="s">
        <v>412</v>
      </c>
      <c r="C42" s="449" t="s">
        <v>413</v>
      </c>
      <c r="D42" s="448"/>
      <c r="E42" s="447"/>
      <c r="F42" s="447"/>
      <c r="G42" s="447"/>
      <c r="H42" s="447"/>
      <c r="I42" s="447"/>
      <c r="J42" s="447"/>
      <c r="K42" s="447"/>
    </row>
    <row r="43" spans="1:11" ht="18" customHeight="1">
      <c r="B43" s="450" t="s">
        <v>412</v>
      </c>
      <c r="C43" s="482" t="s">
        <v>492</v>
      </c>
      <c r="D43" s="448"/>
      <c r="E43" s="447"/>
      <c r="F43" s="447"/>
      <c r="G43" s="447"/>
      <c r="H43" s="447"/>
      <c r="I43" s="447"/>
      <c r="J43" s="447"/>
      <c r="K43" s="447"/>
    </row>
    <row r="44" spans="1:11" ht="18" customHeight="1">
      <c r="B44" s="450" t="s">
        <v>412</v>
      </c>
      <c r="C44" s="449" t="s">
        <v>411</v>
      </c>
      <c r="D44" s="448"/>
      <c r="E44" s="447"/>
      <c r="F44" s="447"/>
      <c r="G44" s="447"/>
      <c r="H44" s="447"/>
      <c r="I44" s="447"/>
      <c r="J44" s="447"/>
      <c r="K44" s="447"/>
    </row>
    <row r="45" spans="1:11" ht="18" customHeight="1">
      <c r="A45" s="441"/>
      <c r="C45" s="443"/>
    </row>
    <row r="46" spans="1:11" ht="18" customHeight="1">
      <c r="A46" s="758"/>
      <c r="B46" s="758"/>
      <c r="C46" s="758"/>
      <c r="D46" s="446"/>
    </row>
    <row r="47" spans="1:11" ht="18" customHeight="1">
      <c r="A47" s="755" t="s">
        <v>410</v>
      </c>
      <c r="B47" s="755"/>
      <c r="C47" s="755"/>
      <c r="D47" s="446"/>
    </row>
    <row r="48" spans="1:11" ht="36" customHeight="1">
      <c r="A48" s="756" t="s">
        <v>409</v>
      </c>
      <c r="B48" s="756"/>
      <c r="C48" s="756"/>
    </row>
    <row r="49" spans="2:3" ht="18" customHeight="1">
      <c r="B49" s="445"/>
      <c r="C49" s="445"/>
    </row>
    <row r="50" spans="2:3" ht="18" customHeight="1">
      <c r="C50" s="444"/>
    </row>
    <row r="51" spans="2:3" ht="18" customHeight="1">
      <c r="C51" s="443"/>
    </row>
    <row r="52" spans="2:3" ht="18" customHeight="1">
      <c r="C52" s="444"/>
    </row>
    <row r="53" spans="2:3" ht="18" customHeight="1">
      <c r="B53" s="443"/>
      <c r="C53" s="443"/>
    </row>
    <row r="54" spans="2:3" ht="18" customHeight="1">
      <c r="B54" s="443"/>
      <c r="C54" s="443"/>
    </row>
    <row r="55" spans="2:3" ht="18" customHeight="1">
      <c r="B55" s="443"/>
      <c r="C55" s="443"/>
    </row>
    <row r="56" spans="2:3" ht="18" customHeight="1">
      <c r="B56" s="443"/>
      <c r="C56" s="443"/>
    </row>
    <row r="57" spans="2:3" ht="18" customHeight="1">
      <c r="B57" s="443"/>
      <c r="C57" s="443"/>
    </row>
    <row r="58" spans="2:3" ht="18" customHeight="1">
      <c r="B58" s="443"/>
      <c r="C58" s="443"/>
    </row>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sheetProtection password="84E7" sheet="1" selectLockedCells="1"/>
  <customSheetViews>
    <customSheetView guid="{08A645C4-A23F-4400-B0CE-1685BC312A6F}" showGridLines="0" printArea="1" hiddenRows="1">
      <selection activeCell="A62" sqref="A62:C62"/>
      <pageMargins left="0.75" right="0.75" top="0.55000000000000004" bottom="0.47" header="0.32" footer="0.25"/>
      <pageSetup orientation="portrait" r:id="rId1"/>
      <headerFooter alignWithMargins="0">
        <oddFooter>&amp;RPage &amp;P of &amp;N</oddFooter>
      </headerFooter>
    </customSheetView>
  </customSheetViews>
  <mergeCells count="13">
    <mergeCell ref="B26:C26"/>
    <mergeCell ref="B29:C29"/>
    <mergeCell ref="A1:C1"/>
    <mergeCell ref="B12:C12"/>
    <mergeCell ref="B14:C14"/>
    <mergeCell ref="B21:C21"/>
    <mergeCell ref="A47:C47"/>
    <mergeCell ref="A48:C48"/>
    <mergeCell ref="B32:C32"/>
    <mergeCell ref="B35:C35"/>
    <mergeCell ref="B38:C38"/>
    <mergeCell ref="B41:C41"/>
    <mergeCell ref="A46:C46"/>
  </mergeCells>
  <phoneticPr fontId="30" type="noConversion"/>
  <pageMargins left="0.75" right="0.75" top="0.55000000000000004" bottom="0.47" header="0.32" footer="0.25"/>
  <pageSetup orientation="portrait" r:id="rId2"/>
  <headerFooter alignWithMargins="0">
    <oddFooter>&amp;RPage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22"/>
  <sheetViews>
    <sheetView view="pageBreakPreview" zoomScale="90" zoomScaleNormal="100" zoomScaleSheetLayoutView="90" workbookViewId="0">
      <selection activeCell="H11" sqref="H11"/>
    </sheetView>
  </sheetViews>
  <sheetFormatPr defaultRowHeight="16.5"/>
  <cols>
    <col min="2" max="2" width="27.875" style="28" customWidth="1"/>
    <col min="3" max="3" width="11.25" style="28" customWidth="1"/>
    <col min="4" max="4" width="48.75" style="28" customWidth="1"/>
  </cols>
  <sheetData>
    <row r="1" spans="2:4" ht="75.75" customHeight="1">
      <c r="B1" s="760" t="str">
        <f>'Basic Data'!C5</f>
        <v>Supply &amp; Services contract for Diversion/Modification of 400kV S/C Rengali-Indravati Transmission Line near Bhawanipatna for Construction of NH Bypass Road (Deposit Work on Behalf of NHAI).</v>
      </c>
      <c r="C1" s="760"/>
      <c r="D1" s="760"/>
    </row>
    <row r="2" spans="2:4">
      <c r="B2" s="761" t="str">
        <f>'Basic Data'!C7</f>
        <v>ODP/BB/C&amp;M-3524/OT-20/RFx No. 5002003084/23-24</v>
      </c>
      <c r="C2" s="761"/>
      <c r="D2" s="761"/>
    </row>
    <row r="3" spans="2:4">
      <c r="B3" s="143"/>
      <c r="C3" s="143"/>
      <c r="D3" s="143"/>
    </row>
    <row r="4" spans="2:4">
      <c r="B4" s="762" t="s">
        <v>135</v>
      </c>
      <c r="C4" s="762"/>
      <c r="D4" s="762"/>
    </row>
    <row r="5" spans="2:4">
      <c r="B5" s="83"/>
      <c r="C5" s="83"/>
    </row>
    <row r="6" spans="2:4" ht="48.75" customHeight="1">
      <c r="B6" s="546" t="s">
        <v>518</v>
      </c>
      <c r="C6" s="547"/>
      <c r="D6" s="549"/>
    </row>
    <row r="7" spans="2:4">
      <c r="B7" s="546" t="str">
        <f>IF(D6= "JV (Joint Venture)", "Total Nos. of  Partners in the JV [excluding the Lead Partner]", "")</f>
        <v/>
      </c>
      <c r="C7" s="548"/>
      <c r="D7" s="84"/>
    </row>
    <row r="8" spans="2:4">
      <c r="B8" s="224"/>
      <c r="C8" s="224"/>
      <c r="D8" s="84"/>
    </row>
    <row r="9" spans="2:4">
      <c r="B9" s="550" t="s">
        <v>519</v>
      </c>
      <c r="C9" s="551"/>
      <c r="D9" s="549"/>
    </row>
    <row r="10" spans="2:4">
      <c r="B10" s="552" t="s">
        <v>520</v>
      </c>
      <c r="C10" s="553"/>
      <c r="D10" s="549"/>
    </row>
    <row r="11" spans="2:4">
      <c r="B11" s="554"/>
      <c r="C11" s="555"/>
      <c r="D11" s="549"/>
    </row>
    <row r="12" spans="2:4">
      <c r="B12" s="556"/>
      <c r="C12" s="557"/>
      <c r="D12" s="549"/>
    </row>
    <row r="13" spans="2:4">
      <c r="B13" s="550"/>
      <c r="C13" s="551"/>
      <c r="D13" s="549"/>
    </row>
    <row r="14" spans="2:4">
      <c r="B14" s="552" t="s">
        <v>520</v>
      </c>
      <c r="C14" s="553"/>
      <c r="D14" s="549"/>
    </row>
    <row r="15" spans="2:4">
      <c r="B15" s="554"/>
      <c r="C15" s="555"/>
      <c r="D15" s="549"/>
    </row>
    <row r="16" spans="2:4">
      <c r="B16" s="556"/>
      <c r="C16" s="557"/>
      <c r="D16" s="549"/>
    </row>
    <row r="18" spans="2:4">
      <c r="B18" s="558" t="s">
        <v>136</v>
      </c>
      <c r="C18" s="559"/>
      <c r="D18" s="549"/>
    </row>
    <row r="19" spans="2:4">
      <c r="B19" s="558" t="s">
        <v>137</v>
      </c>
      <c r="C19" s="559"/>
      <c r="D19" s="560"/>
    </row>
    <row r="20" spans="2:4">
      <c r="B20" s="63"/>
      <c r="C20" s="63"/>
      <c r="D20" s="63"/>
    </row>
    <row r="21" spans="2:4">
      <c r="B21" s="558" t="s">
        <v>275</v>
      </c>
      <c r="C21" s="559"/>
      <c r="D21" s="561"/>
    </row>
    <row r="22" spans="2:4">
      <c r="B22" s="558" t="s">
        <v>327</v>
      </c>
      <c r="C22" s="559"/>
      <c r="D22" s="560"/>
    </row>
  </sheetData>
  <sheetProtection algorithmName="SHA-512" hashValue="lf230srVwP8Ler9tx2EEjKiyTdIsIoilAHib38n0Ps1uopocfx/kYI5yTFZ5SUNZ1/4i4fBI2F/OmIi7ymh4fQ==" saltValue="XXdXR1Qgvrv2BrcIBV2GQw==" spinCount="100000" sheet="1" objects="1" scenarios="1"/>
  <mergeCells count="3">
    <mergeCell ref="B1:D1"/>
    <mergeCell ref="B2:D2"/>
    <mergeCell ref="B4:D4"/>
  </mergeCells>
  <conditionalFormatting sqref="B7:C7">
    <cfRule type="expression" dxfId="1" priority="6" stopIfTrue="1">
      <formula>$D$6="Sole Bidder"</formula>
    </cfRule>
  </conditionalFormatting>
  <conditionalFormatting sqref="D7:D8">
    <cfRule type="expression" dxfId="0" priority="5" stopIfTrue="1">
      <formula>$AA$6=0</formula>
    </cfRule>
  </conditionalFormatting>
  <dataValidations count="2">
    <dataValidation type="list" allowBlank="1" showInputMessage="1" showErrorMessage="1" sqref="D6" xr:uid="{00000000-0002-0000-0300-000000000000}">
      <formula1>"Individual Firm"</formula1>
    </dataValidation>
    <dataValidation type="list" allowBlank="1" showInputMessage="1" showErrorMessage="1" sqref="D7" xr:uid="{00000000-0002-0000-0300-000001000000}">
      <formula1>$AB$2:$AB$3</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sheetPr>
  <dimension ref="A1:U93"/>
  <sheetViews>
    <sheetView topLeftCell="A42" zoomScale="60" zoomScaleNormal="60" zoomScaleSheetLayoutView="100" workbookViewId="0">
      <selection activeCell="D21" sqref="D21"/>
    </sheetView>
  </sheetViews>
  <sheetFormatPr defaultRowHeight="23.25"/>
  <cols>
    <col min="1" max="1" width="10.875" style="573" customWidth="1"/>
    <col min="2" max="2" width="22.5" style="573" hidden="1" customWidth="1"/>
    <col min="3" max="3" width="69.25" style="576" customWidth="1"/>
    <col min="4" max="4" width="26" style="576" customWidth="1"/>
    <col min="5" max="5" width="11" style="575" customWidth="1"/>
    <col min="6" max="6" width="13.75" style="575" customWidth="1"/>
    <col min="7" max="7" width="23.125" style="573" customWidth="1"/>
    <col min="8" max="8" width="21.25" style="573" customWidth="1"/>
    <col min="9" max="9" width="13.5" style="573" customWidth="1"/>
    <col min="10" max="10" width="35.375" style="573" customWidth="1"/>
    <col min="11" max="11" width="22.375" style="571" customWidth="1"/>
    <col min="12" max="12" width="18.375" style="571" customWidth="1"/>
    <col min="13" max="13" width="22" style="571" customWidth="1"/>
    <col min="14" max="14" width="13.875" style="571" hidden="1" customWidth="1"/>
    <col min="15" max="15" width="10.125" style="571" bestFit="1" customWidth="1"/>
    <col min="16" max="16" width="12" style="571" customWidth="1"/>
    <col min="17" max="17" width="10.25" style="571" customWidth="1"/>
    <col min="18" max="18" width="9" style="571" customWidth="1"/>
    <col min="19" max="19" width="12.875" style="571" hidden="1" customWidth="1"/>
    <col min="20" max="20" width="9" style="571" hidden="1" customWidth="1"/>
    <col min="21" max="21" width="18.375" style="571" hidden="1" customWidth="1"/>
    <col min="22" max="16384" width="9" style="571"/>
  </cols>
  <sheetData>
    <row r="1" spans="1:19" ht="27.75" customHeight="1">
      <c r="A1" s="564" t="str">
        <f>Cover!B3</f>
        <v>Specification No.: ODP/BB/C&amp;M-3524/OT-20/RFx No. 5002003084/23-24</v>
      </c>
      <c r="B1" s="565"/>
      <c r="C1" s="566"/>
      <c r="D1" s="566"/>
      <c r="E1" s="565"/>
      <c r="F1" s="565"/>
      <c r="G1" s="567"/>
      <c r="H1" s="568"/>
      <c r="I1" s="568"/>
      <c r="J1" s="568"/>
      <c r="K1" s="569"/>
      <c r="L1" s="569"/>
      <c r="M1" s="569"/>
      <c r="N1" s="570" t="s">
        <v>242</v>
      </c>
    </row>
    <row r="2" spans="1:19" ht="18" customHeight="1">
      <c r="A2" s="572"/>
      <c r="C2" s="574"/>
      <c r="D2" s="574"/>
      <c r="H2" s="572"/>
      <c r="I2" s="572"/>
      <c r="J2" s="572"/>
    </row>
    <row r="3" spans="1:19" ht="48" customHeight="1">
      <c r="A3" s="776" t="str">
        <f>Cover!$B$2</f>
        <v>Supply &amp; Services contract for Diversion/Modification of 400kV S/C Rengali-Indravati Transmission Line near Bhawanipatna for Construction of NH Bypass Road (Deposit Work on Behalf of NHAI).</v>
      </c>
      <c r="B3" s="776"/>
      <c r="C3" s="776"/>
      <c r="D3" s="776"/>
      <c r="E3" s="776"/>
      <c r="F3" s="776"/>
      <c r="G3" s="776"/>
      <c r="H3" s="776"/>
      <c r="I3" s="776"/>
      <c r="J3" s="776"/>
      <c r="K3" s="776"/>
      <c r="L3" s="776"/>
      <c r="M3" s="776"/>
      <c r="N3" s="776"/>
    </row>
    <row r="4" spans="1:19" ht="21.95" customHeight="1">
      <c r="A4" s="777" t="s">
        <v>462</v>
      </c>
      <c r="B4" s="777"/>
      <c r="C4" s="777"/>
      <c r="D4" s="777"/>
      <c r="E4" s="777"/>
      <c r="F4" s="777"/>
      <c r="G4" s="777"/>
      <c r="H4" s="777"/>
      <c r="I4" s="777"/>
      <c r="J4" s="777"/>
      <c r="K4" s="777"/>
      <c r="L4" s="777"/>
      <c r="M4" s="777"/>
      <c r="N4" s="777"/>
    </row>
    <row r="5" spans="1:19" ht="18" customHeight="1"/>
    <row r="6" spans="1:19" ht="18" customHeight="1">
      <c r="A6" s="577" t="s">
        <v>164</v>
      </c>
      <c r="B6" s="578"/>
      <c r="C6" s="579"/>
      <c r="D6" s="579"/>
      <c r="E6" s="578"/>
      <c r="F6" s="578"/>
      <c r="G6" s="580"/>
      <c r="H6" s="581"/>
      <c r="I6" s="581"/>
      <c r="J6" s="581"/>
      <c r="K6" s="572" t="s">
        <v>216</v>
      </c>
      <c r="L6" s="572"/>
      <c r="N6" s="581"/>
    </row>
    <row r="7" spans="1:19" ht="31.5" customHeight="1">
      <c r="A7" s="577" t="str">
        <f>"Bidder as "&amp; 'Names of Bidder'!D6</f>
        <v xml:space="preserve">Bidder as </v>
      </c>
      <c r="B7" s="578"/>
      <c r="C7" s="579"/>
      <c r="D7" s="579"/>
      <c r="E7" s="578"/>
      <c r="F7" s="578"/>
      <c r="K7" s="582" t="s">
        <v>523</v>
      </c>
      <c r="L7" s="582"/>
      <c r="N7" s="581"/>
      <c r="O7" s="572"/>
    </row>
    <row r="8" spans="1:19" ht="28.5" customHeight="1">
      <c r="A8" s="577" t="s">
        <v>217</v>
      </c>
      <c r="B8" s="578"/>
      <c r="C8" s="772" t="str">
        <f>IF('Names of Bidder'!D9=0, "", 'Names of Bidder'!D9)</f>
        <v/>
      </c>
      <c r="D8" s="772"/>
      <c r="E8" s="772"/>
      <c r="F8" s="772"/>
      <c r="G8" s="772"/>
      <c r="H8" s="772"/>
      <c r="I8" s="772"/>
      <c r="J8" s="772"/>
      <c r="K8" s="582" t="s">
        <v>408</v>
      </c>
      <c r="L8" s="582"/>
      <c r="N8" s="581"/>
      <c r="O8" s="572"/>
    </row>
    <row r="9" spans="1:19">
      <c r="A9" s="577" t="s">
        <v>219</v>
      </c>
      <c r="B9" s="578"/>
      <c r="C9" s="772" t="str">
        <f>IF('Names of Bidder'!D10=0, "", 'Names of Bidder'!D10)</f>
        <v/>
      </c>
      <c r="D9" s="772"/>
      <c r="E9" s="772"/>
      <c r="F9" s="772"/>
      <c r="G9" s="772"/>
      <c r="H9" s="772"/>
      <c r="I9" s="772"/>
      <c r="J9" s="772"/>
      <c r="K9" s="582" t="s">
        <v>452</v>
      </c>
      <c r="L9" s="582"/>
      <c r="N9" s="581"/>
      <c r="O9" s="572"/>
    </row>
    <row r="10" spans="1:19">
      <c r="A10" s="581"/>
      <c r="B10" s="580"/>
      <c r="C10" s="772" t="str">
        <f>IF('Names of Bidder'!D11=0, "", 'Names of Bidder'!D11)</f>
        <v/>
      </c>
      <c r="D10" s="772"/>
      <c r="E10" s="772"/>
      <c r="F10" s="772"/>
      <c r="G10" s="772"/>
      <c r="H10" s="772"/>
      <c r="I10" s="772"/>
      <c r="J10" s="772"/>
      <c r="K10" s="582" t="s">
        <v>453</v>
      </c>
      <c r="L10" s="582"/>
      <c r="N10" s="581"/>
      <c r="O10" s="572"/>
    </row>
    <row r="11" spans="1:19">
      <c r="A11" s="581"/>
      <c r="B11" s="580"/>
      <c r="C11" s="772" t="str">
        <f>IF('Names of Bidder'!D12=0, "", 'Names of Bidder'!D12)</f>
        <v/>
      </c>
      <c r="D11" s="772"/>
      <c r="E11" s="772"/>
      <c r="F11" s="772"/>
      <c r="G11" s="772"/>
      <c r="H11" s="772"/>
      <c r="I11" s="772"/>
      <c r="J11" s="772"/>
      <c r="K11" s="582" t="s">
        <v>454</v>
      </c>
      <c r="L11" s="582"/>
      <c r="N11" s="581"/>
      <c r="O11" s="572"/>
    </row>
    <row r="12" spans="1:19" ht="18" customHeight="1">
      <c r="A12" s="581"/>
      <c r="B12" s="580"/>
      <c r="C12" s="583"/>
      <c r="D12" s="583"/>
      <c r="E12" s="578"/>
      <c r="F12" s="578"/>
      <c r="G12" s="578"/>
      <c r="H12" s="577"/>
      <c r="I12" s="577"/>
      <c r="J12" s="577"/>
      <c r="K12" s="584"/>
      <c r="L12" s="584"/>
      <c r="N12" s="581"/>
    </row>
    <row r="13" spans="1:19" ht="18" customHeight="1">
      <c r="A13" s="581"/>
      <c r="B13" s="580"/>
      <c r="C13" s="583"/>
      <c r="D13" s="583"/>
      <c r="E13" s="578"/>
      <c r="F13" s="578"/>
      <c r="G13" s="580"/>
      <c r="H13" s="581"/>
      <c r="I13" s="581"/>
      <c r="J13" s="581"/>
      <c r="K13" s="577"/>
      <c r="L13" s="577"/>
    </row>
    <row r="14" spans="1:19" ht="42" customHeight="1">
      <c r="K14" s="585"/>
      <c r="L14" s="585"/>
      <c r="M14" s="586" t="s">
        <v>464</v>
      </c>
      <c r="N14" s="570" t="s">
        <v>190</v>
      </c>
      <c r="S14" s="571" t="e">
        <f>Discount!O18</f>
        <v>#REF!</v>
      </c>
    </row>
    <row r="15" spans="1:19" ht="155.25" customHeight="1">
      <c r="A15" s="587" t="s">
        <v>191</v>
      </c>
      <c r="B15" s="587" t="s">
        <v>499</v>
      </c>
      <c r="C15" s="587" t="s">
        <v>215</v>
      </c>
      <c r="D15" s="587" t="s">
        <v>516</v>
      </c>
      <c r="E15" s="588" t="s">
        <v>189</v>
      </c>
      <c r="F15" s="588" t="s">
        <v>192</v>
      </c>
      <c r="G15" s="587" t="s">
        <v>457</v>
      </c>
      <c r="H15" s="587" t="s">
        <v>495</v>
      </c>
      <c r="I15" s="587" t="s">
        <v>465</v>
      </c>
      <c r="J15" s="587" t="s">
        <v>496</v>
      </c>
      <c r="K15" s="587" t="s">
        <v>458</v>
      </c>
      <c r="L15" s="589" t="s">
        <v>488</v>
      </c>
      <c r="M15" s="587" t="s">
        <v>459</v>
      </c>
      <c r="N15" s="587" t="s">
        <v>456</v>
      </c>
      <c r="S15" s="571" t="e">
        <f>Discount!O19</f>
        <v>#REF!</v>
      </c>
    </row>
    <row r="16" spans="1:19" ht="30.75" customHeight="1">
      <c r="A16" s="588">
        <v>1</v>
      </c>
      <c r="B16" s="588">
        <v>2</v>
      </c>
      <c r="C16" s="588">
        <v>2</v>
      </c>
      <c r="D16" s="587">
        <v>3</v>
      </c>
      <c r="E16" s="588">
        <v>4</v>
      </c>
      <c r="F16" s="588">
        <v>5</v>
      </c>
      <c r="G16" s="588">
        <v>6</v>
      </c>
      <c r="H16" s="588">
        <v>7</v>
      </c>
      <c r="I16" s="588">
        <v>8</v>
      </c>
      <c r="J16" s="588">
        <v>9</v>
      </c>
      <c r="K16" s="588">
        <v>10</v>
      </c>
      <c r="L16" s="588">
        <v>11</v>
      </c>
      <c r="M16" s="588">
        <v>12</v>
      </c>
      <c r="N16" s="588">
        <v>8</v>
      </c>
    </row>
    <row r="17" spans="1:14" ht="18" customHeight="1">
      <c r="A17" s="590"/>
      <c r="B17" s="588"/>
      <c r="C17" s="591"/>
      <c r="D17" s="591"/>
      <c r="E17" s="588"/>
      <c r="F17" s="588"/>
      <c r="G17" s="588"/>
      <c r="H17" s="590"/>
      <c r="I17" s="590"/>
      <c r="J17" s="590"/>
      <c r="K17" s="588"/>
      <c r="L17" s="588"/>
      <c r="M17" s="588"/>
      <c r="N17" s="588"/>
    </row>
    <row r="18" spans="1:14" ht="33.75" customHeight="1">
      <c r="A18" s="592"/>
      <c r="B18" s="593"/>
      <c r="C18" s="773" t="s">
        <v>539</v>
      </c>
      <c r="D18" s="774"/>
      <c r="E18" s="774"/>
      <c r="F18" s="774"/>
      <c r="G18" s="774"/>
      <c r="H18" s="774"/>
      <c r="I18" s="774"/>
      <c r="J18" s="774"/>
      <c r="K18" s="774"/>
      <c r="L18" s="774"/>
      <c r="M18" s="775"/>
      <c r="N18" s="594"/>
    </row>
    <row r="19" spans="1:14">
      <c r="A19" s="663">
        <v>1</v>
      </c>
      <c r="B19" s="593"/>
      <c r="C19" s="651" t="s">
        <v>540</v>
      </c>
      <c r="D19" s="591"/>
      <c r="E19" s="595"/>
      <c r="F19" s="595"/>
      <c r="G19" s="596"/>
      <c r="H19" s="596"/>
      <c r="I19" s="596"/>
      <c r="J19" s="596"/>
      <c r="K19" s="596"/>
      <c r="L19" s="596"/>
      <c r="M19" s="596"/>
      <c r="N19" s="594"/>
    </row>
    <row r="20" spans="1:14" ht="84">
      <c r="A20" s="664">
        <v>1.1000000000000001</v>
      </c>
      <c r="B20" s="593"/>
      <c r="C20" s="652" t="s">
        <v>541</v>
      </c>
      <c r="D20" s="591"/>
      <c r="E20" s="595"/>
      <c r="F20" s="595"/>
      <c r="G20" s="596"/>
      <c r="H20" s="596"/>
      <c r="I20" s="596"/>
      <c r="J20" s="596"/>
      <c r="K20" s="596"/>
      <c r="L20" s="596"/>
      <c r="M20" s="596"/>
      <c r="N20" s="594"/>
    </row>
    <row r="21" spans="1:14">
      <c r="A21" s="665" t="s">
        <v>368</v>
      </c>
      <c r="B21" s="593"/>
      <c r="C21" s="653" t="s">
        <v>542</v>
      </c>
      <c r="D21" s="597"/>
      <c r="E21" s="676" t="s">
        <v>522</v>
      </c>
      <c r="F21" s="677">
        <v>28.081679999999999</v>
      </c>
      <c r="G21" s="681">
        <v>73082011</v>
      </c>
      <c r="H21" s="598" t="s">
        <v>480</v>
      </c>
      <c r="I21" s="599">
        <v>18</v>
      </c>
      <c r="J21" s="598" t="s">
        <v>480</v>
      </c>
      <c r="K21" s="600"/>
      <c r="L21" s="715">
        <f>IF( OR( J21="",J21="Confirmed"), I21*M21%, J21*M21%)</f>
        <v>1.8000000000000002E-3</v>
      </c>
      <c r="M21" s="601" t="str">
        <f>IF(K21=0,"0.01",K21*F21)</f>
        <v>0.01</v>
      </c>
      <c r="N21" s="594"/>
    </row>
    <row r="22" spans="1:14">
      <c r="A22" s="665" t="s">
        <v>371</v>
      </c>
      <c r="B22" s="593"/>
      <c r="C22" s="653" t="s">
        <v>543</v>
      </c>
      <c r="D22" s="597"/>
      <c r="E22" s="676" t="s">
        <v>522</v>
      </c>
      <c r="F22" s="677">
        <v>45.027911999999993</v>
      </c>
      <c r="G22" s="681">
        <v>73082011</v>
      </c>
      <c r="H22" s="598" t="s">
        <v>480</v>
      </c>
      <c r="I22" s="599">
        <v>18</v>
      </c>
      <c r="J22" s="598" t="s">
        <v>480</v>
      </c>
      <c r="K22" s="600"/>
      <c r="L22" s="715">
        <f t="shared" ref="L22:L69" si="0">IF( OR( J22="",J22="Confirmed"), I22*M22%, J22*M22%)</f>
        <v>1.8000000000000002E-3</v>
      </c>
      <c r="M22" s="601" t="str">
        <f t="shared" ref="M22:M69" si="1">IF(K22=0,"0.01",K22*F22)</f>
        <v>0.01</v>
      </c>
      <c r="N22" s="594"/>
    </row>
    <row r="23" spans="1:14" ht="84">
      <c r="A23" s="664">
        <v>1.2</v>
      </c>
      <c r="B23" s="593"/>
      <c r="C23" s="652" t="s">
        <v>544</v>
      </c>
      <c r="D23" s="591"/>
      <c r="E23" s="595"/>
      <c r="F23" s="595"/>
      <c r="G23" s="596"/>
      <c r="H23" s="596"/>
      <c r="I23" s="596"/>
      <c r="J23" s="596"/>
      <c r="K23" s="596"/>
      <c r="L23" s="716"/>
      <c r="M23" s="596"/>
      <c r="N23" s="594"/>
    </row>
    <row r="24" spans="1:14">
      <c r="A24" s="665" t="s">
        <v>368</v>
      </c>
      <c r="B24" s="593"/>
      <c r="C24" s="653" t="s">
        <v>542</v>
      </c>
      <c r="D24" s="597"/>
      <c r="E24" s="676" t="s">
        <v>522</v>
      </c>
      <c r="F24" s="677">
        <v>1.90496</v>
      </c>
      <c r="G24" s="681">
        <v>73082011</v>
      </c>
      <c r="H24" s="598" t="s">
        <v>480</v>
      </c>
      <c r="I24" s="599">
        <v>18</v>
      </c>
      <c r="J24" s="598" t="s">
        <v>480</v>
      </c>
      <c r="K24" s="600"/>
      <c r="L24" s="715">
        <f t="shared" si="0"/>
        <v>1.8000000000000002E-3</v>
      </c>
      <c r="M24" s="601" t="str">
        <f t="shared" si="1"/>
        <v>0.01</v>
      </c>
      <c r="N24" s="594"/>
    </row>
    <row r="25" spans="1:14">
      <c r="A25" s="665" t="s">
        <v>371</v>
      </c>
      <c r="B25" s="593"/>
      <c r="C25" s="653" t="s">
        <v>543</v>
      </c>
      <c r="D25" s="597"/>
      <c r="E25" s="676" t="s">
        <v>522</v>
      </c>
      <c r="F25" s="677">
        <v>0.1968</v>
      </c>
      <c r="G25" s="681">
        <v>73082011</v>
      </c>
      <c r="H25" s="598" t="s">
        <v>480</v>
      </c>
      <c r="I25" s="599">
        <v>18</v>
      </c>
      <c r="J25" s="598" t="s">
        <v>480</v>
      </c>
      <c r="K25" s="600"/>
      <c r="L25" s="715">
        <f t="shared" si="0"/>
        <v>1.8000000000000002E-3</v>
      </c>
      <c r="M25" s="601" t="str">
        <f t="shared" si="1"/>
        <v>0.01</v>
      </c>
      <c r="N25" s="594"/>
    </row>
    <row r="26" spans="1:14" ht="42">
      <c r="A26" s="664">
        <v>1.3</v>
      </c>
      <c r="B26" s="593"/>
      <c r="C26" s="652" t="s">
        <v>545</v>
      </c>
      <c r="D26" s="591"/>
      <c r="E26" s="595"/>
      <c r="F26" s="595"/>
      <c r="G26" s="596"/>
      <c r="H26" s="596"/>
      <c r="I26" s="596"/>
      <c r="J26" s="596"/>
      <c r="K26" s="596"/>
      <c r="L26" s="716"/>
      <c r="M26" s="596"/>
      <c r="N26" s="594"/>
    </row>
    <row r="27" spans="1:14" ht="42">
      <c r="A27" s="665" t="s">
        <v>368</v>
      </c>
      <c r="B27" s="593"/>
      <c r="C27" s="652" t="s">
        <v>546</v>
      </c>
      <c r="D27" s="597"/>
      <c r="E27" s="667" t="s">
        <v>522</v>
      </c>
      <c r="F27" s="677">
        <v>2.5253760000000001</v>
      </c>
      <c r="G27" s="681">
        <v>73181500</v>
      </c>
      <c r="H27" s="598" t="s">
        <v>480</v>
      </c>
      <c r="I27" s="599">
        <v>18</v>
      </c>
      <c r="J27" s="598" t="s">
        <v>480</v>
      </c>
      <c r="K27" s="600"/>
      <c r="L27" s="715">
        <f t="shared" si="0"/>
        <v>1.8000000000000002E-3</v>
      </c>
      <c r="M27" s="601" t="str">
        <f t="shared" si="1"/>
        <v>0.01</v>
      </c>
      <c r="N27" s="594"/>
    </row>
    <row r="28" spans="1:14">
      <c r="A28" s="665" t="s">
        <v>371</v>
      </c>
      <c r="B28" s="593"/>
      <c r="C28" s="653" t="s">
        <v>547</v>
      </c>
      <c r="D28" s="597"/>
      <c r="E28" s="676" t="s">
        <v>522</v>
      </c>
      <c r="F28" s="677">
        <v>4.1460000000000004E-2</v>
      </c>
      <c r="G28" s="681">
        <v>73181500</v>
      </c>
      <c r="H28" s="598" t="s">
        <v>480</v>
      </c>
      <c r="I28" s="599">
        <v>18</v>
      </c>
      <c r="J28" s="598" t="s">
        <v>480</v>
      </c>
      <c r="K28" s="600"/>
      <c r="L28" s="715">
        <f t="shared" si="0"/>
        <v>1.8000000000000002E-3</v>
      </c>
      <c r="M28" s="601" t="str">
        <f t="shared" si="1"/>
        <v>0.01</v>
      </c>
      <c r="N28" s="594"/>
    </row>
    <row r="29" spans="1:14">
      <c r="A29" s="663">
        <v>2</v>
      </c>
      <c r="B29" s="593"/>
      <c r="C29" s="651" t="s">
        <v>548</v>
      </c>
      <c r="D29" s="591"/>
      <c r="E29" s="595"/>
      <c r="F29" s="595"/>
      <c r="G29" s="596"/>
      <c r="H29" s="596"/>
      <c r="I29" s="596"/>
      <c r="J29" s="596"/>
      <c r="K29" s="596"/>
      <c r="L29" s="716"/>
      <c r="M29" s="596"/>
      <c r="N29" s="594"/>
    </row>
    <row r="30" spans="1:14">
      <c r="A30" s="664">
        <v>2.1</v>
      </c>
      <c r="B30" s="593"/>
      <c r="C30" s="654" t="s">
        <v>525</v>
      </c>
      <c r="D30" s="591"/>
      <c r="E30" s="595"/>
      <c r="F30" s="595"/>
      <c r="G30" s="596"/>
      <c r="H30" s="596"/>
      <c r="I30" s="596"/>
      <c r="J30" s="596"/>
      <c r="K30" s="596"/>
      <c r="L30" s="716"/>
      <c r="M30" s="596"/>
      <c r="N30" s="594"/>
    </row>
    <row r="31" spans="1:14">
      <c r="A31" s="665" t="s">
        <v>368</v>
      </c>
      <c r="B31" s="593"/>
      <c r="C31" s="653" t="s">
        <v>526</v>
      </c>
      <c r="D31" s="597"/>
      <c r="E31" s="665" t="s">
        <v>531</v>
      </c>
      <c r="F31" s="668">
        <v>4</v>
      </c>
      <c r="G31" s="681">
        <v>73082011</v>
      </c>
      <c r="H31" s="598" t="s">
        <v>480</v>
      </c>
      <c r="I31" s="599">
        <v>18</v>
      </c>
      <c r="J31" s="598" t="s">
        <v>480</v>
      </c>
      <c r="K31" s="600"/>
      <c r="L31" s="715">
        <f t="shared" si="0"/>
        <v>1.8000000000000002E-3</v>
      </c>
      <c r="M31" s="601" t="str">
        <f t="shared" si="1"/>
        <v>0.01</v>
      </c>
      <c r="N31" s="594"/>
    </row>
    <row r="32" spans="1:14">
      <c r="A32" s="666" t="s">
        <v>371</v>
      </c>
      <c r="B32" s="593"/>
      <c r="C32" s="655" t="s">
        <v>549</v>
      </c>
      <c r="D32" s="597"/>
      <c r="E32" s="666" t="s">
        <v>531</v>
      </c>
      <c r="F32" s="668">
        <v>4</v>
      </c>
      <c r="G32" s="681">
        <v>73082011</v>
      </c>
      <c r="H32" s="598" t="s">
        <v>480</v>
      </c>
      <c r="I32" s="599">
        <v>18</v>
      </c>
      <c r="J32" s="598" t="s">
        <v>480</v>
      </c>
      <c r="K32" s="600"/>
      <c r="L32" s="715">
        <f t="shared" si="0"/>
        <v>1.8000000000000002E-3</v>
      </c>
      <c r="M32" s="601" t="str">
        <f t="shared" si="1"/>
        <v>0.01</v>
      </c>
      <c r="N32" s="594"/>
    </row>
    <row r="33" spans="1:14">
      <c r="A33" s="665" t="s">
        <v>373</v>
      </c>
      <c r="B33" s="593"/>
      <c r="C33" s="653" t="s">
        <v>550</v>
      </c>
      <c r="D33" s="597"/>
      <c r="E33" s="665" t="s">
        <v>531</v>
      </c>
      <c r="F33" s="668">
        <v>1</v>
      </c>
      <c r="G33" s="681">
        <v>73082011</v>
      </c>
      <c r="H33" s="598" t="s">
        <v>480</v>
      </c>
      <c r="I33" s="599">
        <v>18</v>
      </c>
      <c r="J33" s="598" t="s">
        <v>480</v>
      </c>
      <c r="K33" s="600"/>
      <c r="L33" s="715">
        <f t="shared" si="0"/>
        <v>1.8000000000000002E-3</v>
      </c>
      <c r="M33" s="601" t="str">
        <f t="shared" si="1"/>
        <v>0.01</v>
      </c>
      <c r="N33" s="594"/>
    </row>
    <row r="34" spans="1:14" ht="84">
      <c r="A34" s="665" t="s">
        <v>374</v>
      </c>
      <c r="B34" s="593"/>
      <c r="C34" s="653" t="s">
        <v>551</v>
      </c>
      <c r="D34" s="597"/>
      <c r="E34" s="665" t="s">
        <v>530</v>
      </c>
      <c r="F34" s="668">
        <v>1</v>
      </c>
      <c r="G34" s="681">
        <v>73082011</v>
      </c>
      <c r="H34" s="598" t="s">
        <v>480</v>
      </c>
      <c r="I34" s="599">
        <v>18</v>
      </c>
      <c r="J34" s="598" t="s">
        <v>480</v>
      </c>
      <c r="K34" s="600"/>
      <c r="L34" s="715">
        <f t="shared" si="0"/>
        <v>1.8000000000000002E-3</v>
      </c>
      <c r="M34" s="601" t="str">
        <f t="shared" si="1"/>
        <v>0.01</v>
      </c>
      <c r="N34" s="594"/>
    </row>
    <row r="35" spans="1:14">
      <c r="A35" s="663">
        <v>3</v>
      </c>
      <c r="B35" s="593"/>
      <c r="C35" s="651" t="s">
        <v>552</v>
      </c>
      <c r="D35" s="591"/>
      <c r="E35" s="595"/>
      <c r="F35" s="595"/>
      <c r="G35" s="596"/>
      <c r="H35" s="596"/>
      <c r="I35" s="596"/>
      <c r="J35" s="596"/>
      <c r="K35" s="596"/>
      <c r="L35" s="716"/>
      <c r="M35" s="596"/>
      <c r="N35" s="594"/>
    </row>
    <row r="36" spans="1:14">
      <c r="A36" s="664">
        <v>3.1</v>
      </c>
      <c r="B36" s="593"/>
      <c r="C36" s="654" t="s">
        <v>553</v>
      </c>
      <c r="D36" s="591"/>
      <c r="E36" s="595"/>
      <c r="F36" s="595"/>
      <c r="G36" s="596"/>
      <c r="H36" s="596"/>
      <c r="I36" s="596"/>
      <c r="J36" s="596"/>
      <c r="K36" s="596"/>
      <c r="L36" s="716"/>
      <c r="M36" s="596"/>
      <c r="N36" s="594"/>
    </row>
    <row r="37" spans="1:14">
      <c r="A37" s="665" t="s">
        <v>368</v>
      </c>
      <c r="B37" s="593"/>
      <c r="C37" s="653" t="s">
        <v>527</v>
      </c>
      <c r="D37" s="597"/>
      <c r="E37" s="665" t="s">
        <v>531</v>
      </c>
      <c r="F37" s="668">
        <v>4</v>
      </c>
      <c r="G37" s="681">
        <v>73082011</v>
      </c>
      <c r="H37" s="598" t="s">
        <v>480</v>
      </c>
      <c r="I37" s="599">
        <v>18</v>
      </c>
      <c r="J37" s="598" t="s">
        <v>480</v>
      </c>
      <c r="K37" s="600"/>
      <c r="L37" s="715">
        <f t="shared" si="0"/>
        <v>1.8000000000000002E-3</v>
      </c>
      <c r="M37" s="601" t="str">
        <f t="shared" si="1"/>
        <v>0.01</v>
      </c>
      <c r="N37" s="594"/>
    </row>
    <row r="38" spans="1:14">
      <c r="A38" s="665" t="s">
        <v>371</v>
      </c>
      <c r="B38" s="593"/>
      <c r="C38" s="653" t="s">
        <v>528</v>
      </c>
      <c r="D38" s="597"/>
      <c r="E38" s="665" t="s">
        <v>531</v>
      </c>
      <c r="F38" s="668">
        <v>4</v>
      </c>
      <c r="G38" s="681">
        <v>73082011</v>
      </c>
      <c r="H38" s="598" t="s">
        <v>480</v>
      </c>
      <c r="I38" s="599">
        <v>18</v>
      </c>
      <c r="J38" s="598" t="s">
        <v>480</v>
      </c>
      <c r="K38" s="600"/>
      <c r="L38" s="715">
        <f t="shared" si="0"/>
        <v>1.8000000000000002E-3</v>
      </c>
      <c r="M38" s="601" t="str">
        <f t="shared" si="1"/>
        <v>0.01</v>
      </c>
      <c r="N38" s="594"/>
    </row>
    <row r="39" spans="1:14">
      <c r="A39" s="665" t="s">
        <v>373</v>
      </c>
      <c r="B39" s="593"/>
      <c r="C39" s="653" t="s">
        <v>554</v>
      </c>
      <c r="D39" s="597"/>
      <c r="E39" s="665" t="s">
        <v>584</v>
      </c>
      <c r="F39" s="668">
        <v>4</v>
      </c>
      <c r="G39" s="681">
        <v>73082011</v>
      </c>
      <c r="H39" s="598" t="s">
        <v>480</v>
      </c>
      <c r="I39" s="599">
        <v>18</v>
      </c>
      <c r="J39" s="598" t="s">
        <v>480</v>
      </c>
      <c r="K39" s="600"/>
      <c r="L39" s="715">
        <f t="shared" si="0"/>
        <v>1.8000000000000002E-3</v>
      </c>
      <c r="M39" s="601" t="str">
        <f t="shared" si="1"/>
        <v>0.01</v>
      </c>
      <c r="N39" s="594"/>
    </row>
    <row r="40" spans="1:14">
      <c r="A40" s="665" t="s">
        <v>374</v>
      </c>
      <c r="B40" s="593"/>
      <c r="C40" s="653" t="s">
        <v>536</v>
      </c>
      <c r="D40" s="597"/>
      <c r="E40" s="665" t="s">
        <v>531</v>
      </c>
      <c r="F40" s="668">
        <v>4</v>
      </c>
      <c r="G40" s="681">
        <v>73082011</v>
      </c>
      <c r="H40" s="598" t="s">
        <v>480</v>
      </c>
      <c r="I40" s="599">
        <v>18</v>
      </c>
      <c r="J40" s="598" t="s">
        <v>480</v>
      </c>
      <c r="K40" s="600"/>
      <c r="L40" s="715">
        <f t="shared" si="0"/>
        <v>1.8000000000000002E-3</v>
      </c>
      <c r="M40" s="601" t="str">
        <f t="shared" si="1"/>
        <v>0.01</v>
      </c>
      <c r="N40" s="594"/>
    </row>
    <row r="41" spans="1:14">
      <c r="A41" s="663">
        <v>4</v>
      </c>
      <c r="B41" s="593"/>
      <c r="C41" s="656" t="s">
        <v>555</v>
      </c>
      <c r="D41" s="591"/>
      <c r="E41" s="595"/>
      <c r="F41" s="595"/>
      <c r="G41" s="596"/>
      <c r="H41" s="596"/>
      <c r="I41" s="596"/>
      <c r="J41" s="596"/>
      <c r="K41" s="596"/>
      <c r="L41" s="716"/>
      <c r="M41" s="596"/>
      <c r="N41" s="594"/>
    </row>
    <row r="42" spans="1:14" ht="40.5">
      <c r="A42" s="664">
        <v>4.0999999999999996</v>
      </c>
      <c r="B42" s="593"/>
      <c r="C42" s="656" t="s">
        <v>556</v>
      </c>
      <c r="D42" s="591"/>
      <c r="E42" s="595"/>
      <c r="F42" s="595"/>
      <c r="G42" s="596"/>
      <c r="H42" s="596"/>
      <c r="I42" s="596"/>
      <c r="J42" s="596"/>
      <c r="K42" s="596"/>
      <c r="L42" s="716"/>
      <c r="M42" s="596"/>
      <c r="N42" s="594"/>
    </row>
    <row r="43" spans="1:14" ht="63">
      <c r="A43" s="667" t="s">
        <v>368</v>
      </c>
      <c r="B43" s="593"/>
      <c r="C43" s="652" t="s">
        <v>557</v>
      </c>
      <c r="D43" s="597"/>
      <c r="E43" s="667" t="s">
        <v>584</v>
      </c>
      <c r="F43" s="668">
        <v>6</v>
      </c>
      <c r="G43" s="681">
        <v>73082011</v>
      </c>
      <c r="H43" s="598" t="s">
        <v>480</v>
      </c>
      <c r="I43" s="599">
        <v>18</v>
      </c>
      <c r="J43" s="598" t="s">
        <v>480</v>
      </c>
      <c r="K43" s="600"/>
      <c r="L43" s="715">
        <f t="shared" si="0"/>
        <v>1.8000000000000002E-3</v>
      </c>
      <c r="M43" s="601" t="str">
        <f t="shared" si="1"/>
        <v>0.01</v>
      </c>
      <c r="N43" s="594"/>
    </row>
    <row r="44" spans="1:14" ht="42">
      <c r="A44" s="667" t="s">
        <v>371</v>
      </c>
      <c r="B44" s="593"/>
      <c r="C44" s="652" t="s">
        <v>558</v>
      </c>
      <c r="D44" s="597"/>
      <c r="E44" s="667" t="s">
        <v>584</v>
      </c>
      <c r="F44" s="668">
        <v>24</v>
      </c>
      <c r="G44" s="681">
        <v>73082011</v>
      </c>
      <c r="H44" s="598" t="s">
        <v>480</v>
      </c>
      <c r="I44" s="599">
        <v>18</v>
      </c>
      <c r="J44" s="598" t="s">
        <v>480</v>
      </c>
      <c r="K44" s="600"/>
      <c r="L44" s="715">
        <f t="shared" si="0"/>
        <v>1.8000000000000002E-3</v>
      </c>
      <c r="M44" s="601" t="str">
        <f t="shared" si="1"/>
        <v>0.01</v>
      </c>
      <c r="N44" s="594"/>
    </row>
    <row r="45" spans="1:14" ht="42">
      <c r="A45" s="667" t="s">
        <v>583</v>
      </c>
      <c r="B45" s="593"/>
      <c r="C45" s="652" t="s">
        <v>559</v>
      </c>
      <c r="D45" s="597"/>
      <c r="E45" s="678" t="s">
        <v>585</v>
      </c>
      <c r="F45" s="668">
        <v>24</v>
      </c>
      <c r="G45" s="681">
        <v>73082011</v>
      </c>
      <c r="H45" s="598" t="s">
        <v>480</v>
      </c>
      <c r="I45" s="599">
        <v>18</v>
      </c>
      <c r="J45" s="598" t="s">
        <v>480</v>
      </c>
      <c r="K45" s="600"/>
      <c r="L45" s="715">
        <f t="shared" si="0"/>
        <v>1.8000000000000002E-3</v>
      </c>
      <c r="M45" s="601" t="str">
        <f t="shared" si="1"/>
        <v>0.01</v>
      </c>
      <c r="N45" s="594"/>
    </row>
    <row r="46" spans="1:14">
      <c r="A46" s="663">
        <v>4.2</v>
      </c>
      <c r="B46" s="593"/>
      <c r="C46" s="656" t="s">
        <v>560</v>
      </c>
      <c r="D46" s="591"/>
      <c r="E46" s="595"/>
      <c r="F46" s="595"/>
      <c r="G46" s="596"/>
      <c r="H46" s="596"/>
      <c r="I46" s="596"/>
      <c r="J46" s="596"/>
      <c r="K46" s="596"/>
      <c r="L46" s="716"/>
      <c r="M46" s="596"/>
      <c r="N46" s="594"/>
    </row>
    <row r="47" spans="1:14">
      <c r="A47" s="668" t="s">
        <v>368</v>
      </c>
      <c r="B47" s="593"/>
      <c r="C47" s="657" t="s">
        <v>561</v>
      </c>
      <c r="D47" s="597"/>
      <c r="E47" s="667" t="s">
        <v>531</v>
      </c>
      <c r="F47" s="668">
        <v>3</v>
      </c>
      <c r="G47" s="681">
        <v>73082011</v>
      </c>
      <c r="H47" s="598" t="s">
        <v>480</v>
      </c>
      <c r="I47" s="599">
        <v>18</v>
      </c>
      <c r="J47" s="598" t="s">
        <v>480</v>
      </c>
      <c r="K47" s="600"/>
      <c r="L47" s="715">
        <f t="shared" si="0"/>
        <v>1.8000000000000002E-3</v>
      </c>
      <c r="M47" s="601" t="str">
        <f t="shared" si="1"/>
        <v>0.01</v>
      </c>
      <c r="N47" s="594"/>
    </row>
    <row r="48" spans="1:14">
      <c r="A48" s="668" t="s">
        <v>371</v>
      </c>
      <c r="B48" s="593"/>
      <c r="C48" s="657" t="s">
        <v>562</v>
      </c>
      <c r="D48" s="597"/>
      <c r="E48" s="667" t="s">
        <v>531</v>
      </c>
      <c r="F48" s="668">
        <v>5</v>
      </c>
      <c r="G48" s="681">
        <v>73082011</v>
      </c>
      <c r="H48" s="598" t="s">
        <v>480</v>
      </c>
      <c r="I48" s="599">
        <v>18</v>
      </c>
      <c r="J48" s="598" t="s">
        <v>480</v>
      </c>
      <c r="K48" s="600"/>
      <c r="L48" s="715">
        <f t="shared" si="0"/>
        <v>1.8000000000000002E-3</v>
      </c>
      <c r="M48" s="601" t="str">
        <f t="shared" si="1"/>
        <v>0.01</v>
      </c>
      <c r="N48" s="594"/>
    </row>
    <row r="49" spans="1:14">
      <c r="A49" s="667" t="s">
        <v>373</v>
      </c>
      <c r="B49" s="593"/>
      <c r="C49" s="657" t="s">
        <v>563</v>
      </c>
      <c r="D49" s="597"/>
      <c r="E49" s="667" t="s">
        <v>531</v>
      </c>
      <c r="F49" s="668">
        <v>120</v>
      </c>
      <c r="G49" s="682">
        <v>74082990</v>
      </c>
      <c r="H49" s="598" t="s">
        <v>480</v>
      </c>
      <c r="I49" s="599">
        <v>18</v>
      </c>
      <c r="J49" s="598" t="s">
        <v>480</v>
      </c>
      <c r="K49" s="600"/>
      <c r="L49" s="715">
        <f t="shared" si="0"/>
        <v>1.8000000000000002E-3</v>
      </c>
      <c r="M49" s="601" t="str">
        <f t="shared" si="1"/>
        <v>0.01</v>
      </c>
      <c r="N49" s="594"/>
    </row>
    <row r="50" spans="1:14" ht="42">
      <c r="A50" s="667" t="s">
        <v>374</v>
      </c>
      <c r="B50" s="593"/>
      <c r="C50" s="657" t="s">
        <v>564</v>
      </c>
      <c r="D50" s="597"/>
      <c r="E50" s="667" t="s">
        <v>531</v>
      </c>
      <c r="F50" s="668">
        <v>45</v>
      </c>
      <c r="G50" s="682">
        <v>74082990</v>
      </c>
      <c r="H50" s="598" t="s">
        <v>480</v>
      </c>
      <c r="I50" s="599">
        <v>18</v>
      </c>
      <c r="J50" s="598" t="s">
        <v>480</v>
      </c>
      <c r="K50" s="600"/>
      <c r="L50" s="715">
        <f t="shared" si="0"/>
        <v>1.8000000000000002E-3</v>
      </c>
      <c r="M50" s="601" t="str">
        <f t="shared" si="1"/>
        <v>0.01</v>
      </c>
      <c r="N50" s="594"/>
    </row>
    <row r="51" spans="1:14" ht="42">
      <c r="A51" s="669" t="s">
        <v>376</v>
      </c>
      <c r="B51" s="593"/>
      <c r="C51" s="657" t="s">
        <v>565</v>
      </c>
      <c r="D51" s="597"/>
      <c r="E51" s="667" t="s">
        <v>531</v>
      </c>
      <c r="F51" s="668">
        <v>36</v>
      </c>
      <c r="G51" s="682">
        <v>74082990</v>
      </c>
      <c r="H51" s="598" t="s">
        <v>480</v>
      </c>
      <c r="I51" s="599">
        <v>18</v>
      </c>
      <c r="J51" s="598" t="s">
        <v>480</v>
      </c>
      <c r="K51" s="600"/>
      <c r="L51" s="715">
        <f t="shared" si="0"/>
        <v>1.8000000000000002E-3</v>
      </c>
      <c r="M51" s="601" t="str">
        <f t="shared" si="1"/>
        <v>0.01</v>
      </c>
      <c r="N51" s="594"/>
    </row>
    <row r="52" spans="1:14">
      <c r="A52" s="663">
        <v>4.3</v>
      </c>
      <c r="B52" s="593"/>
      <c r="C52" s="656" t="s">
        <v>529</v>
      </c>
      <c r="D52" s="591"/>
      <c r="E52" s="595"/>
      <c r="F52" s="595"/>
      <c r="G52" s="596"/>
      <c r="H52" s="596"/>
      <c r="I52" s="596"/>
      <c r="J52" s="596"/>
      <c r="K52" s="596"/>
      <c r="L52" s="716"/>
      <c r="M52" s="596"/>
      <c r="N52" s="594"/>
    </row>
    <row r="53" spans="1:14">
      <c r="A53" s="668" t="s">
        <v>368</v>
      </c>
      <c r="B53" s="593"/>
      <c r="C53" s="657" t="s">
        <v>566</v>
      </c>
      <c r="D53" s="597"/>
      <c r="E53" s="667" t="s">
        <v>531</v>
      </c>
      <c r="F53" s="668">
        <v>1</v>
      </c>
      <c r="G53" s="681">
        <v>73082011</v>
      </c>
      <c r="H53" s="598" t="s">
        <v>480</v>
      </c>
      <c r="I53" s="599">
        <v>18</v>
      </c>
      <c r="J53" s="598" t="s">
        <v>480</v>
      </c>
      <c r="K53" s="600"/>
      <c r="L53" s="715">
        <f t="shared" si="0"/>
        <v>1.8000000000000002E-3</v>
      </c>
      <c r="M53" s="601" t="str">
        <f t="shared" si="1"/>
        <v>0.01</v>
      </c>
      <c r="N53" s="594"/>
    </row>
    <row r="54" spans="1:14">
      <c r="A54" s="668" t="s">
        <v>371</v>
      </c>
      <c r="B54" s="593"/>
      <c r="C54" s="657" t="s">
        <v>567</v>
      </c>
      <c r="D54" s="597"/>
      <c r="E54" s="667" t="s">
        <v>531</v>
      </c>
      <c r="F54" s="668">
        <v>20</v>
      </c>
      <c r="G54" s="682">
        <v>74082990</v>
      </c>
      <c r="H54" s="598" t="s">
        <v>480</v>
      </c>
      <c r="I54" s="599">
        <v>18</v>
      </c>
      <c r="J54" s="598" t="s">
        <v>480</v>
      </c>
      <c r="K54" s="600"/>
      <c r="L54" s="715">
        <f t="shared" si="0"/>
        <v>1.8000000000000002E-3</v>
      </c>
      <c r="M54" s="601" t="str">
        <f t="shared" si="1"/>
        <v>0.01</v>
      </c>
      <c r="N54" s="594"/>
    </row>
    <row r="55" spans="1:14">
      <c r="A55" s="667" t="s">
        <v>373</v>
      </c>
      <c r="B55" s="593"/>
      <c r="C55" s="657" t="s">
        <v>568</v>
      </c>
      <c r="D55" s="597"/>
      <c r="E55" s="667" t="s">
        <v>531</v>
      </c>
      <c r="F55" s="668">
        <v>40</v>
      </c>
      <c r="G55" s="681">
        <v>73082011</v>
      </c>
      <c r="H55" s="598" t="s">
        <v>480</v>
      </c>
      <c r="I55" s="599">
        <v>18</v>
      </c>
      <c r="J55" s="598" t="s">
        <v>480</v>
      </c>
      <c r="K55" s="600"/>
      <c r="L55" s="715">
        <f t="shared" si="0"/>
        <v>1.8000000000000002E-3</v>
      </c>
      <c r="M55" s="601" t="str">
        <f t="shared" si="1"/>
        <v>0.01</v>
      </c>
      <c r="N55" s="594"/>
    </row>
    <row r="56" spans="1:14">
      <c r="A56" s="669" t="s">
        <v>374</v>
      </c>
      <c r="B56" s="593"/>
      <c r="C56" s="657" t="s">
        <v>569</v>
      </c>
      <c r="D56" s="597"/>
      <c r="E56" s="667" t="s">
        <v>531</v>
      </c>
      <c r="F56" s="668">
        <v>16</v>
      </c>
      <c r="G56" s="681">
        <v>73082011</v>
      </c>
      <c r="H56" s="598" t="s">
        <v>480</v>
      </c>
      <c r="I56" s="599">
        <v>18</v>
      </c>
      <c r="J56" s="598" t="s">
        <v>480</v>
      </c>
      <c r="K56" s="600"/>
      <c r="L56" s="715">
        <f t="shared" si="0"/>
        <v>1.8000000000000002E-3</v>
      </c>
      <c r="M56" s="601" t="str">
        <f t="shared" si="1"/>
        <v>0.01</v>
      </c>
      <c r="N56" s="594"/>
    </row>
    <row r="57" spans="1:14">
      <c r="A57" s="670">
        <v>5</v>
      </c>
      <c r="B57" s="593"/>
      <c r="C57" s="658" t="s">
        <v>570</v>
      </c>
      <c r="D57" s="591"/>
      <c r="E57" s="595"/>
      <c r="F57" s="595"/>
      <c r="G57" s="596"/>
      <c r="H57" s="596"/>
      <c r="I57" s="596"/>
      <c r="J57" s="596"/>
      <c r="K57" s="596"/>
      <c r="L57" s="716"/>
      <c r="M57" s="596"/>
      <c r="N57" s="594"/>
    </row>
    <row r="58" spans="1:14">
      <c r="A58" s="671" t="s">
        <v>368</v>
      </c>
      <c r="B58" s="593"/>
      <c r="C58" s="659" t="s">
        <v>571</v>
      </c>
      <c r="D58" s="597"/>
      <c r="E58" s="679" t="s">
        <v>521</v>
      </c>
      <c r="F58" s="677">
        <v>0.89485999999999999</v>
      </c>
      <c r="G58" s="681">
        <v>85447090</v>
      </c>
      <c r="H58" s="598" t="s">
        <v>480</v>
      </c>
      <c r="I58" s="599">
        <v>18</v>
      </c>
      <c r="J58" s="598" t="s">
        <v>480</v>
      </c>
      <c r="K58" s="600"/>
      <c r="L58" s="715">
        <f t="shared" si="0"/>
        <v>1.8000000000000002E-3</v>
      </c>
      <c r="M58" s="601" t="str">
        <f t="shared" si="1"/>
        <v>0.01</v>
      </c>
      <c r="N58" s="594"/>
    </row>
    <row r="59" spans="1:14">
      <c r="A59" s="671" t="s">
        <v>371</v>
      </c>
      <c r="B59" s="593"/>
      <c r="C59" s="659" t="s">
        <v>572</v>
      </c>
      <c r="D59" s="597"/>
      <c r="E59" s="679" t="s">
        <v>586</v>
      </c>
      <c r="F59" s="668">
        <v>1</v>
      </c>
      <c r="G59" s="681">
        <v>82057000</v>
      </c>
      <c r="H59" s="598" t="s">
        <v>480</v>
      </c>
      <c r="I59" s="599">
        <v>18</v>
      </c>
      <c r="J59" s="598" t="s">
        <v>480</v>
      </c>
      <c r="K59" s="600"/>
      <c r="L59" s="715">
        <f t="shared" si="0"/>
        <v>1.8000000000000002E-3</v>
      </c>
      <c r="M59" s="601" t="str">
        <f t="shared" si="1"/>
        <v>0.01</v>
      </c>
      <c r="N59" s="594"/>
    </row>
    <row r="60" spans="1:14">
      <c r="A60" s="672" t="s">
        <v>373</v>
      </c>
      <c r="B60" s="593"/>
      <c r="C60" s="659" t="s">
        <v>573</v>
      </c>
      <c r="D60" s="597"/>
      <c r="E60" s="679" t="s">
        <v>586</v>
      </c>
      <c r="F60" s="668">
        <v>2</v>
      </c>
      <c r="G60" s="681">
        <v>82057000</v>
      </c>
      <c r="H60" s="598" t="s">
        <v>480</v>
      </c>
      <c r="I60" s="599">
        <v>18</v>
      </c>
      <c r="J60" s="598" t="s">
        <v>480</v>
      </c>
      <c r="K60" s="600"/>
      <c r="L60" s="715">
        <f t="shared" si="0"/>
        <v>1.8000000000000002E-3</v>
      </c>
      <c r="M60" s="601" t="str">
        <f t="shared" si="1"/>
        <v>0.01</v>
      </c>
      <c r="N60" s="594"/>
    </row>
    <row r="61" spans="1:14" ht="42">
      <c r="A61" s="672" t="s">
        <v>374</v>
      </c>
      <c r="B61" s="593"/>
      <c r="C61" s="660" t="s">
        <v>574</v>
      </c>
      <c r="D61" s="597"/>
      <c r="E61" s="680" t="s">
        <v>586</v>
      </c>
      <c r="F61" s="668">
        <v>2</v>
      </c>
      <c r="G61" s="681">
        <v>82057000</v>
      </c>
      <c r="H61" s="598" t="s">
        <v>480</v>
      </c>
      <c r="I61" s="599">
        <v>18</v>
      </c>
      <c r="J61" s="598" t="s">
        <v>480</v>
      </c>
      <c r="K61" s="600"/>
      <c r="L61" s="715">
        <f t="shared" si="0"/>
        <v>1.8000000000000002E-3</v>
      </c>
      <c r="M61" s="601" t="str">
        <f t="shared" si="1"/>
        <v>0.01</v>
      </c>
      <c r="N61" s="594"/>
    </row>
    <row r="62" spans="1:14">
      <c r="A62" s="671" t="s">
        <v>376</v>
      </c>
      <c r="B62" s="593"/>
      <c r="C62" s="659" t="s">
        <v>575</v>
      </c>
      <c r="D62" s="597"/>
      <c r="E62" s="679" t="s">
        <v>586</v>
      </c>
      <c r="F62" s="668">
        <v>16</v>
      </c>
      <c r="G62" s="681">
        <v>82057000</v>
      </c>
      <c r="H62" s="598" t="s">
        <v>480</v>
      </c>
      <c r="I62" s="599">
        <v>18</v>
      </c>
      <c r="J62" s="598" t="s">
        <v>480</v>
      </c>
      <c r="K62" s="600"/>
      <c r="L62" s="715">
        <f t="shared" si="0"/>
        <v>1.8000000000000002E-3</v>
      </c>
      <c r="M62" s="601" t="str">
        <f t="shared" si="1"/>
        <v>0.01</v>
      </c>
      <c r="N62" s="594"/>
    </row>
    <row r="63" spans="1:14">
      <c r="A63" s="671" t="s">
        <v>378</v>
      </c>
      <c r="B63" s="593"/>
      <c r="C63" s="659" t="s">
        <v>576</v>
      </c>
      <c r="D63" s="597"/>
      <c r="E63" s="679" t="s">
        <v>586</v>
      </c>
      <c r="F63" s="668">
        <v>74</v>
      </c>
      <c r="G63" s="681">
        <v>82057000</v>
      </c>
      <c r="H63" s="598" t="s">
        <v>480</v>
      </c>
      <c r="I63" s="599">
        <v>18</v>
      </c>
      <c r="J63" s="598" t="s">
        <v>480</v>
      </c>
      <c r="K63" s="600"/>
      <c r="L63" s="715">
        <f t="shared" si="0"/>
        <v>1.8000000000000002E-3</v>
      </c>
      <c r="M63" s="601" t="str">
        <f t="shared" si="1"/>
        <v>0.01</v>
      </c>
      <c r="N63" s="594"/>
    </row>
    <row r="64" spans="1:14">
      <c r="A64" s="671" t="s">
        <v>380</v>
      </c>
      <c r="B64" s="593"/>
      <c r="C64" s="659" t="s">
        <v>577</v>
      </c>
      <c r="D64" s="597"/>
      <c r="E64" s="679" t="s">
        <v>586</v>
      </c>
      <c r="F64" s="668">
        <v>2</v>
      </c>
      <c r="G64" s="681">
        <v>85353090</v>
      </c>
      <c r="H64" s="598" t="s">
        <v>480</v>
      </c>
      <c r="I64" s="599">
        <v>18</v>
      </c>
      <c r="J64" s="598" t="s">
        <v>480</v>
      </c>
      <c r="K64" s="600"/>
      <c r="L64" s="715">
        <f t="shared" si="0"/>
        <v>1.8000000000000002E-3</v>
      </c>
      <c r="M64" s="601" t="str">
        <f t="shared" si="1"/>
        <v>0.01</v>
      </c>
      <c r="N64" s="594"/>
    </row>
    <row r="65" spans="1:17" ht="40.5">
      <c r="A65" s="673">
        <v>6</v>
      </c>
      <c r="B65" s="593"/>
      <c r="C65" s="661" t="s">
        <v>578</v>
      </c>
      <c r="D65" s="597"/>
      <c r="E65" s="667" t="s">
        <v>587</v>
      </c>
      <c r="F65" s="677">
        <v>0.89485999999999999</v>
      </c>
      <c r="G65" s="681">
        <v>73121020</v>
      </c>
      <c r="H65" s="598" t="s">
        <v>480</v>
      </c>
      <c r="I65" s="599">
        <v>18</v>
      </c>
      <c r="J65" s="598" t="s">
        <v>480</v>
      </c>
      <c r="K65" s="600"/>
      <c r="L65" s="715">
        <f t="shared" si="0"/>
        <v>1.8000000000000002E-3</v>
      </c>
      <c r="M65" s="601" t="str">
        <f t="shared" si="1"/>
        <v>0.01</v>
      </c>
      <c r="N65" s="594"/>
    </row>
    <row r="66" spans="1:17">
      <c r="A66" s="673">
        <v>7</v>
      </c>
      <c r="B66" s="593"/>
      <c r="C66" s="661" t="s">
        <v>579</v>
      </c>
      <c r="D66" s="597"/>
      <c r="E66" s="667" t="s">
        <v>587</v>
      </c>
      <c r="F66" s="677">
        <v>5.3691599999999999</v>
      </c>
      <c r="G66" s="681">
        <v>76141000</v>
      </c>
      <c r="H66" s="598" t="s">
        <v>480</v>
      </c>
      <c r="I66" s="599">
        <v>18</v>
      </c>
      <c r="J66" s="598" t="s">
        <v>480</v>
      </c>
      <c r="K66" s="600"/>
      <c r="L66" s="715">
        <f t="shared" si="0"/>
        <v>1.8000000000000002E-3</v>
      </c>
      <c r="M66" s="601" t="str">
        <f t="shared" si="1"/>
        <v>0.01</v>
      </c>
      <c r="N66" s="594"/>
    </row>
    <row r="67" spans="1:17">
      <c r="A67" s="674">
        <v>8</v>
      </c>
      <c r="B67" s="593"/>
      <c r="C67" s="661" t="s">
        <v>580</v>
      </c>
      <c r="D67" s="591"/>
      <c r="E67" s="595"/>
      <c r="F67" s="595"/>
      <c r="G67" s="596"/>
      <c r="H67" s="596"/>
      <c r="I67" s="596"/>
      <c r="J67" s="596"/>
      <c r="K67" s="596"/>
      <c r="L67" s="716"/>
      <c r="M67" s="596"/>
      <c r="N67" s="594"/>
    </row>
    <row r="68" spans="1:17" ht="63">
      <c r="A68" s="668" t="s">
        <v>368</v>
      </c>
      <c r="B68" s="593"/>
      <c r="C68" s="660" t="s">
        <v>581</v>
      </c>
      <c r="D68" s="597"/>
      <c r="E68" s="667" t="s">
        <v>531</v>
      </c>
      <c r="F68" s="667">
        <v>6</v>
      </c>
      <c r="G68" s="682">
        <v>85462029</v>
      </c>
      <c r="H68" s="598" t="s">
        <v>480</v>
      </c>
      <c r="I68" s="599">
        <v>18</v>
      </c>
      <c r="J68" s="598" t="s">
        <v>480</v>
      </c>
      <c r="K68" s="600"/>
      <c r="L68" s="715">
        <f t="shared" si="0"/>
        <v>1.8000000000000002E-3</v>
      </c>
      <c r="M68" s="601" t="str">
        <f t="shared" si="1"/>
        <v>0.01</v>
      </c>
      <c r="N68" s="594"/>
    </row>
    <row r="69" spans="1:17" ht="42">
      <c r="A69" s="668" t="s">
        <v>371</v>
      </c>
      <c r="B69" s="593"/>
      <c r="C69" s="660" t="s">
        <v>582</v>
      </c>
      <c r="D69" s="597"/>
      <c r="E69" s="667" t="s">
        <v>531</v>
      </c>
      <c r="F69" s="668">
        <v>49</v>
      </c>
      <c r="G69" s="682">
        <v>85462029</v>
      </c>
      <c r="H69" s="598" t="s">
        <v>480</v>
      </c>
      <c r="I69" s="599">
        <v>18</v>
      </c>
      <c r="J69" s="598" t="s">
        <v>480</v>
      </c>
      <c r="K69" s="600"/>
      <c r="L69" s="715">
        <f t="shared" si="0"/>
        <v>1.8000000000000002E-3</v>
      </c>
      <c r="M69" s="601" t="str">
        <f t="shared" si="1"/>
        <v>0.01</v>
      </c>
      <c r="N69" s="594"/>
    </row>
    <row r="70" spans="1:17" ht="51.75" customHeight="1">
      <c r="A70" s="593"/>
      <c r="B70" s="593"/>
      <c r="C70" s="763" t="s">
        <v>512</v>
      </c>
      <c r="D70" s="764"/>
      <c r="E70" s="764"/>
      <c r="F70" s="764"/>
      <c r="G70" s="764"/>
      <c r="H70" s="764"/>
      <c r="I70" s="764"/>
      <c r="J70" s="764"/>
      <c r="K70" s="765"/>
      <c r="L70" s="603">
        <f>SUM(L18:L69)</f>
        <v>6.6600000000000034E-2</v>
      </c>
      <c r="M70" s="604">
        <f>SUM(M18:M69)</f>
        <v>0</v>
      </c>
      <c r="N70" s="597"/>
    </row>
    <row r="71" spans="1:17" ht="41.25" hidden="1" customHeight="1">
      <c r="A71" s="605" t="s">
        <v>507</v>
      </c>
      <c r="B71" s="596"/>
      <c r="C71" s="606" t="s">
        <v>506</v>
      </c>
      <c r="D71" s="607"/>
      <c r="E71" s="602"/>
      <c r="F71" s="602"/>
      <c r="G71" s="602"/>
      <c r="H71" s="602"/>
      <c r="I71" s="602"/>
      <c r="J71" s="602"/>
      <c r="K71" s="602"/>
      <c r="L71" s="608"/>
      <c r="M71" s="609"/>
      <c r="N71" s="597"/>
    </row>
    <row r="72" spans="1:17" ht="117" hidden="1" customHeight="1">
      <c r="A72" s="593">
        <v>1</v>
      </c>
      <c r="B72" s="593"/>
      <c r="C72" s="610" t="s">
        <v>505</v>
      </c>
      <c r="D72" s="597"/>
      <c r="E72" s="611" t="s">
        <v>188</v>
      </c>
      <c r="F72" s="611">
        <v>176</v>
      </c>
      <c r="G72" s="602">
        <v>85389000</v>
      </c>
      <c r="H72" s="612" t="s">
        <v>480</v>
      </c>
      <c r="I72" s="613">
        <v>18</v>
      </c>
      <c r="J72" s="612" t="s">
        <v>480</v>
      </c>
      <c r="K72" s="597"/>
      <c r="L72" s="608">
        <f>IF( OR( J72="",J72="Confirmed"), I72*M72%, J72*M72%)</f>
        <v>1.8000000000000002E-3</v>
      </c>
      <c r="M72" s="609" t="str">
        <f>IF(K72=0,"0.01",K72*F72)</f>
        <v>0.01</v>
      </c>
      <c r="N72" s="597"/>
    </row>
    <row r="73" spans="1:17" ht="29.25" hidden="1" customHeight="1">
      <c r="A73" s="614"/>
      <c r="B73" s="615"/>
      <c r="C73" s="616"/>
      <c r="D73" s="616"/>
      <c r="E73" s="602" t="s">
        <v>502</v>
      </c>
      <c r="F73" s="602"/>
      <c r="G73" s="588"/>
      <c r="H73" s="590"/>
      <c r="I73" s="590"/>
      <c r="J73" s="590"/>
      <c r="K73" s="588"/>
      <c r="L73" s="588" t="e">
        <f>+SUM(#REF!)</f>
        <v>#REF!</v>
      </c>
      <c r="M73" s="604" t="e">
        <f>+SUM(#REF!)</f>
        <v>#REF!</v>
      </c>
      <c r="N73" s="597"/>
    </row>
    <row r="74" spans="1:17" ht="30.75" hidden="1" customHeight="1">
      <c r="A74" s="617"/>
      <c r="B74" s="618"/>
      <c r="C74" s="769" t="s">
        <v>508</v>
      </c>
      <c r="D74" s="770"/>
      <c r="E74" s="770"/>
      <c r="F74" s="770"/>
      <c r="G74" s="770"/>
      <c r="H74" s="770"/>
      <c r="I74" s="770"/>
      <c r="J74" s="770"/>
      <c r="K74" s="771"/>
      <c r="L74" s="603">
        <f>SUM(L72)</f>
        <v>1.8000000000000002E-3</v>
      </c>
      <c r="M74" s="604">
        <f>SUM(M72)</f>
        <v>0</v>
      </c>
      <c r="N74" s="619"/>
    </row>
    <row r="75" spans="1:17" ht="13.9" customHeight="1">
      <c r="A75" s="620"/>
      <c r="B75" s="620"/>
      <c r="C75" s="621"/>
      <c r="D75" s="621"/>
      <c r="E75" s="622"/>
      <c r="F75" s="622"/>
      <c r="G75" s="623"/>
      <c r="H75" s="624"/>
      <c r="I75" s="624"/>
      <c r="J75" s="624"/>
      <c r="K75" s="625"/>
      <c r="L75" s="625"/>
      <c r="M75" s="626"/>
      <c r="N75" s="627"/>
    </row>
    <row r="76" spans="1:17" ht="16.149999999999999" hidden="1" customHeight="1">
      <c r="G76" s="766"/>
      <c r="H76" s="766"/>
      <c r="I76" s="766"/>
      <c r="J76" s="766"/>
      <c r="K76" s="766"/>
      <c r="L76" s="766"/>
      <c r="M76" s="766"/>
      <c r="N76" s="766"/>
      <c r="O76" s="628"/>
    </row>
    <row r="77" spans="1:17" ht="32.25" customHeight="1">
      <c r="A77" s="585" t="s">
        <v>461</v>
      </c>
      <c r="B77" s="575"/>
      <c r="C77" s="629"/>
      <c r="D77" s="629"/>
      <c r="G77" s="630"/>
      <c r="H77" s="631"/>
      <c r="I77" s="631"/>
      <c r="J77" s="631"/>
      <c r="K77" s="631"/>
      <c r="L77" s="631"/>
      <c r="M77" s="631"/>
      <c r="N77" s="631"/>
    </row>
    <row r="78" spans="1:17" ht="43.15" customHeight="1">
      <c r="A78" s="768" t="s">
        <v>460</v>
      </c>
      <c r="B78" s="768"/>
      <c r="C78" s="768"/>
      <c r="D78" s="768"/>
      <c r="E78" s="768"/>
      <c r="F78" s="768"/>
      <c r="G78" s="768"/>
      <c r="H78" s="768"/>
      <c r="I78" s="768"/>
      <c r="J78" s="768"/>
      <c r="K78" s="768"/>
      <c r="L78" s="768"/>
      <c r="M78" s="768"/>
      <c r="N78" s="585"/>
      <c r="O78" s="632"/>
      <c r="P78" s="632"/>
      <c r="Q78" s="632"/>
    </row>
    <row r="79" spans="1:17" ht="33.6" customHeight="1">
      <c r="A79" s="575"/>
      <c r="B79" s="575"/>
      <c r="C79" s="575"/>
      <c r="D79" s="630"/>
      <c r="G79" s="576"/>
      <c r="H79" s="633"/>
      <c r="I79" s="633"/>
      <c r="J79" s="633"/>
      <c r="K79" s="633"/>
      <c r="L79" s="633"/>
      <c r="M79" s="633"/>
      <c r="N79" s="633"/>
      <c r="O79" s="632"/>
      <c r="P79" s="632"/>
      <c r="Q79" s="632"/>
    </row>
    <row r="80" spans="1:17" ht="33.6" customHeight="1">
      <c r="A80" s="634" t="s">
        <v>503</v>
      </c>
      <c r="B80" s="635" t="e">
        <f>+#REF!</f>
        <v>#REF!</v>
      </c>
      <c r="C80" s="636"/>
      <c r="D80" s="637"/>
      <c r="G80" s="635"/>
      <c r="H80" s="638"/>
      <c r="I80" s="638"/>
      <c r="J80" s="638"/>
      <c r="L80" s="639" t="s">
        <v>229</v>
      </c>
      <c r="M80" s="640" t="str">
        <f>IF('Names of Bidder'!D18=0, "", 'Names of Bidder'!D18D18)</f>
        <v/>
      </c>
      <c r="N80" s="641"/>
      <c r="O80" s="632"/>
      <c r="P80" s="632"/>
      <c r="Q80" s="632"/>
    </row>
    <row r="81" spans="1:17" ht="33.6" customHeight="1">
      <c r="A81" s="634" t="s">
        <v>121</v>
      </c>
      <c r="B81" s="635" t="e">
        <f>+#REF!</f>
        <v>#REF!</v>
      </c>
      <c r="C81" s="636"/>
      <c r="D81" s="637"/>
      <c r="G81" s="635"/>
      <c r="H81" s="638"/>
      <c r="I81" s="638"/>
      <c r="J81" s="638"/>
      <c r="L81" s="639" t="s">
        <v>230</v>
      </c>
      <c r="M81" s="767" t="str">
        <f>IF('Names of Bidder'!D19=0, "", 'Names of Bidder'!D19)</f>
        <v/>
      </c>
      <c r="N81" s="767"/>
      <c r="O81" s="632"/>
      <c r="P81" s="632"/>
      <c r="Q81" s="632"/>
    </row>
    <row r="82" spans="1:17" ht="33.6" customHeight="1">
      <c r="H82" s="642"/>
      <c r="I82" s="642"/>
      <c r="J82" s="642"/>
      <c r="K82" s="632"/>
      <c r="L82" s="632"/>
      <c r="M82" s="643" t="e">
        <f>SUMIF(#REF!,"Bought Out",#REF!)</f>
        <v>#REF!</v>
      </c>
      <c r="N82" s="644"/>
      <c r="O82" s="632"/>
      <c r="P82" s="632"/>
      <c r="Q82" s="632"/>
    </row>
    <row r="83" spans="1:17">
      <c r="K83" s="632"/>
      <c r="L83" s="632"/>
      <c r="M83" s="632"/>
      <c r="N83" s="632"/>
      <c r="O83" s="632"/>
      <c r="P83" s="632"/>
      <c r="Q83" s="632"/>
    </row>
    <row r="84" spans="1:17">
      <c r="K84" s="632"/>
      <c r="L84" s="632"/>
      <c r="M84" s="632"/>
      <c r="N84" s="632"/>
      <c r="O84" s="632"/>
      <c r="P84" s="632"/>
      <c r="Q84" s="632"/>
    </row>
    <row r="85" spans="1:17">
      <c r="K85" s="632"/>
      <c r="L85" s="632"/>
      <c r="M85" s="632"/>
      <c r="N85" s="632"/>
      <c r="O85" s="632"/>
      <c r="P85" s="632"/>
      <c r="Q85" s="632"/>
    </row>
    <row r="86" spans="1:17">
      <c r="K86" s="632"/>
      <c r="L86" s="632"/>
      <c r="M86" s="632"/>
      <c r="N86" s="632"/>
      <c r="O86" s="632"/>
      <c r="P86" s="632"/>
      <c r="Q86" s="632"/>
    </row>
    <row r="87" spans="1:17">
      <c r="K87" s="632"/>
      <c r="L87" s="632"/>
      <c r="M87" s="632"/>
      <c r="N87" s="632"/>
      <c r="O87" s="632"/>
      <c r="P87" s="632"/>
      <c r="Q87" s="632"/>
    </row>
    <row r="88" spans="1:17">
      <c r="K88" s="632"/>
      <c r="L88" s="632"/>
      <c r="M88" s="632"/>
      <c r="N88" s="632"/>
      <c r="O88" s="632"/>
      <c r="P88" s="632"/>
      <c r="Q88" s="632"/>
    </row>
    <row r="89" spans="1:17">
      <c r="K89" s="632"/>
      <c r="L89" s="632"/>
      <c r="M89" s="632"/>
      <c r="N89" s="632"/>
      <c r="O89" s="632"/>
      <c r="P89" s="632"/>
      <c r="Q89" s="632"/>
    </row>
    <row r="90" spans="1:17">
      <c r="K90" s="632"/>
      <c r="L90" s="632"/>
      <c r="M90" s="632"/>
      <c r="N90" s="632"/>
      <c r="O90" s="632"/>
      <c r="P90" s="632"/>
      <c r="Q90" s="632"/>
    </row>
    <row r="91" spans="1:17">
      <c r="K91" s="632"/>
      <c r="L91" s="632"/>
      <c r="M91" s="632"/>
      <c r="N91" s="632"/>
      <c r="O91" s="632"/>
      <c r="P91" s="632"/>
      <c r="Q91" s="632"/>
    </row>
    <row r="92" spans="1:17">
      <c r="K92" s="632"/>
      <c r="L92" s="632"/>
      <c r="M92" s="632"/>
      <c r="N92" s="632"/>
      <c r="O92" s="632"/>
      <c r="P92" s="632"/>
      <c r="Q92" s="632"/>
    </row>
    <row r="93" spans="1:17">
      <c r="K93" s="632"/>
      <c r="L93" s="632"/>
      <c r="M93" s="632"/>
      <c r="N93" s="632"/>
      <c r="O93" s="632"/>
      <c r="P93" s="632"/>
      <c r="Q93" s="632"/>
    </row>
  </sheetData>
  <sheetProtection algorithmName="SHA-512" hashValue="3p2TmtdtIyt2oLVifUMAvRizAHy12n/ofLeJiTw/Bd0P39QN9Lv+ZqsK6HuzmM2PXLxsmbp6IJbqqAFF9ZwX3A==" saltValue="pM91lprMO4AKKrbsWw49nA==" spinCount="100000" sheet="1" formatColumns="0" formatRows="0" selectLockedCells="1"/>
  <customSheetViews>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2"/>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3"/>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4"/>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6"/>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 guid="{08A645C4-A23F-4400-B0CE-1685BC312A6F}" printArea="1" hiddenRows="1" hiddenColumns="1" topLeftCell="A26">
      <selection activeCell="F19" sqref="F19"/>
      <colBreaks count="1" manualBreakCount="1">
        <brk id="8" max="1048575" man="1"/>
      </colBreaks>
      <pageMargins left="0.511811023622047" right="0.26" top="0.48" bottom="0.54" header="0.25" footer="0.27"/>
      <printOptions horizontalCentered="1"/>
      <pageSetup paperSize="9" scale="88" orientation="portrait" horizontalDpi="300" verticalDpi="300" r:id="rId9"/>
      <headerFooter alignWithMargins="0">
        <oddFooter>&amp;R&amp;"Book Antiqua,Bold"&amp;10Schedule-1/ Page &amp;P of &amp;N</oddFooter>
      </headerFooter>
    </customSheetView>
  </customSheetViews>
  <mergeCells count="16">
    <mergeCell ref="G8:J8"/>
    <mergeCell ref="C18:M18"/>
    <mergeCell ref="A3:N3"/>
    <mergeCell ref="A4:N4"/>
    <mergeCell ref="G9:J9"/>
    <mergeCell ref="G10:J10"/>
    <mergeCell ref="G11:J11"/>
    <mergeCell ref="C8:F8"/>
    <mergeCell ref="C9:F9"/>
    <mergeCell ref="C10:F10"/>
    <mergeCell ref="C11:F11"/>
    <mergeCell ref="C70:K70"/>
    <mergeCell ref="G76:N76"/>
    <mergeCell ref="M81:N81"/>
    <mergeCell ref="A78:M78"/>
    <mergeCell ref="C74:K74"/>
  </mergeCells>
  <phoneticPr fontId="3" type="noConversion"/>
  <dataValidations xWindow="482" yWindow="355" count="3">
    <dataValidation type="list" allowBlank="1" showInputMessage="1" showErrorMessage="1" sqref="J71:J72 J19:J69" xr:uid="{00000000-0002-0000-0400-000000000000}">
      <formula1>"Confirmed, 0,5,12,18,28"</formula1>
    </dataValidation>
    <dataValidation operator="greaterThan" allowBlank="1" showInputMessage="1" showErrorMessage="1" sqref="K71:K72 L70:L72 K19:L69" xr:uid="{00000000-0002-0000-0400-000001000000}"/>
    <dataValidation type="list" allowBlank="1" showInputMessage="1" showErrorMessage="1" sqref="N18:N73" xr:uid="{00000000-0002-0000-0400-000002000000}">
      <formula1>"Direct,Bought Out"</formula1>
    </dataValidation>
  </dataValidations>
  <printOptions horizontalCentered="1"/>
  <pageMargins left="0.51181102362204722" right="0.27559055118110237" top="0.39370078740157483" bottom="0.43307086614173229" header="0.23622047244094491" footer="0.27559055118110237"/>
  <pageSetup paperSize="9" scale="55" orientation="landscape" horizontalDpi="300" verticalDpi="300" r:id="rId10"/>
  <headerFooter alignWithMargins="0">
    <oddFooter>&amp;R&amp;"Book Antiqua,Bold"&amp;10Schedule-1/ Page &amp;P of &amp;N</oddFooter>
  </headerFooter>
  <colBreaks count="1" manualBreakCount="1">
    <brk id="14" max="1048575" man="1"/>
  </colBreaks>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1"/>
  </sheetPr>
  <dimension ref="A1:X32"/>
  <sheetViews>
    <sheetView topLeftCell="A16" zoomScaleNormal="100" zoomScaleSheetLayoutView="100" workbookViewId="0">
      <selection activeCell="K13" sqref="K1:K65536"/>
    </sheetView>
  </sheetViews>
  <sheetFormatPr defaultRowHeight="16.5"/>
  <cols>
    <col min="1" max="1" width="10.625" style="84" customWidth="1"/>
    <col min="2" max="2" width="31.75" style="223" customWidth="1"/>
    <col min="3" max="3" width="11.75" style="223" customWidth="1"/>
    <col min="4" max="4" width="6.625" style="84" customWidth="1"/>
    <col min="5" max="5" width="8.125" style="84" customWidth="1"/>
    <col min="6" max="6" width="11.375" style="28" customWidth="1"/>
    <col min="7" max="7" width="16.875" style="28" customWidth="1"/>
    <col min="8" max="8" width="11.125" style="28" customWidth="1"/>
    <col min="9" max="9" width="9" style="208"/>
    <col min="10" max="10" width="9.875" style="76" customWidth="1"/>
    <col min="11" max="11" width="6.375" style="76" hidden="1" customWidth="1"/>
    <col min="12" max="16384" width="9" style="76"/>
  </cols>
  <sheetData>
    <row r="1" spans="1:9" ht="18" customHeight="1">
      <c r="A1" s="77" t="str">
        <f>Cover!B3</f>
        <v>Specification No.: ODP/BB/C&amp;M-3524/OT-20/RFx No. 5002003084/23-24</v>
      </c>
      <c r="B1" s="222"/>
      <c r="C1" s="222"/>
      <c r="D1" s="77"/>
      <c r="E1" s="77"/>
      <c r="F1" s="80"/>
      <c r="G1" s="80"/>
      <c r="H1" s="81" t="s">
        <v>242</v>
      </c>
    </row>
    <row r="2" spans="1:9" ht="18" customHeight="1">
      <c r="A2" s="63"/>
      <c r="B2" s="63"/>
      <c r="C2" s="63"/>
      <c r="D2" s="63"/>
      <c r="E2" s="63"/>
    </row>
    <row r="3" spans="1:9" ht="64.5" customHeight="1">
      <c r="A3" s="786" t="str">
        <f>Cover!$B$2</f>
        <v>Supply &amp; Services contract for Diversion/Modification of 400kV S/C Rengali-Indravati Transmission Line near Bhawanipatna for Construction of NH Bypass Road (Deposit Work on Behalf of NHAI).</v>
      </c>
      <c r="B3" s="786"/>
      <c r="C3" s="786"/>
      <c r="D3" s="786"/>
      <c r="E3" s="786"/>
      <c r="F3" s="786"/>
      <c r="G3" s="786"/>
      <c r="H3" s="786"/>
    </row>
    <row r="4" spans="1:9" ht="21.95" customHeight="1">
      <c r="A4" s="762" t="s">
        <v>245</v>
      </c>
      <c r="B4" s="762"/>
      <c r="C4" s="762"/>
      <c r="D4" s="762"/>
      <c r="E4" s="762"/>
      <c r="F4" s="762"/>
      <c r="G4" s="762"/>
      <c r="H4" s="762"/>
    </row>
    <row r="5" spans="1:9" ht="18" customHeight="1">
      <c r="B5" s="84"/>
      <c r="C5" s="84"/>
    </row>
    <row r="6" spans="1:9" ht="18" customHeight="1">
      <c r="A6" s="25" t="s">
        <v>164</v>
      </c>
      <c r="B6" s="26"/>
      <c r="C6" s="26"/>
      <c r="D6" s="25"/>
      <c r="E6" s="25"/>
      <c r="F6" s="60" t="s">
        <v>216</v>
      </c>
      <c r="H6" s="26"/>
    </row>
    <row r="7" spans="1:9" ht="18" customHeight="1">
      <c r="A7" s="25" t="e">
        <f>"Bidder as " &amp;#REF!</f>
        <v>#REF!</v>
      </c>
      <c r="F7" s="59" t="s">
        <v>218</v>
      </c>
      <c r="H7" s="26"/>
    </row>
    <row r="8" spans="1:9" ht="18" customHeight="1">
      <c r="A8" s="25" t="s">
        <v>217</v>
      </c>
      <c r="B8" s="785" t="e">
        <f>#REF!</f>
        <v>#REF!</v>
      </c>
      <c r="C8" s="785"/>
      <c r="D8" s="785"/>
      <c r="E8" s="785"/>
      <c r="F8" s="59" t="s">
        <v>220</v>
      </c>
      <c r="H8" s="26"/>
    </row>
    <row r="9" spans="1:9" ht="18" customHeight="1">
      <c r="A9" s="25" t="s">
        <v>219</v>
      </c>
      <c r="B9" s="785" t="e">
        <f>#REF!</f>
        <v>#REF!</v>
      </c>
      <c r="C9" s="785"/>
      <c r="D9" s="785"/>
      <c r="E9" s="785"/>
      <c r="F9" s="59" t="s">
        <v>221</v>
      </c>
      <c r="H9" s="26"/>
    </row>
    <row r="10" spans="1:9" ht="18" customHeight="1">
      <c r="A10" s="26"/>
      <c r="B10" s="785" t="e">
        <f>#REF!</f>
        <v>#REF!</v>
      </c>
      <c r="C10" s="785"/>
      <c r="D10" s="785"/>
      <c r="E10" s="785"/>
      <c r="F10" s="59" t="s">
        <v>222</v>
      </c>
      <c r="H10" s="26"/>
    </row>
    <row r="11" spans="1:9" ht="18" customHeight="1">
      <c r="A11" s="26"/>
      <c r="B11" s="785" t="e">
        <f>#REF!</f>
        <v>#REF!</v>
      </c>
      <c r="C11" s="785"/>
      <c r="D11" s="785"/>
      <c r="E11" s="785"/>
      <c r="F11" s="59" t="s">
        <v>223</v>
      </c>
      <c r="H11" s="26"/>
    </row>
    <row r="12" spans="1:9" ht="18" customHeight="1">
      <c r="A12" s="26"/>
      <c r="B12" s="27"/>
      <c r="C12" s="27"/>
      <c r="D12" s="27"/>
      <c r="E12" s="27"/>
      <c r="F12" s="59"/>
      <c r="H12" s="26"/>
    </row>
    <row r="13" spans="1:9" ht="18" customHeight="1">
      <c r="A13" s="26"/>
      <c r="B13" s="26"/>
      <c r="C13" s="26"/>
      <c r="D13" s="26"/>
      <c r="E13" s="26"/>
      <c r="F13" s="25"/>
    </row>
    <row r="14" spans="1:9" ht="40.5" customHeight="1">
      <c r="A14" s="780" t="s">
        <v>199</v>
      </c>
      <c r="B14" s="780"/>
      <c r="C14" s="780"/>
      <c r="D14" s="780"/>
      <c r="E14" s="780"/>
      <c r="F14" s="780"/>
      <c r="G14" s="780"/>
      <c r="H14" s="780"/>
      <c r="I14" s="224"/>
    </row>
    <row r="15" spans="1:9" ht="18" customHeight="1">
      <c r="B15" s="84"/>
      <c r="C15" s="84"/>
      <c r="F15" s="80"/>
      <c r="G15" s="80"/>
      <c r="H15" s="81" t="s">
        <v>190</v>
      </c>
    </row>
    <row r="16" spans="1:9" ht="62.25" customHeight="1">
      <c r="A16" s="98" t="s">
        <v>191</v>
      </c>
      <c r="B16" s="98" t="s">
        <v>215</v>
      </c>
      <c r="C16" s="98" t="s">
        <v>165</v>
      </c>
      <c r="D16" s="207" t="s">
        <v>189</v>
      </c>
      <c r="E16" s="207" t="s">
        <v>192</v>
      </c>
      <c r="F16" s="98" t="s">
        <v>193</v>
      </c>
      <c r="G16" s="98" t="s">
        <v>194</v>
      </c>
      <c r="H16" s="98" t="s">
        <v>224</v>
      </c>
    </row>
    <row r="17" spans="1:24" ht="18" customHeight="1">
      <c r="A17" s="207">
        <v>1</v>
      </c>
      <c r="B17" s="207">
        <v>2</v>
      </c>
      <c r="C17" s="207">
        <v>3</v>
      </c>
      <c r="D17" s="207">
        <v>4</v>
      </c>
      <c r="E17" s="207">
        <v>5</v>
      </c>
      <c r="F17" s="207">
        <v>6</v>
      </c>
      <c r="G17" s="207" t="s">
        <v>166</v>
      </c>
      <c r="H17" s="207">
        <v>8</v>
      </c>
    </row>
    <row r="18" spans="1:24" s="94" customFormat="1" ht="50.1" customHeight="1">
      <c r="A18" s="225" t="e">
        <f>'Sch-1'!#REF!</f>
        <v>#REF!</v>
      </c>
      <c r="B18" s="225" t="e">
        <f>'Sch-1'!#REF!</f>
        <v>#REF!</v>
      </c>
      <c r="C18" s="312" t="e">
        <f>'Sch-1'!#REF!</f>
        <v>#REF!</v>
      </c>
      <c r="D18" s="280" t="e">
        <f>'Sch-1'!#REF!</f>
        <v>#REF!</v>
      </c>
      <c r="E18" s="295" t="e">
        <f>'Sch-1'!#REF!</f>
        <v>#REF!</v>
      </c>
      <c r="F18" s="307" t="e">
        <f>'Sch-1'!#REF!</f>
        <v>#REF!</v>
      </c>
      <c r="G18" s="227" t="e">
        <f>IF(F18=0, "Included", IF(ISERROR(E18*F18), F18, E18*F18))</f>
        <v>#REF!</v>
      </c>
      <c r="H18" s="226" t="e">
        <f>'Sch-1'!#REF!</f>
        <v>#REF!</v>
      </c>
      <c r="I18" s="28"/>
      <c r="K18" s="94" t="e">
        <f>'Sch-1'!#REF!</f>
        <v>#REF!</v>
      </c>
    </row>
    <row r="19" spans="1:24" ht="26.1" customHeight="1">
      <c r="A19" s="228"/>
      <c r="B19" s="781" t="s">
        <v>248</v>
      </c>
      <c r="C19" s="781"/>
      <c r="D19" s="781"/>
      <c r="E19" s="781"/>
      <c r="F19" s="226"/>
      <c r="G19" s="229">
        <f>SUMIF(K18:K18,"Direct",G18:G18)</f>
        <v>0</v>
      </c>
      <c r="H19" s="284" t="s">
        <v>249</v>
      </c>
      <c r="I19" s="28"/>
    </row>
    <row r="20" spans="1:24" ht="26.1" customHeight="1">
      <c r="A20" s="228"/>
      <c r="B20" s="781" t="s">
        <v>248</v>
      </c>
      <c r="C20" s="781"/>
      <c r="D20" s="781"/>
      <c r="E20" s="781"/>
      <c r="F20" s="226"/>
      <c r="G20" s="229">
        <f>SUMIF(K18:K18,"Bought Out",G18:G18)</f>
        <v>0</v>
      </c>
      <c r="H20" s="284" t="s">
        <v>313</v>
      </c>
      <c r="I20" s="28"/>
    </row>
    <row r="21" spans="1:24" ht="26.1" customHeight="1">
      <c r="A21" s="228"/>
      <c r="B21" s="781" t="s">
        <v>248</v>
      </c>
      <c r="C21" s="781"/>
      <c r="D21" s="781"/>
      <c r="E21" s="781"/>
      <c r="F21" s="226"/>
      <c r="G21" s="229">
        <f>G19+G20</f>
        <v>0</v>
      </c>
      <c r="H21" s="230"/>
      <c r="I21" s="28"/>
    </row>
    <row r="22" spans="1:24" ht="26.1" customHeight="1">
      <c r="A22" s="231"/>
      <c r="B22" s="782" t="s">
        <v>312</v>
      </c>
      <c r="C22" s="782"/>
      <c r="D22" s="782"/>
      <c r="E22" s="782"/>
      <c r="F22" s="226"/>
      <c r="G22" s="229" t="e">
        <f>'Sch-6 Dis'!F21</f>
        <v>#REF!</v>
      </c>
      <c r="H22" s="230"/>
      <c r="I22" s="28"/>
    </row>
    <row r="23" spans="1:24" ht="26.1" customHeight="1">
      <c r="A23" s="231"/>
      <c r="B23" s="783" t="s">
        <v>247</v>
      </c>
      <c r="C23" s="783"/>
      <c r="D23" s="783"/>
      <c r="E23" s="783"/>
      <c r="F23" s="226"/>
      <c r="G23" s="229" t="e">
        <f>G21+G22</f>
        <v>#REF!</v>
      </c>
      <c r="H23" s="230"/>
      <c r="I23" s="28"/>
    </row>
    <row r="24" spans="1:24" ht="16.5" customHeight="1">
      <c r="A24" s="232"/>
      <c r="B24" s="233"/>
      <c r="C24" s="233"/>
      <c r="D24" s="233"/>
      <c r="E24" s="233"/>
      <c r="F24" s="234"/>
      <c r="G24" s="235"/>
      <c r="H24" s="236"/>
    </row>
    <row r="25" spans="1:24" ht="16.5" customHeight="1">
      <c r="B25" s="784"/>
      <c r="C25" s="784"/>
      <c r="D25" s="784"/>
      <c r="E25" s="784"/>
      <c r="F25" s="784"/>
      <c r="G25" s="784"/>
      <c r="H25" s="784"/>
    </row>
    <row r="26" spans="1:24" ht="16.5" customHeight="1">
      <c r="A26" s="237"/>
      <c r="B26" s="784"/>
      <c r="C26" s="784"/>
      <c r="D26" s="784"/>
      <c r="E26" s="784"/>
      <c r="F26" s="784"/>
      <c r="G26" s="784"/>
      <c r="H26" s="784"/>
    </row>
    <row r="27" spans="1:24" ht="117.75" customHeight="1">
      <c r="A27" s="238" t="s">
        <v>232</v>
      </c>
      <c r="B27" s="780" t="s">
        <v>172</v>
      </c>
      <c r="C27" s="780"/>
      <c r="D27" s="780"/>
      <c r="E27" s="780"/>
      <c r="F27" s="780"/>
      <c r="G27" s="780"/>
      <c r="H27" s="780"/>
    </row>
    <row r="28" spans="1:24" ht="33.6" customHeight="1">
      <c r="A28" s="143"/>
      <c r="B28" s="239"/>
      <c r="C28" s="239"/>
      <c r="D28" s="217"/>
      <c r="E28" s="217"/>
    </row>
    <row r="29" spans="1:24" ht="33.6" customHeight="1">
      <c r="A29" s="87" t="s">
        <v>226</v>
      </c>
      <c r="B29" s="120" t="e">
        <f>#REF!</f>
        <v>#REF!</v>
      </c>
      <c r="C29" s="120"/>
      <c r="D29" s="88"/>
      <c r="F29" s="89" t="s">
        <v>228</v>
      </c>
      <c r="G29" s="778"/>
      <c r="H29" s="778"/>
    </row>
    <row r="30" spans="1:24" s="208" customFormat="1" ht="33.6" customHeight="1">
      <c r="A30" s="87" t="s">
        <v>227</v>
      </c>
      <c r="B30" s="120" t="e">
        <f>#REF!</f>
        <v>#REF!</v>
      </c>
      <c r="C30" s="120"/>
      <c r="D30" s="28"/>
      <c r="E30" s="84"/>
      <c r="F30" s="89" t="s">
        <v>229</v>
      </c>
      <c r="G30" s="779" t="e">
        <f>#REF!</f>
        <v>#REF!</v>
      </c>
      <c r="H30" s="779"/>
      <c r="J30" s="76"/>
      <c r="K30" s="76"/>
      <c r="L30" s="76"/>
      <c r="M30" s="76"/>
      <c r="N30" s="76"/>
      <c r="O30" s="76"/>
      <c r="P30" s="76"/>
      <c r="Q30" s="76"/>
      <c r="R30" s="76"/>
      <c r="S30" s="76"/>
      <c r="T30" s="76"/>
      <c r="U30" s="76"/>
      <c r="V30" s="76"/>
      <c r="W30" s="76"/>
      <c r="X30" s="76"/>
    </row>
    <row r="31" spans="1:24" s="208" customFormat="1" ht="33.6" customHeight="1">
      <c r="A31" s="84"/>
      <c r="B31" s="240"/>
      <c r="C31" s="240"/>
      <c r="D31" s="28"/>
      <c r="E31" s="84"/>
      <c r="F31" s="89" t="s">
        <v>230</v>
      </c>
      <c r="G31" s="779" t="e">
        <f>#REF!</f>
        <v>#REF!</v>
      </c>
      <c r="H31" s="779"/>
      <c r="J31" s="76"/>
      <c r="K31" s="76"/>
      <c r="L31" s="76"/>
      <c r="M31" s="76"/>
      <c r="N31" s="76"/>
      <c r="O31" s="76"/>
      <c r="P31" s="76"/>
      <c r="Q31" s="76"/>
      <c r="R31" s="76"/>
      <c r="S31" s="76"/>
      <c r="T31" s="76"/>
      <c r="U31" s="76"/>
      <c r="V31" s="76"/>
      <c r="W31" s="76"/>
      <c r="X31" s="76"/>
    </row>
    <row r="32" spans="1:24" s="208" customFormat="1" ht="33.6" customHeight="1">
      <c r="A32" s="84"/>
      <c r="B32" s="240"/>
      <c r="C32" s="240"/>
      <c r="D32" s="28"/>
      <c r="E32" s="84"/>
      <c r="F32" s="89" t="s">
        <v>231</v>
      </c>
      <c r="G32" s="778"/>
      <c r="H32" s="778"/>
      <c r="J32" s="76"/>
      <c r="K32" s="76"/>
      <c r="L32" s="76"/>
      <c r="M32" s="76"/>
      <c r="N32" s="76"/>
      <c r="O32" s="76"/>
      <c r="P32" s="76"/>
      <c r="Q32" s="76"/>
      <c r="R32" s="76"/>
      <c r="S32" s="76"/>
      <c r="T32" s="76"/>
      <c r="U32" s="76"/>
      <c r="V32" s="76"/>
      <c r="W32" s="76"/>
      <c r="X32" s="76"/>
    </row>
  </sheetData>
  <sheetProtection password="E848" sheet="1" objects="1" scenarios="1" selectLockedCells="1" selectUnlockedCells="1"/>
  <customSheetViews>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08A645C4-A23F-4400-B0CE-1685BC312A6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s>
  <mergeCells count="18">
    <mergeCell ref="B10:E10"/>
    <mergeCell ref="B11:E11"/>
    <mergeCell ref="A3:H3"/>
    <mergeCell ref="A4:H4"/>
    <mergeCell ref="B8:E8"/>
    <mergeCell ref="B9:E9"/>
    <mergeCell ref="G29:H29"/>
    <mergeCell ref="G30:H30"/>
    <mergeCell ref="G31:H31"/>
    <mergeCell ref="G32:H32"/>
    <mergeCell ref="A14:H14"/>
    <mergeCell ref="B19:E19"/>
    <mergeCell ref="B20:E20"/>
    <mergeCell ref="B21:E21"/>
    <mergeCell ref="B22:E22"/>
    <mergeCell ref="B23:E23"/>
    <mergeCell ref="B25:H26"/>
    <mergeCell ref="B27:H27"/>
  </mergeCells>
  <phoneticPr fontId="30" type="noConversion"/>
  <dataValidations disablePrompts="1" count="2">
    <dataValidation type="date" allowBlank="1" showInputMessage="1" showErrorMessage="1" error="Enter date in &quot;dd-mmm-yy&quot; format. Example 03-oct-10." sqref="B30:C30" xr:uid="{00000000-0002-0000-0500-000000000000}">
      <formula1>#REF!</formula1>
      <formula2>#REF!</formula2>
    </dataValidation>
    <dataValidation type="list" allowBlank="1" showInputMessage="1" showErrorMessage="1" sqref="H18" xr:uid="{00000000-0002-0000-0500-000001000000}">
      <formula1>"Direct,Bought Out"</formula1>
    </dataValidation>
  </dataValidations>
  <printOptions horizontalCentered="1"/>
  <pageMargins left="0.511811023622047" right="0.26" top="0.48" bottom="0.54" header="0.25" footer="0.27"/>
  <pageSetup paperSize="9" orientation="portrait" horizontalDpi="300" verticalDpi="300" r:id="rId9"/>
  <headerFooter alignWithMargins="0">
    <oddFooter>&amp;R&amp;"Book Antiqua,Bold"&amp;10Schedule-1/ 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sheetPr>
  <dimension ref="A1:AA76"/>
  <sheetViews>
    <sheetView topLeftCell="A52" zoomScale="90" zoomScaleNormal="90" zoomScaleSheetLayoutView="100" workbookViewId="0">
      <selection activeCell="F67" sqref="F67"/>
    </sheetView>
  </sheetViews>
  <sheetFormatPr defaultRowHeight="16.5"/>
  <cols>
    <col min="1" max="1" width="10.625" style="209" customWidth="1"/>
    <col min="2" max="2" width="68.375" style="86" customWidth="1"/>
    <col min="3" max="3" width="67" style="86" hidden="1" customWidth="1"/>
    <col min="4" max="4" width="13.875" style="85" customWidth="1"/>
    <col min="5" max="5" width="14.625" style="85" customWidth="1"/>
    <col min="6" max="6" width="20.5" style="85" customWidth="1"/>
    <col min="7" max="7" width="23.25" style="85" customWidth="1"/>
    <col min="8" max="8" width="6.75" style="28" customWidth="1"/>
    <col min="9" max="9" width="1.875" style="76" hidden="1" customWidth="1"/>
    <col min="10" max="10" width="9" style="76" hidden="1" customWidth="1"/>
    <col min="11" max="11" width="9" style="76"/>
    <col min="12" max="12" width="9" style="190"/>
    <col min="13" max="14" width="17.625" style="190" customWidth="1"/>
    <col min="15" max="27" width="9" style="190"/>
    <col min="28" max="16384" width="9" style="76"/>
  </cols>
  <sheetData>
    <row r="1" spans="1:14" ht="18" customHeight="1">
      <c r="A1" s="77" t="str">
        <f>Cover!B3</f>
        <v>Specification No.: ODP/BB/C&amp;M-3524/OT-20/RFx No. 5002003084/23-24</v>
      </c>
      <c r="B1" s="78"/>
      <c r="C1" s="78"/>
      <c r="D1" s="79"/>
      <c r="E1" s="79"/>
      <c r="F1" s="80"/>
      <c r="G1" s="81" t="s">
        <v>251</v>
      </c>
    </row>
    <row r="2" spans="1:14" ht="18" customHeight="1">
      <c r="A2" s="63"/>
      <c r="B2" s="83"/>
      <c r="C2" s="83"/>
      <c r="D2" s="84"/>
      <c r="E2" s="84"/>
      <c r="F2" s="28"/>
      <c r="G2" s="28"/>
    </row>
    <row r="3" spans="1:14" ht="57.75" customHeight="1">
      <c r="A3" s="786" t="str">
        <f>Cover!$B$2</f>
        <v>Supply &amp; Services contract for Diversion/Modification of 400kV S/C Rengali-Indravati Transmission Line near Bhawanipatna for Construction of NH Bypass Road (Deposit Work on Behalf of NHAI).</v>
      </c>
      <c r="B3" s="786"/>
      <c r="C3" s="786"/>
      <c r="D3" s="786"/>
      <c r="E3" s="786"/>
      <c r="F3" s="786"/>
      <c r="G3" s="786"/>
      <c r="L3" s="202"/>
      <c r="N3" s="203"/>
    </row>
    <row r="4" spans="1:14" ht="21.95" customHeight="1">
      <c r="A4" s="762" t="s">
        <v>463</v>
      </c>
      <c r="B4" s="762"/>
      <c r="C4" s="762"/>
      <c r="D4" s="762"/>
      <c r="E4" s="762"/>
      <c r="F4" s="762"/>
      <c r="G4" s="762"/>
      <c r="H4" s="241"/>
      <c r="L4" s="202"/>
      <c r="N4" s="203"/>
    </row>
    <row r="5" spans="1:14" ht="18" customHeight="1">
      <c r="A5" s="242"/>
      <c r="B5" s="205"/>
      <c r="C5" s="205"/>
      <c r="D5" s="204"/>
      <c r="E5" s="204"/>
      <c r="F5" s="204"/>
      <c r="G5" s="243"/>
      <c r="L5" s="202"/>
      <c r="N5" s="203"/>
    </row>
    <row r="6" spans="1:14" ht="18" customHeight="1">
      <c r="A6" s="25" t="str">
        <f>'Sch-1'!A6</f>
        <v>Bidder’s Name and Address</v>
      </c>
      <c r="B6" s="26"/>
      <c r="C6" s="26"/>
      <c r="D6" s="26"/>
      <c r="E6" s="26"/>
      <c r="F6" s="28" t="s">
        <v>216</v>
      </c>
      <c r="G6" s="28"/>
      <c r="H6" s="26"/>
      <c r="L6" s="202"/>
      <c r="N6" s="203"/>
    </row>
    <row r="7" spans="1:14" ht="18" customHeight="1">
      <c r="A7" s="206" t="str">
        <f>'Sch-1'!A7</f>
        <v xml:space="preserve">Bidder as </v>
      </c>
      <c r="F7" s="544" t="s">
        <v>523</v>
      </c>
      <c r="G7" s="461"/>
      <c r="H7" s="463"/>
      <c r="L7" s="202"/>
      <c r="N7" s="203"/>
    </row>
    <row r="8" spans="1:14">
      <c r="A8" s="25" t="s">
        <v>217</v>
      </c>
      <c r="B8" s="790" t="str">
        <f>IF('Sch-1'!C8=0, "", 'Sch-1'!C8)</f>
        <v/>
      </c>
      <c r="C8" s="790"/>
      <c r="D8" s="790"/>
      <c r="E8" s="790"/>
      <c r="F8" s="462" t="s">
        <v>408</v>
      </c>
      <c r="G8" s="461"/>
      <c r="H8" s="463"/>
      <c r="L8" s="202"/>
      <c r="N8" s="203"/>
    </row>
    <row r="9" spans="1:14">
      <c r="A9" s="25" t="s">
        <v>219</v>
      </c>
      <c r="B9" s="790" t="str">
        <f>IF('Sch-1'!C9=0, "", 'Sch-1'!C9)</f>
        <v/>
      </c>
      <c r="C9" s="790"/>
      <c r="D9" s="790"/>
      <c r="E9" s="790"/>
      <c r="F9" s="462" t="s">
        <v>452</v>
      </c>
      <c r="G9" s="461"/>
      <c r="H9" s="463"/>
      <c r="L9" s="202"/>
      <c r="N9" s="203"/>
    </row>
    <row r="10" spans="1:14">
      <c r="A10" s="26"/>
      <c r="B10" s="790" t="str">
        <f>IF('Sch-1'!C10=0, "", 'Sch-1'!C10)</f>
        <v/>
      </c>
      <c r="C10" s="790"/>
      <c r="D10" s="790"/>
      <c r="E10" s="790"/>
      <c r="F10" s="462" t="s">
        <v>453</v>
      </c>
      <c r="G10" s="461"/>
      <c r="H10" s="463"/>
    </row>
    <row r="11" spans="1:14">
      <c r="A11" s="26"/>
      <c r="B11" s="790" t="str">
        <f>IF('Sch-1'!C11=0, "", 'Sch-1'!C11)</f>
        <v/>
      </c>
      <c r="C11" s="790"/>
      <c r="D11" s="790"/>
      <c r="E11" s="790"/>
      <c r="F11" s="462" t="s">
        <v>454</v>
      </c>
      <c r="G11" s="461"/>
      <c r="H11" s="463"/>
    </row>
    <row r="12" spans="1:14" ht="18" customHeight="1">
      <c r="A12" s="26"/>
      <c r="B12" s="790" t="str">
        <f>IF('Sch-1'!C12=0, "", 'Sch-1'!C12)</f>
        <v/>
      </c>
      <c r="C12" s="790"/>
      <c r="D12" s="790"/>
      <c r="E12" s="790"/>
      <c r="F12" s="64"/>
      <c r="G12" s="28"/>
      <c r="H12" s="26"/>
    </row>
    <row r="13" spans="1:14" ht="18" customHeight="1">
      <c r="A13" s="26"/>
      <c r="B13" s="25"/>
      <c r="C13" s="25"/>
      <c r="D13" s="25"/>
      <c r="E13" s="25"/>
      <c r="F13" s="25"/>
      <c r="G13" s="81" t="s">
        <v>464</v>
      </c>
    </row>
    <row r="14" spans="1:14" ht="88.5" customHeight="1">
      <c r="A14" s="98" t="s">
        <v>191</v>
      </c>
      <c r="B14" s="98" t="s">
        <v>215</v>
      </c>
      <c r="C14" s="98" t="s">
        <v>165</v>
      </c>
      <c r="D14" s="207" t="s">
        <v>189</v>
      </c>
      <c r="E14" s="207" t="s">
        <v>192</v>
      </c>
      <c r="F14" s="98" t="s">
        <v>466</v>
      </c>
      <c r="G14" s="98" t="s">
        <v>467</v>
      </c>
      <c r="H14" s="183"/>
      <c r="M14" s="185"/>
      <c r="N14" s="185"/>
    </row>
    <row r="15" spans="1:14" ht="18" customHeight="1">
      <c r="A15" s="207">
        <v>1</v>
      </c>
      <c r="B15" s="207">
        <v>2</v>
      </c>
      <c r="C15" s="207">
        <v>3</v>
      </c>
      <c r="D15" s="207">
        <v>3</v>
      </c>
      <c r="E15" s="207">
        <v>4</v>
      </c>
      <c r="F15" s="207">
        <v>5</v>
      </c>
      <c r="G15" s="207" t="s">
        <v>225</v>
      </c>
      <c r="H15" s="143"/>
      <c r="I15" s="76" t="e">
        <f>Discount!O20</f>
        <v>#REF!</v>
      </c>
      <c r="M15" s="184"/>
      <c r="N15" s="184"/>
    </row>
    <row r="16" spans="1:14" ht="18" customHeight="1">
      <c r="A16" s="207"/>
      <c r="B16" s="207"/>
      <c r="C16" s="207"/>
      <c r="D16" s="207"/>
      <c r="E16" s="207"/>
      <c r="F16" s="207"/>
      <c r="G16" s="207"/>
      <c r="H16" s="143"/>
      <c r="M16" s="184"/>
      <c r="N16" s="184"/>
    </row>
    <row r="17" spans="1:14" ht="36.75" customHeight="1">
      <c r="A17" s="787" t="s">
        <v>588</v>
      </c>
      <c r="B17" s="788"/>
      <c r="C17" s="788"/>
      <c r="D17" s="788"/>
      <c r="E17" s="788"/>
      <c r="F17" s="788"/>
      <c r="G17" s="789"/>
      <c r="H17" s="143"/>
      <c r="M17" s="184"/>
      <c r="N17" s="184"/>
    </row>
    <row r="18" spans="1:14" ht="20.25">
      <c r="A18" s="663">
        <v>1</v>
      </c>
      <c r="B18" s="651" t="s">
        <v>540</v>
      </c>
      <c r="C18" s="464"/>
      <c r="D18" s="484"/>
      <c r="E18" s="484"/>
      <c r="F18" s="484"/>
      <c r="G18" s="470"/>
      <c r="H18" s="143"/>
      <c r="M18" s="184"/>
      <c r="N18" s="184"/>
    </row>
    <row r="19" spans="1:14" ht="84">
      <c r="A19" s="664">
        <v>1.1000000000000001</v>
      </c>
      <c r="B19" s="652" t="s">
        <v>541</v>
      </c>
      <c r="C19" s="464"/>
      <c r="D19" s="484"/>
      <c r="E19" s="484"/>
      <c r="F19" s="484"/>
      <c r="G19" s="470"/>
      <c r="H19" s="143"/>
      <c r="M19" s="184"/>
      <c r="N19" s="184"/>
    </row>
    <row r="20" spans="1:14" ht="21">
      <c r="A20" s="665" t="s">
        <v>368</v>
      </c>
      <c r="B20" s="653" t="s">
        <v>542</v>
      </c>
      <c r="C20" s="464"/>
      <c r="D20" s="676" t="s">
        <v>522</v>
      </c>
      <c r="E20" s="677">
        <v>28.081679999999999</v>
      </c>
      <c r="F20" s="472"/>
      <c r="G20" s="545" t="str">
        <f>IF(F20=0, "Included", IF(ISERROR(E20*F20), F20,E20* F20))</f>
        <v>Included</v>
      </c>
      <c r="H20" s="143"/>
      <c r="M20" s="184"/>
      <c r="N20" s="184"/>
    </row>
    <row r="21" spans="1:14" ht="48" customHeight="1">
      <c r="A21" s="665" t="s">
        <v>371</v>
      </c>
      <c r="B21" s="653" t="s">
        <v>543</v>
      </c>
      <c r="C21" s="464"/>
      <c r="D21" s="676" t="s">
        <v>522</v>
      </c>
      <c r="E21" s="677">
        <v>45.027911999999993</v>
      </c>
      <c r="F21" s="472"/>
      <c r="G21" s="545" t="str">
        <f t="shared" ref="G21:G68" si="0">IF(F21=0, "Included", IF(ISERROR(E21*F21), F21,E21* F21))</f>
        <v>Included</v>
      </c>
      <c r="H21" s="143"/>
      <c r="M21" s="184"/>
      <c r="N21" s="184"/>
    </row>
    <row r="22" spans="1:14" ht="84">
      <c r="A22" s="664">
        <v>1.2</v>
      </c>
      <c r="B22" s="652" t="s">
        <v>544</v>
      </c>
      <c r="C22" s="464"/>
      <c r="D22" s="484"/>
      <c r="E22" s="484"/>
      <c r="F22" s="484"/>
      <c r="G22" s="470"/>
      <c r="H22" s="143"/>
      <c r="M22" s="184"/>
      <c r="N22" s="184"/>
    </row>
    <row r="23" spans="1:14" ht="21">
      <c r="A23" s="665" t="s">
        <v>368</v>
      </c>
      <c r="B23" s="653" t="s">
        <v>542</v>
      </c>
      <c r="C23" s="464"/>
      <c r="D23" s="676" t="s">
        <v>522</v>
      </c>
      <c r="E23" s="677">
        <v>1.90496</v>
      </c>
      <c r="F23" s="472"/>
      <c r="G23" s="545" t="str">
        <f t="shared" si="0"/>
        <v>Included</v>
      </c>
      <c r="H23" s="143"/>
      <c r="M23" s="184"/>
      <c r="N23" s="184"/>
    </row>
    <row r="24" spans="1:14" ht="21">
      <c r="A24" s="665" t="s">
        <v>371</v>
      </c>
      <c r="B24" s="653" t="s">
        <v>543</v>
      </c>
      <c r="C24" s="464"/>
      <c r="D24" s="676" t="s">
        <v>522</v>
      </c>
      <c r="E24" s="677">
        <v>0.1968</v>
      </c>
      <c r="F24" s="472"/>
      <c r="G24" s="545" t="str">
        <f t="shared" si="0"/>
        <v>Included</v>
      </c>
      <c r="H24" s="143"/>
      <c r="M24" s="184"/>
      <c r="N24" s="184"/>
    </row>
    <row r="25" spans="1:14" ht="42">
      <c r="A25" s="664">
        <v>1.3</v>
      </c>
      <c r="B25" s="652" t="s">
        <v>545</v>
      </c>
      <c r="C25" s="464"/>
      <c r="D25" s="484"/>
      <c r="E25" s="484"/>
      <c r="F25" s="484"/>
      <c r="G25" s="470"/>
      <c r="H25" s="143"/>
      <c r="M25" s="184"/>
      <c r="N25" s="184"/>
    </row>
    <row r="26" spans="1:14" ht="42">
      <c r="A26" s="665" t="s">
        <v>368</v>
      </c>
      <c r="B26" s="652" t="s">
        <v>546</v>
      </c>
      <c r="C26" s="464"/>
      <c r="D26" s="667" t="s">
        <v>522</v>
      </c>
      <c r="E26" s="677">
        <v>2.5253760000000001</v>
      </c>
      <c r="F26" s="472"/>
      <c r="G26" s="545" t="str">
        <f t="shared" si="0"/>
        <v>Included</v>
      </c>
      <c r="H26" s="143"/>
      <c r="M26" s="184"/>
      <c r="N26" s="184"/>
    </row>
    <row r="27" spans="1:14" ht="21">
      <c r="A27" s="665" t="s">
        <v>371</v>
      </c>
      <c r="B27" s="653" t="s">
        <v>547</v>
      </c>
      <c r="C27" s="464"/>
      <c r="D27" s="676" t="s">
        <v>522</v>
      </c>
      <c r="E27" s="677">
        <v>4.1460000000000004E-2</v>
      </c>
      <c r="F27" s="472"/>
      <c r="G27" s="545" t="str">
        <f t="shared" si="0"/>
        <v>Included</v>
      </c>
      <c r="H27" s="143"/>
      <c r="M27" s="184"/>
      <c r="N27" s="184"/>
    </row>
    <row r="28" spans="1:14" ht="20.25">
      <c r="A28" s="663">
        <v>2</v>
      </c>
      <c r="B28" s="651" t="s">
        <v>548</v>
      </c>
      <c r="C28" s="464"/>
      <c r="D28" s="484"/>
      <c r="E28" s="484"/>
      <c r="F28" s="484"/>
      <c r="G28" s="470"/>
      <c r="H28" s="143"/>
      <c r="M28" s="184"/>
      <c r="N28" s="184"/>
    </row>
    <row r="29" spans="1:14" ht="21">
      <c r="A29" s="664">
        <v>2.1</v>
      </c>
      <c r="B29" s="654" t="s">
        <v>525</v>
      </c>
      <c r="C29" s="464"/>
      <c r="D29" s="484"/>
      <c r="E29" s="484"/>
      <c r="F29" s="484"/>
      <c r="G29" s="470"/>
      <c r="H29" s="143"/>
      <c r="M29" s="184"/>
      <c r="N29" s="184"/>
    </row>
    <row r="30" spans="1:14" ht="21">
      <c r="A30" s="665" t="s">
        <v>368</v>
      </c>
      <c r="B30" s="653" t="s">
        <v>526</v>
      </c>
      <c r="C30" s="464"/>
      <c r="D30" s="665" t="s">
        <v>531</v>
      </c>
      <c r="E30" s="677">
        <v>4</v>
      </c>
      <c r="F30" s="472"/>
      <c r="G30" s="545" t="str">
        <f t="shared" si="0"/>
        <v>Included</v>
      </c>
      <c r="H30" s="143"/>
      <c r="M30" s="184"/>
      <c r="N30" s="184"/>
    </row>
    <row r="31" spans="1:14" ht="21">
      <c r="A31" s="666" t="s">
        <v>371</v>
      </c>
      <c r="B31" s="655" t="s">
        <v>549</v>
      </c>
      <c r="C31" s="464"/>
      <c r="D31" s="666" t="s">
        <v>531</v>
      </c>
      <c r="E31" s="677">
        <v>4</v>
      </c>
      <c r="F31" s="472"/>
      <c r="G31" s="545" t="str">
        <f t="shared" si="0"/>
        <v>Included</v>
      </c>
      <c r="H31" s="143"/>
      <c r="M31" s="184"/>
      <c r="N31" s="184"/>
    </row>
    <row r="32" spans="1:14" ht="21">
      <c r="A32" s="665" t="s">
        <v>373</v>
      </c>
      <c r="B32" s="653" t="s">
        <v>550</v>
      </c>
      <c r="C32" s="464"/>
      <c r="D32" s="665" t="s">
        <v>531</v>
      </c>
      <c r="E32" s="677">
        <v>1</v>
      </c>
      <c r="F32" s="472"/>
      <c r="G32" s="545" t="str">
        <f t="shared" si="0"/>
        <v>Included</v>
      </c>
      <c r="H32" s="143"/>
      <c r="M32" s="184"/>
      <c r="N32" s="184"/>
    </row>
    <row r="33" spans="1:14" ht="84">
      <c r="A33" s="665" t="s">
        <v>374</v>
      </c>
      <c r="B33" s="653" t="s">
        <v>551</v>
      </c>
      <c r="C33" s="464"/>
      <c r="D33" s="665" t="s">
        <v>530</v>
      </c>
      <c r="E33" s="677">
        <v>1</v>
      </c>
      <c r="F33" s="472"/>
      <c r="G33" s="545" t="str">
        <f t="shared" si="0"/>
        <v>Included</v>
      </c>
      <c r="H33" s="143"/>
      <c r="M33" s="184"/>
      <c r="N33" s="184"/>
    </row>
    <row r="34" spans="1:14" ht="20.25">
      <c r="A34" s="663">
        <v>3</v>
      </c>
      <c r="B34" s="651" t="s">
        <v>552</v>
      </c>
      <c r="C34" s="464"/>
      <c r="D34" s="484"/>
      <c r="E34" s="484"/>
      <c r="F34" s="484"/>
      <c r="G34" s="470"/>
      <c r="H34" s="143"/>
      <c r="M34" s="184"/>
      <c r="N34" s="184"/>
    </row>
    <row r="35" spans="1:14" ht="21">
      <c r="A35" s="664">
        <v>3.1</v>
      </c>
      <c r="B35" s="654" t="s">
        <v>553</v>
      </c>
      <c r="C35" s="464"/>
      <c r="D35" s="484"/>
      <c r="E35" s="484"/>
      <c r="F35" s="484"/>
      <c r="G35" s="470"/>
      <c r="H35" s="143"/>
      <c r="M35" s="184"/>
      <c r="N35" s="184"/>
    </row>
    <row r="36" spans="1:14" ht="21">
      <c r="A36" s="665" t="s">
        <v>368</v>
      </c>
      <c r="B36" s="653" t="s">
        <v>527</v>
      </c>
      <c r="C36" s="464"/>
      <c r="D36" s="665" t="s">
        <v>531</v>
      </c>
      <c r="E36" s="677">
        <v>4</v>
      </c>
      <c r="F36" s="472"/>
      <c r="G36" s="545" t="str">
        <f t="shared" si="0"/>
        <v>Included</v>
      </c>
      <c r="H36" s="143"/>
      <c r="M36" s="184"/>
      <c r="N36" s="184"/>
    </row>
    <row r="37" spans="1:14" ht="21">
      <c r="A37" s="665" t="s">
        <v>371</v>
      </c>
      <c r="B37" s="653" t="s">
        <v>528</v>
      </c>
      <c r="C37" s="464"/>
      <c r="D37" s="665" t="s">
        <v>531</v>
      </c>
      <c r="E37" s="677">
        <v>4</v>
      </c>
      <c r="F37" s="472"/>
      <c r="G37" s="545" t="str">
        <f t="shared" si="0"/>
        <v>Included</v>
      </c>
      <c r="H37" s="143"/>
      <c r="M37" s="184"/>
      <c r="N37" s="184"/>
    </row>
    <row r="38" spans="1:14" ht="21">
      <c r="A38" s="665" t="s">
        <v>373</v>
      </c>
      <c r="B38" s="653" t="s">
        <v>554</v>
      </c>
      <c r="C38" s="464"/>
      <c r="D38" s="665" t="s">
        <v>584</v>
      </c>
      <c r="E38" s="677">
        <v>4</v>
      </c>
      <c r="F38" s="472"/>
      <c r="G38" s="545" t="str">
        <f t="shared" si="0"/>
        <v>Included</v>
      </c>
      <c r="H38" s="143"/>
      <c r="M38" s="184"/>
      <c r="N38" s="184"/>
    </row>
    <row r="39" spans="1:14" ht="21">
      <c r="A39" s="665" t="s">
        <v>374</v>
      </c>
      <c r="B39" s="653" t="s">
        <v>536</v>
      </c>
      <c r="C39" s="464"/>
      <c r="D39" s="665" t="s">
        <v>531</v>
      </c>
      <c r="E39" s="677">
        <v>4</v>
      </c>
      <c r="F39" s="472"/>
      <c r="G39" s="545" t="str">
        <f t="shared" si="0"/>
        <v>Included</v>
      </c>
      <c r="H39" s="143"/>
      <c r="M39" s="184"/>
      <c r="N39" s="184"/>
    </row>
    <row r="40" spans="1:14" ht="20.25">
      <c r="A40" s="663">
        <v>4</v>
      </c>
      <c r="B40" s="656" t="s">
        <v>555</v>
      </c>
      <c r="C40" s="464"/>
      <c r="D40" s="484"/>
      <c r="E40" s="484"/>
      <c r="F40" s="484"/>
      <c r="G40" s="470"/>
      <c r="H40" s="143"/>
      <c r="M40" s="184"/>
      <c r="N40" s="184"/>
    </row>
    <row r="41" spans="1:14" ht="40.5">
      <c r="A41" s="664">
        <v>4.0999999999999996</v>
      </c>
      <c r="B41" s="656" t="s">
        <v>556</v>
      </c>
      <c r="C41" s="464"/>
      <c r="D41" s="484"/>
      <c r="E41" s="484"/>
      <c r="F41" s="484"/>
      <c r="G41" s="470"/>
      <c r="H41" s="143"/>
      <c r="M41" s="184"/>
      <c r="N41" s="184"/>
    </row>
    <row r="42" spans="1:14" ht="63">
      <c r="A42" s="667" t="s">
        <v>368</v>
      </c>
      <c r="B42" s="652" t="s">
        <v>557</v>
      </c>
      <c r="C42" s="464"/>
      <c r="D42" s="667" t="s">
        <v>584</v>
      </c>
      <c r="E42" s="677">
        <v>6</v>
      </c>
      <c r="F42" s="472"/>
      <c r="G42" s="545" t="str">
        <f t="shared" si="0"/>
        <v>Included</v>
      </c>
      <c r="H42" s="143"/>
      <c r="M42" s="184"/>
      <c r="N42" s="184"/>
    </row>
    <row r="43" spans="1:14" ht="42">
      <c r="A43" s="667" t="s">
        <v>371</v>
      </c>
      <c r="B43" s="652" t="s">
        <v>558</v>
      </c>
      <c r="C43" s="464"/>
      <c r="D43" s="667" t="s">
        <v>584</v>
      </c>
      <c r="E43" s="677">
        <v>24</v>
      </c>
      <c r="F43" s="472"/>
      <c r="G43" s="545" t="str">
        <f t="shared" si="0"/>
        <v>Included</v>
      </c>
      <c r="H43" s="143"/>
      <c r="M43" s="184"/>
      <c r="N43" s="184"/>
    </row>
    <row r="44" spans="1:14" ht="42">
      <c r="A44" s="667" t="s">
        <v>583</v>
      </c>
      <c r="B44" s="652" t="s">
        <v>559</v>
      </c>
      <c r="C44" s="464"/>
      <c r="D44" s="678" t="s">
        <v>585</v>
      </c>
      <c r="E44" s="677">
        <v>24</v>
      </c>
      <c r="F44" s="472"/>
      <c r="G44" s="545" t="str">
        <f t="shared" si="0"/>
        <v>Included</v>
      </c>
      <c r="H44" s="143"/>
      <c r="M44" s="184"/>
      <c r="N44" s="184"/>
    </row>
    <row r="45" spans="1:14" ht="20.25">
      <c r="A45" s="663">
        <v>4.2</v>
      </c>
      <c r="B45" s="656" t="s">
        <v>560</v>
      </c>
      <c r="C45" s="464"/>
      <c r="D45" s="484"/>
      <c r="E45" s="484"/>
      <c r="F45" s="484"/>
      <c r="G45" s="470"/>
      <c r="H45" s="143"/>
      <c r="M45" s="184"/>
      <c r="N45" s="184"/>
    </row>
    <row r="46" spans="1:14" ht="21">
      <c r="A46" s="668" t="s">
        <v>368</v>
      </c>
      <c r="B46" s="657" t="s">
        <v>561</v>
      </c>
      <c r="C46" s="464"/>
      <c r="D46" s="667" t="s">
        <v>531</v>
      </c>
      <c r="E46" s="677">
        <v>3</v>
      </c>
      <c r="F46" s="472"/>
      <c r="G46" s="545" t="str">
        <f t="shared" si="0"/>
        <v>Included</v>
      </c>
      <c r="H46" s="143"/>
      <c r="M46" s="184"/>
      <c r="N46" s="184"/>
    </row>
    <row r="47" spans="1:14" ht="21">
      <c r="A47" s="668" t="s">
        <v>371</v>
      </c>
      <c r="B47" s="657" t="s">
        <v>562</v>
      </c>
      <c r="C47" s="464"/>
      <c r="D47" s="667" t="s">
        <v>531</v>
      </c>
      <c r="E47" s="677">
        <v>5</v>
      </c>
      <c r="F47" s="472"/>
      <c r="G47" s="545" t="str">
        <f t="shared" si="0"/>
        <v>Included</v>
      </c>
      <c r="H47" s="143"/>
      <c r="M47" s="184"/>
      <c r="N47" s="184"/>
    </row>
    <row r="48" spans="1:14" ht="21">
      <c r="A48" s="667" t="s">
        <v>373</v>
      </c>
      <c r="B48" s="657" t="s">
        <v>563</v>
      </c>
      <c r="C48" s="464"/>
      <c r="D48" s="667" t="s">
        <v>531</v>
      </c>
      <c r="E48" s="677">
        <v>120</v>
      </c>
      <c r="F48" s="472"/>
      <c r="G48" s="545" t="str">
        <f t="shared" si="0"/>
        <v>Included</v>
      </c>
      <c r="H48" s="143"/>
      <c r="M48" s="184"/>
      <c r="N48" s="184"/>
    </row>
    <row r="49" spans="1:14" ht="42">
      <c r="A49" s="667" t="s">
        <v>374</v>
      </c>
      <c r="B49" s="657" t="s">
        <v>564</v>
      </c>
      <c r="C49" s="464"/>
      <c r="D49" s="667" t="s">
        <v>531</v>
      </c>
      <c r="E49" s="677">
        <v>45</v>
      </c>
      <c r="F49" s="472"/>
      <c r="G49" s="545" t="str">
        <f t="shared" si="0"/>
        <v>Included</v>
      </c>
      <c r="H49" s="143"/>
      <c r="M49" s="184"/>
      <c r="N49" s="184"/>
    </row>
    <row r="50" spans="1:14" ht="42">
      <c r="A50" s="669" t="s">
        <v>376</v>
      </c>
      <c r="B50" s="657" t="s">
        <v>565</v>
      </c>
      <c r="C50" s="464"/>
      <c r="D50" s="667" t="s">
        <v>531</v>
      </c>
      <c r="E50" s="677">
        <v>36</v>
      </c>
      <c r="F50" s="472"/>
      <c r="G50" s="545" t="str">
        <f t="shared" si="0"/>
        <v>Included</v>
      </c>
      <c r="H50" s="143"/>
      <c r="M50" s="184"/>
      <c r="N50" s="184"/>
    </row>
    <row r="51" spans="1:14" ht="20.25">
      <c r="A51" s="663">
        <v>4.3</v>
      </c>
      <c r="B51" s="656" t="s">
        <v>529</v>
      </c>
      <c r="C51" s="464"/>
      <c r="D51" s="484"/>
      <c r="E51" s="484"/>
      <c r="F51" s="484"/>
      <c r="G51" s="470"/>
      <c r="H51" s="143"/>
      <c r="M51" s="184"/>
      <c r="N51" s="184"/>
    </row>
    <row r="52" spans="1:14" ht="21">
      <c r="A52" s="668" t="s">
        <v>368</v>
      </c>
      <c r="B52" s="657" t="s">
        <v>566</v>
      </c>
      <c r="C52" s="464"/>
      <c r="D52" s="667" t="s">
        <v>531</v>
      </c>
      <c r="E52" s="677">
        <v>1</v>
      </c>
      <c r="F52" s="472"/>
      <c r="G52" s="545" t="str">
        <f t="shared" si="0"/>
        <v>Included</v>
      </c>
      <c r="H52" s="143"/>
      <c r="M52" s="184"/>
      <c r="N52" s="184"/>
    </row>
    <row r="53" spans="1:14" ht="21">
      <c r="A53" s="668" t="s">
        <v>371</v>
      </c>
      <c r="B53" s="657" t="s">
        <v>567</v>
      </c>
      <c r="C53" s="464"/>
      <c r="D53" s="667" t="s">
        <v>531</v>
      </c>
      <c r="E53" s="677">
        <v>20</v>
      </c>
      <c r="F53" s="472"/>
      <c r="G53" s="545" t="str">
        <f t="shared" si="0"/>
        <v>Included</v>
      </c>
      <c r="H53" s="143"/>
      <c r="M53" s="184"/>
      <c r="N53" s="184"/>
    </row>
    <row r="54" spans="1:14" ht="21">
      <c r="A54" s="667" t="s">
        <v>373</v>
      </c>
      <c r="B54" s="657" t="s">
        <v>568</v>
      </c>
      <c r="C54" s="464"/>
      <c r="D54" s="667" t="s">
        <v>531</v>
      </c>
      <c r="E54" s="677">
        <v>40</v>
      </c>
      <c r="F54" s="472"/>
      <c r="G54" s="545" t="str">
        <f t="shared" si="0"/>
        <v>Included</v>
      </c>
      <c r="H54" s="143"/>
      <c r="M54" s="184"/>
      <c r="N54" s="184"/>
    </row>
    <row r="55" spans="1:14" ht="21">
      <c r="A55" s="669" t="s">
        <v>374</v>
      </c>
      <c r="B55" s="657" t="s">
        <v>569</v>
      </c>
      <c r="C55" s="464"/>
      <c r="D55" s="667" t="s">
        <v>531</v>
      </c>
      <c r="E55" s="677">
        <v>16</v>
      </c>
      <c r="F55" s="472"/>
      <c r="G55" s="545" t="str">
        <f t="shared" si="0"/>
        <v>Included</v>
      </c>
      <c r="H55" s="143"/>
      <c r="M55" s="184"/>
      <c r="N55" s="184"/>
    </row>
    <row r="56" spans="1:14" ht="20.25">
      <c r="A56" s="670">
        <v>5</v>
      </c>
      <c r="B56" s="658" t="s">
        <v>570</v>
      </c>
      <c r="C56" s="464"/>
      <c r="D56" s="484"/>
      <c r="E56" s="484"/>
      <c r="F56" s="484"/>
      <c r="G56" s="470"/>
      <c r="H56" s="143"/>
      <c r="M56" s="184"/>
      <c r="N56" s="184"/>
    </row>
    <row r="57" spans="1:14" ht="21">
      <c r="A57" s="671" t="s">
        <v>368</v>
      </c>
      <c r="B57" s="659" t="s">
        <v>571</v>
      </c>
      <c r="C57" s="464"/>
      <c r="D57" s="679" t="s">
        <v>521</v>
      </c>
      <c r="E57" s="677">
        <v>0.89485999999999999</v>
      </c>
      <c r="F57" s="472"/>
      <c r="G57" s="545" t="str">
        <f t="shared" si="0"/>
        <v>Included</v>
      </c>
      <c r="H57" s="143"/>
      <c r="M57" s="184"/>
      <c r="N57" s="184"/>
    </row>
    <row r="58" spans="1:14" ht="21">
      <c r="A58" s="671" t="s">
        <v>371</v>
      </c>
      <c r="B58" s="659" t="s">
        <v>572</v>
      </c>
      <c r="C58" s="464"/>
      <c r="D58" s="679" t="s">
        <v>586</v>
      </c>
      <c r="E58" s="677">
        <v>1</v>
      </c>
      <c r="F58" s="472"/>
      <c r="G58" s="545" t="str">
        <f t="shared" si="0"/>
        <v>Included</v>
      </c>
      <c r="H58" s="143"/>
      <c r="M58" s="184"/>
      <c r="N58" s="184"/>
    </row>
    <row r="59" spans="1:14" ht="21">
      <c r="A59" s="672" t="s">
        <v>373</v>
      </c>
      <c r="B59" s="659" t="s">
        <v>573</v>
      </c>
      <c r="C59" s="464"/>
      <c r="D59" s="679" t="s">
        <v>586</v>
      </c>
      <c r="E59" s="677">
        <v>2</v>
      </c>
      <c r="F59" s="472"/>
      <c r="G59" s="545" t="str">
        <f t="shared" si="0"/>
        <v>Included</v>
      </c>
      <c r="H59" s="143"/>
      <c r="M59" s="184"/>
      <c r="N59" s="184"/>
    </row>
    <row r="60" spans="1:14" ht="42">
      <c r="A60" s="672" t="s">
        <v>374</v>
      </c>
      <c r="B60" s="660" t="s">
        <v>574</v>
      </c>
      <c r="C60" s="464"/>
      <c r="D60" s="680" t="s">
        <v>586</v>
      </c>
      <c r="E60" s="677">
        <v>2</v>
      </c>
      <c r="F60" s="472"/>
      <c r="G60" s="545" t="str">
        <f t="shared" si="0"/>
        <v>Included</v>
      </c>
      <c r="H60" s="143"/>
      <c r="M60" s="184"/>
      <c r="N60" s="184"/>
    </row>
    <row r="61" spans="1:14" ht="21">
      <c r="A61" s="671" t="s">
        <v>376</v>
      </c>
      <c r="B61" s="659" t="s">
        <v>575</v>
      </c>
      <c r="C61" s="464"/>
      <c r="D61" s="679" t="s">
        <v>586</v>
      </c>
      <c r="E61" s="677">
        <v>16</v>
      </c>
      <c r="F61" s="472"/>
      <c r="G61" s="545" t="str">
        <f t="shared" si="0"/>
        <v>Included</v>
      </c>
      <c r="H61" s="143"/>
      <c r="M61" s="184"/>
      <c r="N61" s="184"/>
    </row>
    <row r="62" spans="1:14" ht="21">
      <c r="A62" s="671" t="s">
        <v>378</v>
      </c>
      <c r="B62" s="659" t="s">
        <v>576</v>
      </c>
      <c r="C62" s="464"/>
      <c r="D62" s="679" t="s">
        <v>586</v>
      </c>
      <c r="E62" s="677">
        <v>74</v>
      </c>
      <c r="F62" s="472"/>
      <c r="G62" s="545" t="str">
        <f t="shared" si="0"/>
        <v>Included</v>
      </c>
      <c r="H62" s="143"/>
      <c r="M62" s="184"/>
      <c r="N62" s="184"/>
    </row>
    <row r="63" spans="1:14" ht="21">
      <c r="A63" s="671" t="s">
        <v>380</v>
      </c>
      <c r="B63" s="659" t="s">
        <v>577</v>
      </c>
      <c r="C63" s="464"/>
      <c r="D63" s="679" t="s">
        <v>586</v>
      </c>
      <c r="E63" s="677">
        <v>2</v>
      </c>
      <c r="F63" s="472"/>
      <c r="G63" s="545" t="str">
        <f t="shared" si="0"/>
        <v>Included</v>
      </c>
      <c r="H63" s="143"/>
      <c r="M63" s="184"/>
      <c r="N63" s="184"/>
    </row>
    <row r="64" spans="1:14" ht="40.5">
      <c r="A64" s="673">
        <v>6</v>
      </c>
      <c r="B64" s="661" t="s">
        <v>578</v>
      </c>
      <c r="C64" s="464"/>
      <c r="D64" s="667" t="s">
        <v>587</v>
      </c>
      <c r="E64" s="677">
        <v>0.89485999999999999</v>
      </c>
      <c r="F64" s="472"/>
      <c r="G64" s="545" t="str">
        <f t="shared" si="0"/>
        <v>Included</v>
      </c>
      <c r="H64" s="143"/>
      <c r="M64" s="184"/>
      <c r="N64" s="184"/>
    </row>
    <row r="65" spans="1:14" ht="21">
      <c r="A65" s="673">
        <v>7</v>
      </c>
      <c r="B65" s="661" t="s">
        <v>579</v>
      </c>
      <c r="C65" s="464"/>
      <c r="D65" s="667" t="s">
        <v>587</v>
      </c>
      <c r="E65" s="677">
        <v>5.3691599999999999</v>
      </c>
      <c r="F65" s="472"/>
      <c r="G65" s="545" t="str">
        <f t="shared" si="0"/>
        <v>Included</v>
      </c>
      <c r="H65" s="143"/>
      <c r="M65" s="184"/>
      <c r="N65" s="184"/>
    </row>
    <row r="66" spans="1:14" ht="20.25">
      <c r="A66" s="674">
        <v>8</v>
      </c>
      <c r="B66" s="661" t="s">
        <v>580</v>
      </c>
      <c r="C66" s="464"/>
      <c r="D66" s="484"/>
      <c r="E66" s="484"/>
      <c r="F66" s="484"/>
      <c r="G66" s="470"/>
      <c r="H66" s="143"/>
      <c r="M66" s="184"/>
      <c r="N66" s="184"/>
    </row>
    <row r="67" spans="1:14" ht="63">
      <c r="A67" s="668" t="s">
        <v>368</v>
      </c>
      <c r="B67" s="660" t="s">
        <v>581</v>
      </c>
      <c r="C67" s="464"/>
      <c r="D67" s="667" t="s">
        <v>531</v>
      </c>
      <c r="E67" s="677">
        <v>6</v>
      </c>
      <c r="F67" s="472"/>
      <c r="G67" s="545" t="str">
        <f t="shared" si="0"/>
        <v>Included</v>
      </c>
      <c r="H67" s="143"/>
      <c r="M67" s="184"/>
      <c r="N67" s="184"/>
    </row>
    <row r="68" spans="1:14" ht="42">
      <c r="A68" s="668" t="s">
        <v>371</v>
      </c>
      <c r="B68" s="660" t="s">
        <v>582</v>
      </c>
      <c r="C68" s="464"/>
      <c r="D68" s="667" t="s">
        <v>531</v>
      </c>
      <c r="E68" s="677">
        <v>49</v>
      </c>
      <c r="F68" s="472"/>
      <c r="G68" s="545" t="str">
        <f t="shared" si="0"/>
        <v>Included</v>
      </c>
      <c r="H68" s="143"/>
      <c r="M68" s="184"/>
      <c r="N68" s="184"/>
    </row>
    <row r="69" spans="1:14" ht="20.25">
      <c r="A69" s="246"/>
      <c r="B69" s="645" t="s">
        <v>468</v>
      </c>
      <c r="C69" s="247"/>
      <c r="D69" s="248"/>
      <c r="E69" s="249"/>
      <c r="F69" s="250"/>
      <c r="G69" s="411">
        <f>ROUND(SUM(G18:G68),0)</f>
        <v>0</v>
      </c>
      <c r="M69" s="186"/>
      <c r="N69" s="187"/>
    </row>
    <row r="70" spans="1:14" ht="27.95" customHeight="1">
      <c r="A70" s="289"/>
      <c r="B70" s="474"/>
      <c r="C70" s="475"/>
      <c r="D70" s="475"/>
      <c r="E70" s="475"/>
      <c r="F70" s="475"/>
      <c r="G70" s="475"/>
      <c r="M70" s="186"/>
      <c r="N70" s="187"/>
    </row>
    <row r="74" spans="1:14" ht="33.6" customHeight="1">
      <c r="A74" s="87" t="s">
        <v>226</v>
      </c>
      <c r="B74" s="212" t="str">
        <f>IF('Sch-1'!C80=0,"", 'Sch-1'!C80)</f>
        <v/>
      </c>
      <c r="C74" s="212"/>
      <c r="D74" s="402"/>
      <c r="E74" s="287"/>
      <c r="F74" s="89" t="s">
        <v>229</v>
      </c>
      <c r="G74" s="91" t="str">
        <f>IF('Sch-1'!M80=0,"",'Sch-1'!M80)</f>
        <v/>
      </c>
      <c r="M74" s="202"/>
      <c r="N74" s="253"/>
    </row>
    <row r="75" spans="1:14" ht="33.6" customHeight="1">
      <c r="A75" s="87" t="s">
        <v>227</v>
      </c>
      <c r="B75" s="212" t="str">
        <f>IF('Sch-1'!C81=0,"", 'Sch-1'!C81)</f>
        <v/>
      </c>
      <c r="C75" s="212"/>
      <c r="D75" s="94"/>
      <c r="E75" s="287"/>
      <c r="F75" s="89" t="s">
        <v>230</v>
      </c>
      <c r="G75" s="91" t="str">
        <f>IF('Sch-1'!M81=0,"",'Sch-1'!M81)</f>
        <v/>
      </c>
    </row>
    <row r="76" spans="1:14" ht="33.6" customHeight="1">
      <c r="A76" s="84"/>
      <c r="B76" s="83"/>
      <c r="C76" s="83"/>
      <c r="D76" s="28"/>
      <c r="E76" s="84"/>
    </row>
  </sheetData>
  <sheetProtection algorithmName="SHA-512" hashValue="wy9QbWAAOa9sd7Vi4Mkv9wx542Wt+DHeUvdz6nSWn3fSlVgXX7DQyUROtzuAhWxQPjLHPZPTLcRcdYciHCZ08w==" saltValue="VEbPoBIBvtG55INHqJu7Rw==" spinCount="100000" sheet="1" formatColumns="0" formatRows="0" selectLockedCells="1"/>
  <customSheetViews>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2"/>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3"/>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 guid="{08A645C4-A23F-4400-B0CE-1685BC312A6F}" printArea="1" hiddenColumns="1" topLeftCell="A19">
      <selection activeCell="C17" sqref="C17"/>
      <colBreaks count="1" manualBreakCount="1">
        <brk id="7" max="1048575" man="1"/>
      </colBreaks>
      <pageMargins left="0.51181102362204722" right="0.26" top="0.54" bottom="0.61" header="0.25" footer="0.43"/>
      <printOptions horizontalCentered="1"/>
      <pageSetup paperSize="9" scale="92" orientation="portrait" horizontalDpi="300" verticalDpi="300" r:id="rId9"/>
      <headerFooter alignWithMargins="0">
        <oddFooter>&amp;R&amp;"Book Antiqua,Bold"&amp;10Schedule-2/ Page &amp;P of &amp;N</oddFooter>
      </headerFooter>
    </customSheetView>
  </customSheetViews>
  <mergeCells count="8">
    <mergeCell ref="A17:G17"/>
    <mergeCell ref="B12:E12"/>
    <mergeCell ref="B8:E8"/>
    <mergeCell ref="A3:G3"/>
    <mergeCell ref="A4:G4"/>
    <mergeCell ref="B9:E9"/>
    <mergeCell ref="B10:E10"/>
    <mergeCell ref="B11:E11"/>
  </mergeCells>
  <phoneticPr fontId="3" type="noConversion"/>
  <dataValidations count="1">
    <dataValidation operator="greaterThan" allowBlank="1" showInputMessage="1" showErrorMessage="1" sqref="F18:F68" xr:uid="{00000000-0002-0000-0600-000000000000}"/>
  </dataValidations>
  <printOptions horizontalCentered="1"/>
  <pageMargins left="0.51181102362204722" right="0.26" top="0.54" bottom="0.61" header="0.25" footer="0.43"/>
  <pageSetup paperSize="9" scale="92" orientation="portrait" horizontalDpi="300" verticalDpi="300" r:id="rId10"/>
  <headerFooter alignWithMargins="0">
    <oddFooter>&amp;R&amp;"Book Antiqua,Bold"&amp;10Schedule-2/ Page &amp;P of &amp;N</oddFooter>
  </headerFooter>
  <colBreaks count="1" manualBreakCount="1">
    <brk id="7" max="1048575" man="1"/>
  </colBreaks>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theme="1"/>
  </sheetPr>
  <dimension ref="A1:AA24"/>
  <sheetViews>
    <sheetView zoomScaleNormal="100" zoomScaleSheetLayoutView="100" workbookViewId="0">
      <selection activeCell="I3" sqref="I3"/>
    </sheetView>
  </sheetViews>
  <sheetFormatPr defaultRowHeight="16.5"/>
  <cols>
    <col min="1" max="1" width="10.625" style="209" customWidth="1"/>
    <col min="2" max="2" width="33" style="86" customWidth="1"/>
    <col min="3" max="3" width="11.75" style="86" customWidth="1"/>
    <col min="4" max="4" width="7.625" style="85" customWidth="1"/>
    <col min="5" max="5" width="8.625" style="85" customWidth="1"/>
    <col min="6" max="6" width="14.5" style="85" customWidth="1"/>
    <col min="7" max="7" width="19.125" style="85" customWidth="1"/>
    <col min="8" max="8" width="11.125" style="28" customWidth="1"/>
    <col min="9" max="11" width="9" style="76"/>
    <col min="12" max="12" width="9" style="190"/>
    <col min="13" max="14" width="17.625" style="190" customWidth="1"/>
    <col min="15" max="27" width="9" style="190"/>
    <col min="28" max="16384" width="9" style="76"/>
  </cols>
  <sheetData>
    <row r="1" spans="1:14" ht="18" customHeight="1">
      <c r="A1" s="77" t="str">
        <f>Cover!B3</f>
        <v>Specification No.: ODP/BB/C&amp;M-3524/OT-20/RFx No. 5002003084/23-24</v>
      </c>
      <c r="B1" s="78"/>
      <c r="C1" s="78"/>
      <c r="D1" s="79"/>
      <c r="E1" s="79"/>
      <c r="F1" s="80"/>
      <c r="G1" s="81" t="s">
        <v>251</v>
      </c>
    </row>
    <row r="2" spans="1:14" ht="18" customHeight="1">
      <c r="A2" s="63"/>
      <c r="B2" s="83"/>
      <c r="C2" s="83"/>
      <c r="D2" s="84"/>
      <c r="E2" s="84"/>
      <c r="F2" s="28"/>
      <c r="G2" s="28"/>
    </row>
    <row r="3" spans="1:14" ht="44.25" customHeight="1">
      <c r="A3" s="786" t="str">
        <f>Cover!$B$2</f>
        <v>Supply &amp; Services contract for Diversion/Modification of 400kV S/C Rengali-Indravati Transmission Line near Bhawanipatna for Construction of NH Bypass Road (Deposit Work on Behalf of NHAI).</v>
      </c>
      <c r="B3" s="786"/>
      <c r="C3" s="786"/>
      <c r="D3" s="786"/>
      <c r="E3" s="786"/>
      <c r="F3" s="786"/>
      <c r="G3" s="786"/>
      <c r="L3" s="202"/>
      <c r="N3" s="203"/>
    </row>
    <row r="4" spans="1:14" ht="21.95" customHeight="1">
      <c r="A4" s="762" t="s">
        <v>246</v>
      </c>
      <c r="B4" s="762"/>
      <c r="C4" s="762"/>
      <c r="D4" s="762"/>
      <c r="E4" s="762"/>
      <c r="F4" s="762"/>
      <c r="G4" s="762"/>
      <c r="H4" s="241"/>
      <c r="L4" s="202"/>
      <c r="N4" s="203"/>
    </row>
    <row r="5" spans="1:14" ht="18" customHeight="1">
      <c r="A5" s="242"/>
      <c r="B5" s="205"/>
      <c r="C5" s="205"/>
      <c r="D5" s="204"/>
      <c r="E5" s="204"/>
      <c r="F5" s="204"/>
      <c r="G5" s="243"/>
      <c r="L5" s="202"/>
      <c r="N5" s="203"/>
    </row>
    <row r="6" spans="1:14" ht="18" customHeight="1">
      <c r="A6" s="25" t="str">
        <f>'Sch-1'!A6</f>
        <v>Bidder’s Name and Address</v>
      </c>
      <c r="B6" s="26"/>
      <c r="C6" s="26"/>
      <c r="D6" s="26"/>
      <c r="E6" s="26"/>
      <c r="F6" s="60" t="s">
        <v>216</v>
      </c>
      <c r="G6" s="28"/>
      <c r="H6" s="26"/>
      <c r="L6" s="202"/>
      <c r="N6" s="203"/>
    </row>
    <row r="7" spans="1:14" ht="18" customHeight="1">
      <c r="A7" s="206" t="str">
        <f>'Sch-1'!A7</f>
        <v xml:space="preserve">Bidder as </v>
      </c>
      <c r="F7" s="59" t="s">
        <v>218</v>
      </c>
      <c r="G7" s="28"/>
      <c r="H7" s="26"/>
      <c r="L7" s="202"/>
      <c r="N7" s="203"/>
    </row>
    <row r="8" spans="1:14" ht="18" customHeight="1">
      <c r="A8" s="25" t="s">
        <v>217</v>
      </c>
      <c r="B8" s="785" t="str">
        <f>IF('Sch-1'!G8=0, "", 'Sch-1'!G8)</f>
        <v/>
      </c>
      <c r="C8" s="785"/>
      <c r="D8" s="785"/>
      <c r="E8" s="785"/>
      <c r="F8" s="59" t="s">
        <v>220</v>
      </c>
      <c r="G8" s="28"/>
      <c r="H8" s="26"/>
      <c r="L8" s="202"/>
      <c r="N8" s="203"/>
    </row>
    <row r="9" spans="1:14" ht="18" customHeight="1">
      <c r="A9" s="25" t="s">
        <v>219</v>
      </c>
      <c r="B9" s="785" t="str">
        <f>IF('Sch-1'!G9=0, "", 'Sch-1'!G9)</f>
        <v/>
      </c>
      <c r="C9" s="785"/>
      <c r="D9" s="785"/>
      <c r="E9" s="785"/>
      <c r="F9" s="59" t="s">
        <v>221</v>
      </c>
      <c r="G9" s="28"/>
      <c r="H9" s="26"/>
      <c r="L9" s="202"/>
      <c r="N9" s="203"/>
    </row>
    <row r="10" spans="1:14" ht="18" customHeight="1">
      <c r="A10" s="26"/>
      <c r="B10" s="785" t="str">
        <f>IF('Sch-1'!G10=0, "", 'Sch-1'!G10)</f>
        <v/>
      </c>
      <c r="C10" s="785"/>
      <c r="D10" s="785"/>
      <c r="E10" s="785"/>
      <c r="F10" s="59" t="s">
        <v>222</v>
      </c>
      <c r="G10" s="28"/>
      <c r="H10" s="26"/>
    </row>
    <row r="11" spans="1:14" ht="18" customHeight="1">
      <c r="A11" s="26"/>
      <c r="B11" s="785" t="str">
        <f>IF('Sch-1'!G11=0, "", 'Sch-1'!G11)</f>
        <v/>
      </c>
      <c r="C11" s="785"/>
      <c r="D11" s="785"/>
      <c r="E11" s="785"/>
      <c r="F11" s="59" t="s">
        <v>223</v>
      </c>
      <c r="G11" s="28"/>
      <c r="H11" s="26"/>
    </row>
    <row r="12" spans="1:14" ht="18" customHeight="1">
      <c r="A12" s="26"/>
      <c r="B12" s="27"/>
      <c r="C12" s="27"/>
      <c r="D12" s="27"/>
      <c r="E12" s="27"/>
      <c r="F12" s="64"/>
      <c r="G12" s="28"/>
      <c r="H12" s="26"/>
    </row>
    <row r="13" spans="1:14" ht="18" customHeight="1">
      <c r="A13" s="26"/>
      <c r="B13" s="25"/>
      <c r="C13" s="25"/>
      <c r="D13" s="25"/>
      <c r="E13" s="25"/>
      <c r="F13" s="25"/>
      <c r="G13" s="81" t="s">
        <v>190</v>
      </c>
    </row>
    <row r="14" spans="1:14" ht="43.5" customHeight="1">
      <c r="A14" s="98" t="s">
        <v>191</v>
      </c>
      <c r="B14" s="98" t="s">
        <v>215</v>
      </c>
      <c r="C14" s="98" t="s">
        <v>165</v>
      </c>
      <c r="D14" s="207" t="s">
        <v>189</v>
      </c>
      <c r="E14" s="207" t="s">
        <v>192</v>
      </c>
      <c r="F14" s="98" t="s">
        <v>167</v>
      </c>
      <c r="G14" s="98" t="s">
        <v>194</v>
      </c>
      <c r="H14" s="183"/>
      <c r="M14" s="185"/>
      <c r="N14" s="185"/>
    </row>
    <row r="15" spans="1:14" ht="18" customHeight="1">
      <c r="A15" s="207">
        <v>1</v>
      </c>
      <c r="B15" s="207">
        <v>2</v>
      </c>
      <c r="C15" s="207">
        <v>3</v>
      </c>
      <c r="D15" s="207">
        <v>4</v>
      </c>
      <c r="E15" s="207">
        <v>5</v>
      </c>
      <c r="F15" s="207">
        <v>6</v>
      </c>
      <c r="G15" s="207" t="s">
        <v>166</v>
      </c>
      <c r="H15" s="143"/>
      <c r="M15" s="184"/>
      <c r="N15" s="184"/>
    </row>
    <row r="16" spans="1:14" ht="50.1" customHeight="1">
      <c r="A16" s="244" t="e">
        <f>'Sch-2'!#REF!</f>
        <v>#REF!</v>
      </c>
      <c r="B16" s="244" t="e">
        <f>'Sch-2'!#REF!</f>
        <v>#REF!</v>
      </c>
      <c r="C16" s="310" t="e">
        <f>'Sch-2'!#REF!</f>
        <v>#REF!</v>
      </c>
      <c r="D16" s="244" t="e">
        <f>'Sch-2'!#REF!</f>
        <v>#REF!</v>
      </c>
      <c r="E16" s="309" t="e">
        <f>'Sch-2'!#REF!</f>
        <v>#REF!</v>
      </c>
      <c r="F16" s="245" t="e">
        <f>'Sch-2'!#REF!</f>
        <v>#REF!</v>
      </c>
      <c r="G16" s="296" t="e">
        <f>IF(F16=0, "Included", IF(ISERROR(E16*F16), F16, E16*F16))</f>
        <v>#REF!</v>
      </c>
      <c r="M16" s="186"/>
      <c r="N16" s="186"/>
    </row>
    <row r="17" spans="1:14" ht="27.95" customHeight="1">
      <c r="A17" s="244">
        <f>'Sch-2'!A69</f>
        <v>0</v>
      </c>
      <c r="B17" s="247" t="s">
        <v>250</v>
      </c>
      <c r="C17" s="247"/>
      <c r="D17" s="248"/>
      <c r="E17" s="249"/>
      <c r="F17" s="250"/>
      <c r="G17" s="251" t="e">
        <f>ROUND(SUM(G16:G16),0)</f>
        <v>#REF!</v>
      </c>
      <c r="M17" s="186"/>
      <c r="N17" s="187"/>
    </row>
    <row r="18" spans="1:14" ht="27.95" customHeight="1">
      <c r="A18" s="289"/>
      <c r="B18" s="290"/>
      <c r="C18" s="290"/>
      <c r="D18" s="291"/>
      <c r="E18" s="292"/>
      <c r="F18" s="293"/>
      <c r="G18" s="294"/>
      <c r="M18" s="186"/>
      <c r="N18" s="187"/>
    </row>
    <row r="19" spans="1:14" ht="27.75" customHeight="1">
      <c r="A19" s="252"/>
      <c r="B19" s="211"/>
      <c r="C19" s="211"/>
      <c r="E19" s="209"/>
      <c r="F19" s="210"/>
      <c r="G19" s="210"/>
    </row>
    <row r="20" spans="1:14" ht="33.6" customHeight="1">
      <c r="A20" s="87" t="s">
        <v>226</v>
      </c>
      <c r="B20" s="212" t="str">
        <f>IF('Sch-1'!G80=0,"", 'Sch-1'!G80)</f>
        <v/>
      </c>
      <c r="C20" s="212"/>
      <c r="D20" s="88"/>
      <c r="E20" s="84"/>
      <c r="F20" s="89" t="s">
        <v>228</v>
      </c>
      <c r="G20" s="90"/>
      <c r="M20" s="202"/>
      <c r="N20" s="253"/>
    </row>
    <row r="21" spans="1:14" ht="33.6" customHeight="1">
      <c r="A21" s="87" t="s">
        <v>227</v>
      </c>
      <c r="B21" s="212" t="str">
        <f>IF('Sch-1'!G81=0,"", 'Sch-1'!G81)</f>
        <v/>
      </c>
      <c r="C21" s="212"/>
      <c r="D21" s="28"/>
      <c r="E21" s="84"/>
      <c r="F21" s="89" t="s">
        <v>229</v>
      </c>
      <c r="G21" s="91" t="str">
        <f>IF('Sch-1'!M80=0,"",'Sch-1'!M80)</f>
        <v/>
      </c>
    </row>
    <row r="22" spans="1:14" ht="33.6" customHeight="1">
      <c r="A22" s="84"/>
      <c r="B22" s="83"/>
      <c r="C22" s="83"/>
      <c r="D22" s="28"/>
      <c r="E22" s="84"/>
      <c r="F22" s="89" t="s">
        <v>230</v>
      </c>
      <c r="G22" s="91" t="str">
        <f>IF('Sch-1'!M81=0,"",'Sch-1'!M81)</f>
        <v/>
      </c>
    </row>
    <row r="23" spans="1:14" ht="33.6" customHeight="1">
      <c r="A23" s="84"/>
      <c r="B23" s="83"/>
      <c r="C23" s="83"/>
      <c r="D23" s="28"/>
      <c r="E23" s="84"/>
      <c r="F23" s="89" t="s">
        <v>231</v>
      </c>
      <c r="G23" s="90"/>
    </row>
    <row r="24" spans="1:14">
      <c r="A24" s="84"/>
      <c r="B24" s="791"/>
      <c r="C24" s="791"/>
      <c r="D24" s="792"/>
      <c r="E24" s="792"/>
      <c r="F24" s="792"/>
      <c r="G24" s="792"/>
    </row>
  </sheetData>
  <sheetProtection password="E848" sheet="1" objects="1" scenarios="1" selectLockedCells="1" selectUnlockedCells="1"/>
  <customSheetViews>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08A645C4-A23F-4400-B0CE-1685BC312A6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0" type="noConversion"/>
  <printOptions horizontalCentered="1"/>
  <pageMargins left="0.51181102362204722" right="0.26" top="0.54" bottom="0.61" header="0.25" footer="0.43"/>
  <pageSetup paperSize="9" orientation="portrait" horizontalDpi="300" verticalDpi="300" r:id="rId9"/>
  <headerFooter alignWithMargins="0">
    <oddFooter>&amp;R&amp;"Book Antiqua,Bold"&amp;10Schedule-2/ Page &amp;P of &amp;N</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sheetPr>
  <dimension ref="A1:V67"/>
  <sheetViews>
    <sheetView view="pageBreakPreview" topLeftCell="A49" zoomScale="90" zoomScaleNormal="85" zoomScaleSheetLayoutView="90" workbookViewId="0">
      <selection activeCell="J57" sqref="J57:J58"/>
    </sheetView>
  </sheetViews>
  <sheetFormatPr defaultRowHeight="18.75"/>
  <cols>
    <col min="1" max="1" width="11.75" style="535" customWidth="1"/>
    <col min="2" max="2" width="15.125" style="497" hidden="1" customWidth="1"/>
    <col min="3" max="3" width="57.125" style="497" customWidth="1"/>
    <col min="4" max="4" width="10.25" style="529" customWidth="1"/>
    <col min="5" max="5" width="9.5" style="529" customWidth="1"/>
    <col min="6" max="6" width="18.25" style="498" customWidth="1"/>
    <col min="7" max="7" width="18.375" style="498" customWidth="1"/>
    <col min="8" max="8" width="12.75" style="498" customWidth="1"/>
    <col min="9" max="9" width="18.375" style="498" customWidth="1"/>
    <col min="10" max="11" width="15.5" style="497" customWidth="1"/>
    <col min="12" max="12" width="19.125" style="497" customWidth="1"/>
    <col min="13" max="13" width="10.5" style="486" bestFit="1" customWidth="1"/>
    <col min="14" max="16" width="9" style="486"/>
    <col min="17" max="17" width="9" style="492"/>
    <col min="18" max="19" width="17.625" style="492" customWidth="1"/>
    <col min="20" max="22" width="9" style="492"/>
    <col min="23" max="16384" width="9" style="486"/>
  </cols>
  <sheetData>
    <row r="1" spans="1:19" ht="18" customHeight="1">
      <c r="A1" s="488" t="str">
        <f>Cover!B3</f>
        <v>Specification No.: ODP/BB/C&amp;M-3524/OT-20/RFx No. 5002003084/23-24</v>
      </c>
      <c r="B1" s="488"/>
      <c r="C1" s="488"/>
      <c r="D1" s="528"/>
      <c r="E1" s="528"/>
      <c r="F1" s="489"/>
      <c r="G1" s="489"/>
      <c r="H1" s="489"/>
      <c r="I1" s="489"/>
      <c r="J1" s="490"/>
      <c r="K1" s="490"/>
      <c r="L1" s="491" t="s">
        <v>252</v>
      </c>
    </row>
    <row r="2" spans="1:19" ht="18" customHeight="1">
      <c r="A2" s="525"/>
      <c r="B2" s="493"/>
      <c r="C2" s="493"/>
      <c r="D2" s="526"/>
      <c r="E2" s="526"/>
      <c r="F2" s="494"/>
      <c r="G2" s="494"/>
      <c r="H2" s="494"/>
      <c r="I2" s="494"/>
      <c r="J2" s="486"/>
      <c r="K2" s="486"/>
      <c r="L2" s="486"/>
    </row>
    <row r="3" spans="1:19" ht="54" customHeight="1">
      <c r="A3" s="798" t="str">
        <f>Cover!$B$2</f>
        <v>Supply &amp; Services contract for Diversion/Modification of 400kV S/C Rengali-Indravati Transmission Line near Bhawanipatna for Construction of NH Bypass Road (Deposit Work on Behalf of NHAI).</v>
      </c>
      <c r="B3" s="798"/>
      <c r="C3" s="798"/>
      <c r="D3" s="798"/>
      <c r="E3" s="798"/>
      <c r="F3" s="798"/>
      <c r="G3" s="798"/>
      <c r="H3" s="798"/>
      <c r="I3" s="798"/>
      <c r="J3" s="798"/>
      <c r="K3" s="798"/>
      <c r="L3" s="798"/>
      <c r="Q3" s="495" t="s">
        <v>179</v>
      </c>
      <c r="S3" s="496"/>
    </row>
    <row r="4" spans="1:19" ht="21.95" customHeight="1">
      <c r="A4" s="799" t="s">
        <v>469</v>
      </c>
      <c r="B4" s="799"/>
      <c r="C4" s="799"/>
      <c r="D4" s="799"/>
      <c r="E4" s="799"/>
      <c r="F4" s="799"/>
      <c r="G4" s="799"/>
      <c r="H4" s="799"/>
      <c r="I4" s="799"/>
      <c r="J4" s="799"/>
      <c r="K4" s="799"/>
      <c r="L4" s="799"/>
      <c r="Q4" s="495" t="s">
        <v>180</v>
      </c>
      <c r="S4" s="496"/>
    </row>
    <row r="5" spans="1:19" ht="18" customHeight="1">
      <c r="Q5" s="495" t="s">
        <v>184</v>
      </c>
      <c r="S5" s="496"/>
    </row>
    <row r="6" spans="1:19" ht="18" customHeight="1">
      <c r="A6" s="499" t="str">
        <f>'Sch-1'!A6</f>
        <v>Bidder’s Name and Address</v>
      </c>
      <c r="B6" s="499"/>
      <c r="C6" s="499"/>
      <c r="D6" s="530"/>
      <c r="E6" s="530"/>
      <c r="F6" s="500"/>
      <c r="G6" s="500"/>
      <c r="H6" s="500"/>
      <c r="I6" s="500"/>
      <c r="J6" s="486" t="s">
        <v>216</v>
      </c>
      <c r="K6" s="486"/>
      <c r="L6" s="486"/>
      <c r="Q6" s="495" t="s">
        <v>185</v>
      </c>
      <c r="S6" s="496"/>
    </row>
    <row r="7" spans="1:19" ht="18" customHeight="1">
      <c r="A7" s="501" t="str">
        <f>'Sch-1'!A7</f>
        <v xml:space="preserve">Bidder as </v>
      </c>
      <c r="B7" s="501"/>
      <c r="C7" s="501"/>
      <c r="D7" s="531"/>
      <c r="E7" s="531"/>
      <c r="J7" s="502" t="s">
        <v>523</v>
      </c>
      <c r="K7" s="502"/>
      <c r="L7" s="486"/>
      <c r="M7" s="500"/>
      <c r="Q7" s="495" t="s">
        <v>181</v>
      </c>
      <c r="S7" s="496"/>
    </row>
    <row r="8" spans="1:19">
      <c r="A8" s="499" t="s">
        <v>504</v>
      </c>
      <c r="B8" s="499"/>
      <c r="C8" s="539" t="str">
        <f>IF('Sch-1'!C8=0, "", 'Sch-1'!C8)</f>
        <v/>
      </c>
      <c r="D8" s="530"/>
      <c r="E8" s="530"/>
      <c r="F8" s="539" t="str">
        <f>IF('Sch-1'!G8=0, "", 'Sch-1'!G8)</f>
        <v/>
      </c>
      <c r="G8" s="539"/>
      <c r="H8" s="539"/>
      <c r="I8" s="539"/>
      <c r="J8" s="502" t="s">
        <v>408</v>
      </c>
      <c r="K8" s="502"/>
      <c r="L8" s="486"/>
      <c r="M8" s="500"/>
      <c r="Q8" s="495" t="s">
        <v>182</v>
      </c>
      <c r="S8" s="496"/>
    </row>
    <row r="9" spans="1:19">
      <c r="A9" s="499" t="s">
        <v>235</v>
      </c>
      <c r="B9" s="499"/>
      <c r="C9" s="539" t="str">
        <f>IF('Sch-1'!C9=0, "", 'Sch-1'!C9)</f>
        <v/>
      </c>
      <c r="D9" s="530"/>
      <c r="E9" s="530"/>
      <c r="F9" s="797" t="str">
        <f>IF('Sch-1'!G9=0, "", 'Sch-1'!G9)</f>
        <v/>
      </c>
      <c r="G9" s="797"/>
      <c r="H9" s="797"/>
      <c r="I9" s="797"/>
      <c r="J9" s="502" t="s">
        <v>452</v>
      </c>
      <c r="K9" s="502"/>
      <c r="L9" s="486"/>
      <c r="M9" s="500"/>
      <c r="Q9" s="495" t="s">
        <v>183</v>
      </c>
      <c r="S9" s="496"/>
    </row>
    <row r="10" spans="1:19">
      <c r="A10" s="499"/>
      <c r="B10" s="500"/>
      <c r="C10" s="539" t="str">
        <f>IF('Sch-1'!C10=0, "", 'Sch-1'!C10)</f>
        <v/>
      </c>
      <c r="D10" s="532"/>
      <c r="E10" s="532"/>
      <c r="F10" s="797" t="str">
        <f>IF('Sch-1'!G10=0, "", 'Sch-1'!G10)</f>
        <v/>
      </c>
      <c r="G10" s="797"/>
      <c r="H10" s="797"/>
      <c r="I10" s="797"/>
      <c r="J10" s="502" t="s">
        <v>453</v>
      </c>
      <c r="K10" s="502"/>
      <c r="L10" s="486"/>
      <c r="M10" s="500"/>
    </row>
    <row r="11" spans="1:19">
      <c r="A11" s="499"/>
      <c r="B11" s="500"/>
      <c r="C11" s="539" t="str">
        <f>IF('Sch-1'!C11=0, "", 'Sch-1'!C11)</f>
        <v/>
      </c>
      <c r="D11" s="532"/>
      <c r="E11" s="532"/>
      <c r="F11" s="797" t="str">
        <f>IF('Sch-1'!G11=0, "", 'Sch-1'!G11)</f>
        <v/>
      </c>
      <c r="G11" s="797"/>
      <c r="H11" s="797"/>
      <c r="I11" s="797"/>
      <c r="J11" s="502" t="s">
        <v>454</v>
      </c>
      <c r="K11" s="502"/>
      <c r="L11" s="486"/>
      <c r="M11" s="500"/>
    </row>
    <row r="12" spans="1:19" ht="18" customHeight="1">
      <c r="A12" s="499"/>
      <c r="B12" s="500"/>
      <c r="C12" s="500"/>
      <c r="D12" s="532"/>
      <c r="E12" s="532"/>
      <c r="F12" s="499"/>
      <c r="G12" s="499"/>
      <c r="H12" s="499"/>
      <c r="I12" s="499"/>
      <c r="J12" s="500"/>
      <c r="K12" s="500"/>
      <c r="L12" s="486"/>
    </row>
    <row r="13" spans="1:19" ht="18" customHeight="1">
      <c r="A13" s="536"/>
      <c r="B13" s="503"/>
      <c r="C13" s="503"/>
      <c r="D13" s="533"/>
      <c r="E13" s="533"/>
      <c r="F13" s="503"/>
      <c r="G13" s="503"/>
      <c r="H13" s="503"/>
      <c r="I13" s="503"/>
      <c r="J13" s="503"/>
      <c r="K13" s="503"/>
      <c r="L13" s="503"/>
    </row>
    <row r="14" spans="1:19" ht="18.600000000000001" customHeight="1">
      <c r="A14" s="499"/>
      <c r="B14" s="500"/>
      <c r="C14" s="500"/>
      <c r="D14" s="532"/>
      <c r="E14" s="532"/>
      <c r="F14" s="499"/>
      <c r="G14" s="499"/>
      <c r="H14" s="499"/>
      <c r="I14" s="499"/>
      <c r="J14" s="499"/>
      <c r="K14" s="499"/>
      <c r="L14" s="491" t="s">
        <v>464</v>
      </c>
    </row>
    <row r="15" spans="1:19" ht="204" customHeight="1">
      <c r="A15" s="504" t="s">
        <v>191</v>
      </c>
      <c r="B15" s="504" t="s">
        <v>500</v>
      </c>
      <c r="C15" s="504" t="s">
        <v>215</v>
      </c>
      <c r="D15" s="505" t="s">
        <v>189</v>
      </c>
      <c r="E15" s="505" t="s">
        <v>192</v>
      </c>
      <c r="F15" s="504" t="s">
        <v>472</v>
      </c>
      <c r="G15" s="504" t="s">
        <v>497</v>
      </c>
      <c r="H15" s="504" t="s">
        <v>465</v>
      </c>
      <c r="I15" s="504" t="s">
        <v>496</v>
      </c>
      <c r="J15" s="504" t="s">
        <v>470</v>
      </c>
      <c r="K15" s="506" t="s">
        <v>488</v>
      </c>
      <c r="L15" s="504" t="s">
        <v>471</v>
      </c>
      <c r="R15" s="507" t="s">
        <v>196</v>
      </c>
      <c r="S15" s="507" t="s">
        <v>233</v>
      </c>
    </row>
    <row r="16" spans="1:19">
      <c r="A16" s="505">
        <v>1</v>
      </c>
      <c r="B16" s="505">
        <v>2</v>
      </c>
      <c r="C16" s="505">
        <v>2</v>
      </c>
      <c r="D16" s="505">
        <v>3</v>
      </c>
      <c r="E16" s="505">
        <v>4</v>
      </c>
      <c r="F16" s="505">
        <v>5</v>
      </c>
      <c r="G16" s="505">
        <v>6</v>
      </c>
      <c r="H16" s="505">
        <v>7</v>
      </c>
      <c r="I16" s="505">
        <v>8</v>
      </c>
      <c r="J16" s="505">
        <v>9</v>
      </c>
      <c r="K16" s="505">
        <v>10</v>
      </c>
      <c r="L16" s="505">
        <v>11</v>
      </c>
      <c r="R16" s="508">
        <v>5</v>
      </c>
      <c r="S16" s="508" t="s">
        <v>225</v>
      </c>
    </row>
    <row r="17" spans="1:22" ht="30" customHeight="1">
      <c r="A17" s="511"/>
      <c r="B17" s="512"/>
      <c r="C17" s="514"/>
      <c r="D17" s="509"/>
      <c r="E17" s="509"/>
      <c r="F17" s="510"/>
      <c r="G17" s="510"/>
      <c r="H17" s="510"/>
      <c r="I17" s="510"/>
      <c r="J17" s="504"/>
      <c r="K17" s="504"/>
      <c r="L17" s="504"/>
      <c r="R17" s="508"/>
      <c r="S17" s="508"/>
    </row>
    <row r="18" spans="1:22" s="208" customFormat="1" ht="29.25" customHeight="1">
      <c r="A18" s="99"/>
      <c r="B18" s="99"/>
      <c r="C18" s="514" t="s">
        <v>511</v>
      </c>
      <c r="D18" s="99"/>
      <c r="E18" s="99"/>
      <c r="F18" s="538"/>
      <c r="G18" s="538"/>
      <c r="H18" s="538"/>
      <c r="I18" s="538"/>
      <c r="J18" s="254"/>
      <c r="K18" s="254"/>
      <c r="L18" s="254"/>
      <c r="M18" s="28"/>
      <c r="Q18" s="190"/>
      <c r="R18" s="184"/>
      <c r="S18" s="184"/>
      <c r="T18" s="190"/>
      <c r="U18" s="190"/>
      <c r="V18" s="190"/>
    </row>
    <row r="19" spans="1:22" s="208" customFormat="1">
      <c r="A19" s="697">
        <v>1</v>
      </c>
      <c r="B19" s="512"/>
      <c r="C19" s="683" t="s">
        <v>532</v>
      </c>
      <c r="D19" s="562"/>
      <c r="E19" s="99"/>
      <c r="F19" s="538"/>
      <c r="G19" s="538"/>
      <c r="H19" s="538"/>
      <c r="I19" s="538"/>
      <c r="J19" s="254"/>
      <c r="K19" s="254"/>
      <c r="L19" s="254"/>
      <c r="M19" s="28"/>
      <c r="Q19" s="190"/>
      <c r="R19" s="184"/>
      <c r="S19" s="184"/>
      <c r="T19" s="190"/>
      <c r="U19" s="190"/>
      <c r="V19" s="190"/>
    </row>
    <row r="20" spans="1:22" s="208" customFormat="1" ht="31.5">
      <c r="A20" s="698" t="s">
        <v>368</v>
      </c>
      <c r="B20" s="512"/>
      <c r="C20" s="684" t="s">
        <v>589</v>
      </c>
      <c r="D20" s="704" t="s">
        <v>618</v>
      </c>
      <c r="E20" s="707">
        <v>1.556</v>
      </c>
      <c r="F20" s="563">
        <v>998344</v>
      </c>
      <c r="G20" s="540" t="s">
        <v>480</v>
      </c>
      <c r="H20" s="563">
        <v>18</v>
      </c>
      <c r="I20" s="541" t="s">
        <v>480</v>
      </c>
      <c r="J20" s="543"/>
      <c r="K20" s="717">
        <f>IF( OR( I20="",I20="Confirmed"), H20*L20%, I20*L20%)</f>
        <v>1.8000000000000002E-3</v>
      </c>
      <c r="L20" s="542" t="str">
        <f>IF(J20=0,"0.01",J20*E20)</f>
        <v>0.01</v>
      </c>
      <c r="M20" s="28"/>
      <c r="Q20" s="190"/>
      <c r="R20" s="184"/>
      <c r="S20" s="184"/>
      <c r="T20" s="190"/>
      <c r="U20" s="190"/>
      <c r="V20" s="190"/>
    </row>
    <row r="21" spans="1:22" s="208" customFormat="1" ht="21">
      <c r="A21" s="698" t="s">
        <v>371</v>
      </c>
      <c r="B21" s="512"/>
      <c r="C21" s="684" t="s">
        <v>590</v>
      </c>
      <c r="D21" s="705" t="s">
        <v>618</v>
      </c>
      <c r="E21" s="707">
        <v>1.556</v>
      </c>
      <c r="F21" s="563">
        <v>998344</v>
      </c>
      <c r="G21" s="540" t="s">
        <v>480</v>
      </c>
      <c r="H21" s="563">
        <v>18</v>
      </c>
      <c r="I21" s="541" t="s">
        <v>480</v>
      </c>
      <c r="J21" s="543"/>
      <c r="K21" s="717">
        <f t="shared" ref="K21:K58" si="0">IF( OR( I21="",I21="Confirmed"), H21*L21%, I21*L21%)</f>
        <v>1.8000000000000002E-3</v>
      </c>
      <c r="L21" s="542" t="str">
        <f t="shared" ref="L21:L58" si="1">IF(J21=0,"0.01",J21*E21)</f>
        <v>0.01</v>
      </c>
      <c r="M21" s="28"/>
      <c r="Q21" s="190"/>
      <c r="R21" s="184"/>
      <c r="S21" s="184"/>
      <c r="T21" s="190"/>
      <c r="U21" s="190"/>
      <c r="V21" s="190"/>
    </row>
    <row r="22" spans="1:22" s="208" customFormat="1" ht="31.5">
      <c r="A22" s="662" t="s">
        <v>373</v>
      </c>
      <c r="B22" s="512"/>
      <c r="C22" s="650" t="s">
        <v>591</v>
      </c>
      <c r="D22" s="705" t="s">
        <v>619</v>
      </c>
      <c r="E22" s="710">
        <v>4</v>
      </c>
      <c r="F22" s="714">
        <v>998344</v>
      </c>
      <c r="G22" s="540" t="s">
        <v>480</v>
      </c>
      <c r="H22" s="563">
        <v>18</v>
      </c>
      <c r="I22" s="541" t="s">
        <v>480</v>
      </c>
      <c r="J22" s="543"/>
      <c r="K22" s="717">
        <f t="shared" si="0"/>
        <v>1.8000000000000002E-3</v>
      </c>
      <c r="L22" s="542" t="str">
        <f t="shared" si="1"/>
        <v>0.01</v>
      </c>
      <c r="M22" s="28"/>
      <c r="Q22" s="190"/>
      <c r="R22" s="184"/>
      <c r="S22" s="184"/>
      <c r="T22" s="190"/>
      <c r="U22" s="190"/>
      <c r="V22" s="190"/>
    </row>
    <row r="23" spans="1:22" s="208" customFormat="1" ht="99">
      <c r="A23" s="699">
        <v>2</v>
      </c>
      <c r="B23" s="512"/>
      <c r="C23" s="685" t="s">
        <v>592</v>
      </c>
      <c r="D23" s="706"/>
      <c r="E23" s="711"/>
      <c r="F23" s="714"/>
      <c r="G23" s="538"/>
      <c r="H23" s="538"/>
      <c r="I23" s="538"/>
      <c r="J23" s="254"/>
      <c r="K23" s="718"/>
      <c r="L23" s="254"/>
      <c r="M23" s="28"/>
      <c r="Q23" s="190"/>
      <c r="R23" s="184"/>
      <c r="S23" s="184"/>
      <c r="T23" s="190"/>
      <c r="U23" s="190"/>
      <c r="V23" s="190"/>
    </row>
    <row r="24" spans="1:22" s="208" customFormat="1" ht="21">
      <c r="A24" s="698" t="s">
        <v>368</v>
      </c>
      <c r="B24" s="512"/>
      <c r="C24" s="686" t="s">
        <v>593</v>
      </c>
      <c r="D24" s="705" t="s">
        <v>522</v>
      </c>
      <c r="E24" s="707">
        <v>75.634967999999986</v>
      </c>
      <c r="F24" s="648">
        <v>995455</v>
      </c>
      <c r="G24" s="540" t="s">
        <v>480</v>
      </c>
      <c r="H24" s="563">
        <v>18</v>
      </c>
      <c r="I24" s="541" t="s">
        <v>480</v>
      </c>
      <c r="J24" s="543"/>
      <c r="K24" s="717">
        <f t="shared" si="0"/>
        <v>1.8000000000000002E-3</v>
      </c>
      <c r="L24" s="542" t="str">
        <f t="shared" si="1"/>
        <v>0.01</v>
      </c>
      <c r="M24" s="28"/>
      <c r="Q24" s="190"/>
      <c r="R24" s="184"/>
      <c r="S24" s="184"/>
      <c r="T24" s="190"/>
      <c r="U24" s="190"/>
      <c r="V24" s="190"/>
    </row>
    <row r="25" spans="1:22" s="208" customFormat="1">
      <c r="A25" s="697">
        <v>3</v>
      </c>
      <c r="B25" s="512"/>
      <c r="C25" s="685" t="s">
        <v>594</v>
      </c>
      <c r="D25" s="706"/>
      <c r="E25" s="711"/>
      <c r="F25" s="714"/>
      <c r="G25" s="538"/>
      <c r="H25" s="538"/>
      <c r="I25" s="538"/>
      <c r="J25" s="254"/>
      <c r="K25" s="718"/>
      <c r="L25" s="254"/>
      <c r="M25" s="28"/>
      <c r="Q25" s="190"/>
      <c r="R25" s="184"/>
      <c r="S25" s="184"/>
      <c r="T25" s="190"/>
      <c r="U25" s="190"/>
      <c r="V25" s="190"/>
    </row>
    <row r="26" spans="1:22" s="208" customFormat="1" ht="31.5">
      <c r="A26" s="698" t="s">
        <v>368</v>
      </c>
      <c r="B26" s="512"/>
      <c r="C26" s="650" t="s">
        <v>595</v>
      </c>
      <c r="D26" s="705" t="s">
        <v>620</v>
      </c>
      <c r="E26" s="712">
        <v>120</v>
      </c>
      <c r="F26" s="648">
        <v>995456</v>
      </c>
      <c r="G26" s="540" t="s">
        <v>480</v>
      </c>
      <c r="H26" s="563">
        <v>18</v>
      </c>
      <c r="I26" s="541" t="s">
        <v>480</v>
      </c>
      <c r="J26" s="543"/>
      <c r="K26" s="717">
        <f t="shared" si="0"/>
        <v>1.8000000000000002E-3</v>
      </c>
      <c r="L26" s="542" t="str">
        <f t="shared" si="1"/>
        <v>0.01</v>
      </c>
      <c r="M26" s="28"/>
      <c r="Q26" s="190"/>
      <c r="R26" s="184"/>
      <c r="S26" s="184"/>
      <c r="T26" s="190"/>
      <c r="U26" s="190"/>
      <c r="V26" s="190"/>
    </row>
    <row r="27" spans="1:22" s="208" customFormat="1" ht="33">
      <c r="A27" s="697">
        <v>4</v>
      </c>
      <c r="B27" s="512"/>
      <c r="C27" s="685" t="s">
        <v>596</v>
      </c>
      <c r="D27" s="705"/>
      <c r="E27" s="707"/>
      <c r="F27" s="563"/>
      <c r="G27" s="538"/>
      <c r="H27" s="538"/>
      <c r="I27" s="538"/>
      <c r="J27" s="254"/>
      <c r="K27" s="718"/>
      <c r="L27" s="254"/>
      <c r="M27" s="28"/>
      <c r="Q27" s="190"/>
      <c r="R27" s="184"/>
      <c r="S27" s="184"/>
      <c r="T27" s="190"/>
      <c r="U27" s="190"/>
      <c r="V27" s="190"/>
    </row>
    <row r="28" spans="1:22" s="208" customFormat="1">
      <c r="A28" s="700">
        <v>4.0999999999999996</v>
      </c>
      <c r="B28" s="512"/>
      <c r="C28" s="687" t="s">
        <v>533</v>
      </c>
      <c r="D28" s="705"/>
      <c r="E28" s="707"/>
      <c r="F28" s="563"/>
      <c r="G28" s="538"/>
      <c r="H28" s="538"/>
      <c r="I28" s="538"/>
      <c r="J28" s="254"/>
      <c r="K28" s="718"/>
      <c r="L28" s="254"/>
      <c r="M28" s="28"/>
      <c r="Q28" s="190"/>
      <c r="R28" s="184"/>
      <c r="S28" s="184"/>
      <c r="T28" s="190"/>
      <c r="U28" s="190"/>
      <c r="V28" s="190"/>
    </row>
    <row r="29" spans="1:22" s="208" customFormat="1" ht="21">
      <c r="A29" s="698" t="s">
        <v>368</v>
      </c>
      <c r="B29" s="512"/>
      <c r="C29" s="650" t="s">
        <v>597</v>
      </c>
      <c r="D29" s="705" t="s">
        <v>621</v>
      </c>
      <c r="E29" s="707">
        <v>122.482</v>
      </c>
      <c r="F29" s="714">
        <v>995433</v>
      </c>
      <c r="G29" s="540" t="s">
        <v>480</v>
      </c>
      <c r="H29" s="563">
        <v>18</v>
      </c>
      <c r="I29" s="541" t="s">
        <v>480</v>
      </c>
      <c r="J29" s="543"/>
      <c r="K29" s="717">
        <f t="shared" si="0"/>
        <v>1.8000000000000002E-3</v>
      </c>
      <c r="L29" s="542" t="str">
        <f t="shared" si="1"/>
        <v>0.01</v>
      </c>
      <c r="M29" s="28"/>
      <c r="Q29" s="190"/>
      <c r="R29" s="184"/>
      <c r="S29" s="184"/>
      <c r="T29" s="190"/>
      <c r="U29" s="190"/>
      <c r="V29" s="190"/>
    </row>
    <row r="30" spans="1:22" s="208" customFormat="1" ht="21">
      <c r="A30" s="698" t="s">
        <v>371</v>
      </c>
      <c r="B30" s="512"/>
      <c r="C30" s="650" t="s">
        <v>598</v>
      </c>
      <c r="D30" s="705" t="s">
        <v>621</v>
      </c>
      <c r="E30" s="707">
        <v>1102.338</v>
      </c>
      <c r="F30" s="563">
        <v>995433</v>
      </c>
      <c r="G30" s="540" t="s">
        <v>480</v>
      </c>
      <c r="H30" s="563">
        <v>18</v>
      </c>
      <c r="I30" s="541" t="s">
        <v>480</v>
      </c>
      <c r="J30" s="543"/>
      <c r="K30" s="717">
        <f t="shared" si="0"/>
        <v>1.8000000000000002E-3</v>
      </c>
      <c r="L30" s="542" t="str">
        <f t="shared" si="1"/>
        <v>0.01</v>
      </c>
      <c r="M30" s="28"/>
      <c r="Q30" s="190"/>
      <c r="R30" s="184"/>
      <c r="S30" s="184"/>
      <c r="T30" s="190"/>
      <c r="U30" s="190"/>
      <c r="V30" s="190"/>
    </row>
    <row r="31" spans="1:22" s="208" customFormat="1" ht="49.5">
      <c r="A31" s="700">
        <v>4.2</v>
      </c>
      <c r="B31" s="512"/>
      <c r="C31" s="685" t="s">
        <v>599</v>
      </c>
      <c r="D31" s="705"/>
      <c r="E31" s="707"/>
      <c r="F31" s="648"/>
      <c r="G31" s="538"/>
      <c r="H31" s="538"/>
      <c r="I31" s="538"/>
      <c r="J31" s="254"/>
      <c r="K31" s="718"/>
      <c r="L31" s="254"/>
      <c r="M31" s="28"/>
      <c r="Q31" s="190"/>
      <c r="R31" s="184"/>
      <c r="S31" s="184"/>
      <c r="T31" s="190"/>
      <c r="U31" s="190"/>
      <c r="V31" s="190"/>
    </row>
    <row r="32" spans="1:22" s="208" customFormat="1" ht="21">
      <c r="A32" s="698" t="s">
        <v>368</v>
      </c>
      <c r="B32" s="512"/>
      <c r="C32" s="650" t="s">
        <v>534</v>
      </c>
      <c r="D32" s="705" t="s">
        <v>621</v>
      </c>
      <c r="E32" s="707">
        <v>128.60999999999999</v>
      </c>
      <c r="F32" s="563">
        <v>995454</v>
      </c>
      <c r="G32" s="540" t="s">
        <v>480</v>
      </c>
      <c r="H32" s="563">
        <v>18</v>
      </c>
      <c r="I32" s="541" t="s">
        <v>480</v>
      </c>
      <c r="J32" s="543"/>
      <c r="K32" s="717">
        <f t="shared" si="0"/>
        <v>1.8000000000000002E-3</v>
      </c>
      <c r="L32" s="542" t="str">
        <f t="shared" si="1"/>
        <v>0.01</v>
      </c>
      <c r="M32" s="28"/>
      <c r="Q32" s="190"/>
      <c r="R32" s="184"/>
      <c r="S32" s="184"/>
      <c r="T32" s="190"/>
      <c r="U32" s="190"/>
      <c r="V32" s="190"/>
    </row>
    <row r="33" spans="1:22" s="208" customFormat="1" ht="21">
      <c r="A33" s="700" t="s">
        <v>371</v>
      </c>
      <c r="B33" s="512"/>
      <c r="C33" s="650" t="s">
        <v>535</v>
      </c>
      <c r="D33" s="705" t="s">
        <v>621</v>
      </c>
      <c r="E33" s="707">
        <v>18.064</v>
      </c>
      <c r="F33" s="563">
        <v>995454</v>
      </c>
      <c r="G33" s="540" t="s">
        <v>480</v>
      </c>
      <c r="H33" s="563">
        <v>18</v>
      </c>
      <c r="I33" s="541" t="s">
        <v>480</v>
      </c>
      <c r="J33" s="543"/>
      <c r="K33" s="717">
        <f t="shared" si="0"/>
        <v>1.8000000000000002E-3</v>
      </c>
      <c r="L33" s="542" t="str">
        <f t="shared" si="1"/>
        <v>0.01</v>
      </c>
      <c r="M33" s="28"/>
      <c r="Q33" s="190"/>
      <c r="R33" s="184"/>
      <c r="S33" s="184"/>
      <c r="T33" s="190"/>
      <c r="U33" s="190"/>
      <c r="V33" s="190"/>
    </row>
    <row r="34" spans="1:22" s="208" customFormat="1">
      <c r="A34" s="700">
        <v>4.3</v>
      </c>
      <c r="B34" s="512"/>
      <c r="C34" s="688" t="s">
        <v>600</v>
      </c>
      <c r="D34" s="705"/>
      <c r="E34" s="707"/>
      <c r="F34" s="563"/>
      <c r="G34" s="538"/>
      <c r="H34" s="538"/>
      <c r="I34" s="538"/>
      <c r="J34" s="254"/>
      <c r="K34" s="718"/>
      <c r="L34" s="254"/>
      <c r="M34" s="28"/>
      <c r="Q34" s="190"/>
      <c r="R34" s="184"/>
      <c r="S34" s="184"/>
      <c r="T34" s="190"/>
      <c r="U34" s="190"/>
      <c r="V34" s="190"/>
    </row>
    <row r="35" spans="1:22" s="208" customFormat="1" ht="21">
      <c r="A35" s="698" t="s">
        <v>368</v>
      </c>
      <c r="B35" s="512"/>
      <c r="C35" s="650" t="s">
        <v>601</v>
      </c>
      <c r="D35" s="705" t="s">
        <v>522</v>
      </c>
      <c r="E35" s="707">
        <v>12.302</v>
      </c>
      <c r="F35" s="563">
        <v>995454</v>
      </c>
      <c r="G35" s="540" t="s">
        <v>480</v>
      </c>
      <c r="H35" s="563">
        <v>18</v>
      </c>
      <c r="I35" s="541" t="s">
        <v>480</v>
      </c>
      <c r="J35" s="543"/>
      <c r="K35" s="717">
        <f t="shared" si="0"/>
        <v>1.8000000000000002E-3</v>
      </c>
      <c r="L35" s="542" t="str">
        <f t="shared" si="1"/>
        <v>0.01</v>
      </c>
      <c r="M35" s="28"/>
      <c r="Q35" s="190"/>
      <c r="R35" s="184"/>
      <c r="S35" s="184"/>
      <c r="T35" s="190"/>
      <c r="U35" s="190"/>
      <c r="V35" s="190"/>
    </row>
    <row r="36" spans="1:22" s="208" customFormat="1" ht="33">
      <c r="A36" s="700">
        <v>4.4000000000000004</v>
      </c>
      <c r="B36" s="512"/>
      <c r="C36" s="685" t="s">
        <v>602</v>
      </c>
      <c r="D36" s="705" t="s">
        <v>522</v>
      </c>
      <c r="E36" s="707">
        <v>2.1432199999999999</v>
      </c>
      <c r="F36" s="563">
        <v>995455</v>
      </c>
      <c r="G36" s="540" t="s">
        <v>480</v>
      </c>
      <c r="H36" s="563">
        <v>18</v>
      </c>
      <c r="I36" s="541" t="s">
        <v>480</v>
      </c>
      <c r="J36" s="543"/>
      <c r="K36" s="717">
        <f t="shared" si="0"/>
        <v>1.8000000000000002E-3</v>
      </c>
      <c r="L36" s="542" t="str">
        <f t="shared" si="1"/>
        <v>0.01</v>
      </c>
      <c r="M36" s="28"/>
      <c r="Q36" s="190"/>
      <c r="R36" s="184"/>
      <c r="S36" s="184"/>
      <c r="T36" s="190"/>
      <c r="U36" s="190"/>
      <c r="V36" s="190"/>
    </row>
    <row r="37" spans="1:22" s="208" customFormat="1">
      <c r="A37" s="697">
        <v>5</v>
      </c>
      <c r="B37" s="512"/>
      <c r="C37" s="689" t="s">
        <v>603</v>
      </c>
      <c r="D37" s="705"/>
      <c r="E37" s="707"/>
      <c r="F37" s="563"/>
      <c r="G37" s="538"/>
      <c r="H37" s="538"/>
      <c r="I37" s="538"/>
      <c r="J37" s="254"/>
      <c r="K37" s="718"/>
      <c r="L37" s="254"/>
      <c r="M37" s="28"/>
      <c r="Q37" s="190"/>
      <c r="R37" s="184"/>
      <c r="S37" s="184"/>
      <c r="T37" s="190"/>
      <c r="U37" s="190"/>
      <c r="V37" s="190"/>
    </row>
    <row r="38" spans="1:22" s="208" customFormat="1" ht="21">
      <c r="A38" s="698" t="s">
        <v>368</v>
      </c>
      <c r="B38" s="512"/>
      <c r="C38" s="650" t="s">
        <v>526</v>
      </c>
      <c r="D38" s="705" t="s">
        <v>531</v>
      </c>
      <c r="E38" s="707">
        <v>4</v>
      </c>
      <c r="F38" s="648">
        <v>995468</v>
      </c>
      <c r="G38" s="540" t="s">
        <v>480</v>
      </c>
      <c r="H38" s="563">
        <v>18</v>
      </c>
      <c r="I38" s="541" t="s">
        <v>480</v>
      </c>
      <c r="J38" s="543"/>
      <c r="K38" s="717">
        <f t="shared" si="0"/>
        <v>1.8000000000000002E-3</v>
      </c>
      <c r="L38" s="542" t="str">
        <f t="shared" si="1"/>
        <v>0.01</v>
      </c>
      <c r="M38" s="28"/>
      <c r="Q38" s="190"/>
      <c r="R38" s="184"/>
      <c r="S38" s="184"/>
      <c r="T38" s="190"/>
      <c r="U38" s="190"/>
      <c r="V38" s="190"/>
    </row>
    <row r="39" spans="1:22" s="208" customFormat="1" ht="21">
      <c r="A39" s="698" t="s">
        <v>371</v>
      </c>
      <c r="B39" s="512"/>
      <c r="C39" s="650" t="s">
        <v>604</v>
      </c>
      <c r="D39" s="705" t="s">
        <v>531</v>
      </c>
      <c r="E39" s="712">
        <v>4</v>
      </c>
      <c r="F39" s="563">
        <v>995468</v>
      </c>
      <c r="G39" s="540" t="s">
        <v>480</v>
      </c>
      <c r="H39" s="563">
        <v>18</v>
      </c>
      <c r="I39" s="541" t="s">
        <v>480</v>
      </c>
      <c r="J39" s="543"/>
      <c r="K39" s="717">
        <f t="shared" si="0"/>
        <v>1.8000000000000002E-3</v>
      </c>
      <c r="L39" s="542" t="str">
        <f t="shared" si="1"/>
        <v>0.01</v>
      </c>
      <c r="M39" s="28"/>
      <c r="Q39" s="190"/>
      <c r="R39" s="184"/>
      <c r="S39" s="184"/>
      <c r="T39" s="190"/>
      <c r="U39" s="190"/>
      <c r="V39" s="190"/>
    </row>
    <row r="40" spans="1:22" s="208" customFormat="1" ht="21">
      <c r="A40" s="698" t="s">
        <v>373</v>
      </c>
      <c r="B40" s="512"/>
      <c r="C40" s="650" t="s">
        <v>605</v>
      </c>
      <c r="D40" s="705" t="s">
        <v>531</v>
      </c>
      <c r="E40" s="707">
        <v>1</v>
      </c>
      <c r="F40" s="714">
        <v>995468</v>
      </c>
      <c r="G40" s="540" t="s">
        <v>480</v>
      </c>
      <c r="H40" s="563">
        <v>18</v>
      </c>
      <c r="I40" s="541" t="s">
        <v>480</v>
      </c>
      <c r="J40" s="543"/>
      <c r="K40" s="717">
        <f t="shared" si="0"/>
        <v>1.8000000000000002E-3</v>
      </c>
      <c r="L40" s="542" t="str">
        <f t="shared" si="1"/>
        <v>0.01</v>
      </c>
      <c r="M40" s="28"/>
      <c r="Q40" s="190"/>
      <c r="R40" s="184"/>
      <c r="S40" s="184"/>
      <c r="T40" s="190"/>
      <c r="U40" s="190"/>
      <c r="V40" s="190"/>
    </row>
    <row r="41" spans="1:22" s="208" customFormat="1" ht="47.25">
      <c r="A41" s="698" t="s">
        <v>374</v>
      </c>
      <c r="B41" s="512"/>
      <c r="C41" s="649" t="s">
        <v>551</v>
      </c>
      <c r="D41" s="705" t="s">
        <v>530</v>
      </c>
      <c r="E41" s="707">
        <v>1</v>
      </c>
      <c r="F41" s="563">
        <v>995468</v>
      </c>
      <c r="G41" s="540" t="s">
        <v>480</v>
      </c>
      <c r="H41" s="563">
        <v>18</v>
      </c>
      <c r="I41" s="541" t="s">
        <v>480</v>
      </c>
      <c r="J41" s="543"/>
      <c r="K41" s="717">
        <f t="shared" si="0"/>
        <v>1.8000000000000002E-3</v>
      </c>
      <c r="L41" s="542" t="str">
        <f t="shared" si="1"/>
        <v>0.01</v>
      </c>
      <c r="M41" s="28"/>
      <c r="Q41" s="190"/>
      <c r="R41" s="184"/>
      <c r="S41" s="184"/>
      <c r="T41" s="190"/>
      <c r="U41" s="190"/>
      <c r="V41" s="190"/>
    </row>
    <row r="42" spans="1:22" s="208" customFormat="1">
      <c r="A42" s="697">
        <v>6</v>
      </c>
      <c r="B42" s="512"/>
      <c r="C42" s="683" t="s">
        <v>606</v>
      </c>
      <c r="D42" s="705"/>
      <c r="E42" s="707"/>
      <c r="F42" s="714"/>
      <c r="G42" s="538"/>
      <c r="H42" s="538"/>
      <c r="I42" s="538"/>
      <c r="J42" s="254"/>
      <c r="K42" s="718"/>
      <c r="L42" s="254"/>
      <c r="M42" s="28"/>
      <c r="Q42" s="190"/>
      <c r="R42" s="184"/>
      <c r="S42" s="184"/>
      <c r="T42" s="190"/>
      <c r="U42" s="190"/>
      <c r="V42" s="190"/>
    </row>
    <row r="43" spans="1:22" s="208" customFormat="1" ht="21">
      <c r="A43" s="698" t="s">
        <v>368</v>
      </c>
      <c r="B43" s="512"/>
      <c r="C43" s="650" t="s">
        <v>527</v>
      </c>
      <c r="D43" s="705" t="s">
        <v>531</v>
      </c>
      <c r="E43" s="707">
        <v>4</v>
      </c>
      <c r="F43" s="648">
        <v>995444</v>
      </c>
      <c r="G43" s="540" t="s">
        <v>480</v>
      </c>
      <c r="H43" s="563">
        <v>18</v>
      </c>
      <c r="I43" s="541" t="s">
        <v>480</v>
      </c>
      <c r="J43" s="543"/>
      <c r="K43" s="717">
        <f t="shared" si="0"/>
        <v>1.8000000000000002E-3</v>
      </c>
      <c r="L43" s="542" t="str">
        <f t="shared" si="1"/>
        <v>0.01</v>
      </c>
      <c r="M43" s="28"/>
      <c r="Q43" s="190"/>
      <c r="R43" s="184"/>
      <c r="S43" s="184"/>
      <c r="T43" s="190"/>
      <c r="U43" s="190"/>
      <c r="V43" s="190"/>
    </row>
    <row r="44" spans="1:22" s="208" customFormat="1" ht="21">
      <c r="A44" s="698" t="s">
        <v>371</v>
      </c>
      <c r="B44" s="512"/>
      <c r="C44" s="650" t="s">
        <v>528</v>
      </c>
      <c r="D44" s="705" t="s">
        <v>531</v>
      </c>
      <c r="E44" s="707">
        <v>4</v>
      </c>
      <c r="F44" s="563">
        <v>995444</v>
      </c>
      <c r="G44" s="540" t="s">
        <v>480</v>
      </c>
      <c r="H44" s="563">
        <v>18</v>
      </c>
      <c r="I44" s="541" t="s">
        <v>480</v>
      </c>
      <c r="J44" s="543"/>
      <c r="K44" s="717">
        <f t="shared" si="0"/>
        <v>1.8000000000000002E-3</v>
      </c>
      <c r="L44" s="542" t="str">
        <f t="shared" si="1"/>
        <v>0.01</v>
      </c>
      <c r="M44" s="28"/>
      <c r="Q44" s="190"/>
      <c r="R44" s="184"/>
      <c r="S44" s="184"/>
      <c r="T44" s="190"/>
      <c r="U44" s="190"/>
      <c r="V44" s="190"/>
    </row>
    <row r="45" spans="1:22" s="208" customFormat="1" ht="21">
      <c r="A45" s="698" t="s">
        <v>373</v>
      </c>
      <c r="B45" s="512"/>
      <c r="C45" s="650" t="s">
        <v>554</v>
      </c>
      <c r="D45" s="705" t="s">
        <v>584</v>
      </c>
      <c r="E45" s="707">
        <v>4</v>
      </c>
      <c r="F45" s="714">
        <v>995444</v>
      </c>
      <c r="G45" s="540" t="s">
        <v>480</v>
      </c>
      <c r="H45" s="563">
        <v>18</v>
      </c>
      <c r="I45" s="541" t="s">
        <v>480</v>
      </c>
      <c r="J45" s="543"/>
      <c r="K45" s="717">
        <f t="shared" si="0"/>
        <v>1.8000000000000002E-3</v>
      </c>
      <c r="L45" s="542" t="str">
        <f t="shared" si="1"/>
        <v>0.01</v>
      </c>
      <c r="M45" s="28"/>
      <c r="Q45" s="190"/>
      <c r="R45" s="184"/>
      <c r="S45" s="184"/>
      <c r="T45" s="190"/>
      <c r="U45" s="190"/>
      <c r="V45" s="190"/>
    </row>
    <row r="46" spans="1:22" s="208" customFormat="1" ht="21">
      <c r="A46" s="698" t="s">
        <v>374</v>
      </c>
      <c r="B46" s="512"/>
      <c r="C46" s="650" t="s">
        <v>536</v>
      </c>
      <c r="D46" s="705" t="s">
        <v>531</v>
      </c>
      <c r="E46" s="707">
        <v>4</v>
      </c>
      <c r="F46" s="563">
        <v>995444</v>
      </c>
      <c r="G46" s="540" t="s">
        <v>480</v>
      </c>
      <c r="H46" s="563">
        <v>18</v>
      </c>
      <c r="I46" s="541" t="s">
        <v>480</v>
      </c>
      <c r="J46" s="543"/>
      <c r="K46" s="717">
        <f t="shared" si="0"/>
        <v>1.8000000000000002E-3</v>
      </c>
      <c r="L46" s="542" t="str">
        <f t="shared" si="1"/>
        <v>0.01</v>
      </c>
      <c r="M46" s="28"/>
      <c r="Q46" s="190"/>
      <c r="R46" s="184"/>
      <c r="S46" s="184"/>
      <c r="T46" s="190"/>
      <c r="U46" s="190"/>
      <c r="V46" s="190"/>
    </row>
    <row r="47" spans="1:22" s="208" customFormat="1">
      <c r="A47" s="675"/>
      <c r="B47" s="512"/>
      <c r="C47" s="690"/>
      <c r="D47" s="705"/>
      <c r="E47" s="707"/>
      <c r="F47" s="563"/>
      <c r="G47" s="538"/>
      <c r="H47" s="538"/>
      <c r="I47" s="538"/>
      <c r="J47" s="254"/>
      <c r="K47" s="718"/>
      <c r="L47" s="254"/>
      <c r="M47" s="28"/>
      <c r="Q47" s="190"/>
      <c r="R47" s="184"/>
      <c r="S47" s="184"/>
      <c r="T47" s="190"/>
      <c r="U47" s="190"/>
      <c r="V47" s="190"/>
    </row>
    <row r="48" spans="1:22" s="208" customFormat="1" ht="82.5">
      <c r="A48" s="697">
        <v>7</v>
      </c>
      <c r="B48" s="512"/>
      <c r="C48" s="685" t="s">
        <v>607</v>
      </c>
      <c r="D48" s="705"/>
      <c r="E48" s="707"/>
      <c r="F48" s="648"/>
      <c r="G48" s="538"/>
      <c r="H48" s="538"/>
      <c r="I48" s="538"/>
      <c r="J48" s="254"/>
      <c r="K48" s="718"/>
      <c r="L48" s="254"/>
      <c r="M48" s="28"/>
      <c r="Q48" s="190"/>
      <c r="R48" s="184"/>
      <c r="S48" s="184"/>
      <c r="T48" s="190"/>
      <c r="U48" s="190"/>
      <c r="V48" s="190"/>
    </row>
    <row r="49" spans="1:22" s="208" customFormat="1" ht="21">
      <c r="A49" s="701" t="s">
        <v>368</v>
      </c>
      <c r="B49" s="512"/>
      <c r="C49" s="691" t="s">
        <v>608</v>
      </c>
      <c r="D49" s="701" t="s">
        <v>618</v>
      </c>
      <c r="E49" s="712">
        <v>1.556</v>
      </c>
      <c r="F49" s="563">
        <v>995468</v>
      </c>
      <c r="G49" s="540" t="s">
        <v>480</v>
      </c>
      <c r="H49" s="563">
        <v>18</v>
      </c>
      <c r="I49" s="541" t="s">
        <v>480</v>
      </c>
      <c r="J49" s="543"/>
      <c r="K49" s="717">
        <f t="shared" si="0"/>
        <v>1.8000000000000002E-3</v>
      </c>
      <c r="L49" s="542" t="str">
        <f t="shared" si="1"/>
        <v>0.01</v>
      </c>
      <c r="M49" s="28"/>
      <c r="Q49" s="190"/>
      <c r="R49" s="184"/>
      <c r="S49" s="184"/>
      <c r="T49" s="190"/>
      <c r="U49" s="190"/>
      <c r="V49" s="190"/>
    </row>
    <row r="50" spans="1:22" s="208" customFormat="1">
      <c r="A50" s="702">
        <v>8</v>
      </c>
      <c r="B50" s="512"/>
      <c r="C50" s="692" t="s">
        <v>609</v>
      </c>
      <c r="D50" s="647"/>
      <c r="E50" s="707"/>
      <c r="F50" s="648"/>
      <c r="G50" s="538"/>
      <c r="H50" s="538"/>
      <c r="I50" s="538"/>
      <c r="J50" s="254"/>
      <c r="K50" s="718"/>
      <c r="L50" s="254"/>
      <c r="M50" s="28"/>
      <c r="Q50" s="190"/>
      <c r="R50" s="184"/>
      <c r="S50" s="184"/>
      <c r="T50" s="190"/>
      <c r="U50" s="190"/>
      <c r="V50" s="190"/>
    </row>
    <row r="51" spans="1:22" s="208" customFormat="1" ht="21">
      <c r="A51" s="647" t="s">
        <v>368</v>
      </c>
      <c r="B51" s="512"/>
      <c r="C51" s="693" t="s">
        <v>610</v>
      </c>
      <c r="D51" s="647" t="s">
        <v>622</v>
      </c>
      <c r="E51" s="707">
        <v>2</v>
      </c>
      <c r="F51" s="714">
        <v>995468</v>
      </c>
      <c r="G51" s="540" t="s">
        <v>480</v>
      </c>
      <c r="H51" s="563">
        <v>18</v>
      </c>
      <c r="I51" s="541" t="s">
        <v>480</v>
      </c>
      <c r="J51" s="543"/>
      <c r="K51" s="717">
        <f t="shared" si="0"/>
        <v>1.8000000000000002E-3</v>
      </c>
      <c r="L51" s="542" t="str">
        <f t="shared" si="1"/>
        <v>0.01</v>
      </c>
      <c r="M51" s="28"/>
      <c r="Q51" s="190"/>
      <c r="R51" s="184"/>
      <c r="S51" s="184"/>
      <c r="T51" s="190"/>
      <c r="U51" s="190"/>
      <c r="V51" s="190"/>
    </row>
    <row r="52" spans="1:22" s="208" customFormat="1">
      <c r="A52" s="702">
        <v>9</v>
      </c>
      <c r="B52" s="512"/>
      <c r="C52" s="692" t="s">
        <v>611</v>
      </c>
      <c r="D52" s="708"/>
      <c r="E52" s="711"/>
      <c r="F52" s="714"/>
      <c r="G52" s="538"/>
      <c r="H52" s="538"/>
      <c r="I52" s="538"/>
      <c r="J52" s="254"/>
      <c r="K52" s="718"/>
      <c r="L52" s="254"/>
      <c r="M52" s="28"/>
      <c r="Q52" s="190"/>
      <c r="R52" s="184"/>
      <c r="S52" s="184"/>
      <c r="T52" s="190"/>
      <c r="U52" s="190"/>
      <c r="V52" s="190"/>
    </row>
    <row r="53" spans="1:22" s="208" customFormat="1" ht="78.75">
      <c r="A53" s="701" t="s">
        <v>368</v>
      </c>
      <c r="B53" s="512"/>
      <c r="C53" s="649" t="s">
        <v>612</v>
      </c>
      <c r="D53" s="701" t="s">
        <v>522</v>
      </c>
      <c r="E53" s="712">
        <v>28.37706</v>
      </c>
      <c r="F53" s="714">
        <v>995468</v>
      </c>
      <c r="G53" s="540" t="s">
        <v>480</v>
      </c>
      <c r="H53" s="563">
        <v>18</v>
      </c>
      <c r="I53" s="541" t="s">
        <v>480</v>
      </c>
      <c r="J53" s="543"/>
      <c r="K53" s="717">
        <f t="shared" si="0"/>
        <v>1.8000000000000002E-3</v>
      </c>
      <c r="L53" s="542" t="str">
        <f t="shared" si="1"/>
        <v>0.01</v>
      </c>
      <c r="M53" s="28"/>
      <c r="Q53" s="190"/>
      <c r="R53" s="184"/>
      <c r="S53" s="184"/>
      <c r="T53" s="190"/>
      <c r="U53" s="190"/>
      <c r="V53" s="190"/>
    </row>
    <row r="54" spans="1:22" s="208" customFormat="1" ht="47.25">
      <c r="A54" s="703" t="s">
        <v>371</v>
      </c>
      <c r="B54" s="512"/>
      <c r="C54" s="694" t="s">
        <v>613</v>
      </c>
      <c r="D54" s="701" t="s">
        <v>587</v>
      </c>
      <c r="E54" s="712">
        <v>1.5449999999999999</v>
      </c>
      <c r="F54" s="714">
        <v>995468</v>
      </c>
      <c r="G54" s="540" t="s">
        <v>480</v>
      </c>
      <c r="H54" s="563">
        <v>18</v>
      </c>
      <c r="I54" s="541" t="s">
        <v>480</v>
      </c>
      <c r="J54" s="543"/>
      <c r="K54" s="717">
        <f t="shared" si="0"/>
        <v>1.8000000000000002E-3</v>
      </c>
      <c r="L54" s="542" t="str">
        <f t="shared" si="1"/>
        <v>0.01</v>
      </c>
      <c r="M54" s="28"/>
      <c r="Q54" s="190"/>
      <c r="R54" s="184"/>
      <c r="S54" s="184"/>
      <c r="T54" s="190"/>
      <c r="U54" s="190"/>
      <c r="V54" s="190"/>
    </row>
    <row r="55" spans="1:22" s="208" customFormat="1">
      <c r="A55" s="702">
        <v>10</v>
      </c>
      <c r="B55" s="512"/>
      <c r="C55" s="695" t="s">
        <v>614</v>
      </c>
      <c r="D55" s="703"/>
      <c r="E55" s="713"/>
      <c r="F55" s="714"/>
      <c r="G55" s="538"/>
      <c r="H55" s="538"/>
      <c r="I55" s="538"/>
      <c r="J55" s="254"/>
      <c r="K55" s="718"/>
      <c r="L55" s="254"/>
      <c r="M55" s="28"/>
      <c r="Q55" s="190"/>
      <c r="R55" s="184"/>
      <c r="S55" s="184"/>
      <c r="T55" s="190"/>
      <c r="U55" s="190"/>
      <c r="V55" s="190"/>
    </row>
    <row r="56" spans="1:22" s="208" customFormat="1" ht="157.5">
      <c r="A56" s="703" t="s">
        <v>368</v>
      </c>
      <c r="B56" s="512"/>
      <c r="C56" s="646" t="s">
        <v>615</v>
      </c>
      <c r="D56" s="709" t="s">
        <v>621</v>
      </c>
      <c r="E56" s="712">
        <v>17.91</v>
      </c>
      <c r="F56" s="714">
        <v>995468</v>
      </c>
      <c r="G56" s="540" t="s">
        <v>480</v>
      </c>
      <c r="H56" s="563">
        <v>18</v>
      </c>
      <c r="I56" s="541" t="s">
        <v>480</v>
      </c>
      <c r="J56" s="543"/>
      <c r="K56" s="717">
        <f t="shared" si="0"/>
        <v>1.8000000000000002E-3</v>
      </c>
      <c r="L56" s="542" t="str">
        <f t="shared" si="1"/>
        <v>0.01</v>
      </c>
      <c r="M56" s="28"/>
      <c r="Q56" s="190"/>
      <c r="R56" s="184"/>
      <c r="S56" s="184"/>
      <c r="T56" s="190"/>
      <c r="U56" s="190"/>
      <c r="V56" s="190"/>
    </row>
    <row r="57" spans="1:22" s="208" customFormat="1" ht="78.75">
      <c r="A57" s="703" t="s">
        <v>371</v>
      </c>
      <c r="B57" s="512"/>
      <c r="C57" s="696" t="s">
        <v>616</v>
      </c>
      <c r="D57" s="701" t="s">
        <v>522</v>
      </c>
      <c r="E57" s="712">
        <v>0.95599999999999996</v>
      </c>
      <c r="F57" s="714">
        <v>995468</v>
      </c>
      <c r="G57" s="540" t="s">
        <v>480</v>
      </c>
      <c r="H57" s="563">
        <v>18</v>
      </c>
      <c r="I57" s="541" t="s">
        <v>480</v>
      </c>
      <c r="J57" s="543"/>
      <c r="K57" s="717">
        <f t="shared" si="0"/>
        <v>1.8000000000000002E-3</v>
      </c>
      <c r="L57" s="542" t="str">
        <f t="shared" si="1"/>
        <v>0.01</v>
      </c>
      <c r="M57" s="28"/>
      <c r="Q57" s="190"/>
      <c r="R57" s="184"/>
      <c r="S57" s="184"/>
      <c r="T57" s="190"/>
      <c r="U57" s="190"/>
      <c r="V57" s="190"/>
    </row>
    <row r="58" spans="1:22" s="208" customFormat="1" ht="47.25">
      <c r="A58" s="703" t="s">
        <v>373</v>
      </c>
      <c r="B58" s="512"/>
      <c r="C58" s="696" t="s">
        <v>617</v>
      </c>
      <c r="D58" s="701" t="s">
        <v>623</v>
      </c>
      <c r="E58" s="712">
        <v>3</v>
      </c>
      <c r="F58" s="714">
        <v>995468</v>
      </c>
      <c r="G58" s="540" t="s">
        <v>480</v>
      </c>
      <c r="H58" s="563">
        <v>18</v>
      </c>
      <c r="I58" s="541" t="s">
        <v>480</v>
      </c>
      <c r="J58" s="543"/>
      <c r="K58" s="717">
        <f t="shared" si="0"/>
        <v>1.8000000000000002E-3</v>
      </c>
      <c r="L58" s="542" t="str">
        <f t="shared" si="1"/>
        <v>0.01</v>
      </c>
      <c r="M58" s="28"/>
      <c r="Q58" s="190"/>
      <c r="R58" s="184"/>
      <c r="S58" s="184"/>
      <c r="T58" s="190"/>
      <c r="U58" s="190"/>
      <c r="V58" s="190"/>
    </row>
    <row r="59" spans="1:22">
      <c r="A59" s="485"/>
      <c r="B59" s="515"/>
      <c r="C59" s="513"/>
      <c r="D59" s="487"/>
      <c r="E59" s="487"/>
      <c r="F59" s="794" t="s">
        <v>253</v>
      </c>
      <c r="G59" s="795"/>
      <c r="H59" s="795"/>
      <c r="I59" s="795"/>
      <c r="J59" s="796"/>
      <c r="K59" s="719">
        <f>SUM(K20:K58)</f>
        <v>4.6800000000000022E-2</v>
      </c>
      <c r="L59" s="516">
        <f>SUM(L20:L58)</f>
        <v>0</v>
      </c>
      <c r="R59" s="517"/>
      <c r="S59" s="518" t="e">
        <f>ROUND(SUM(#REF!),0)</f>
        <v>#REF!</v>
      </c>
    </row>
    <row r="60" spans="1:22">
      <c r="A60" s="537"/>
      <c r="B60" s="519"/>
      <c r="C60" s="519"/>
      <c r="D60" s="534"/>
      <c r="E60" s="534"/>
      <c r="F60" s="519"/>
      <c r="G60" s="519"/>
      <c r="H60" s="519"/>
      <c r="I60" s="519"/>
      <c r="J60" s="519"/>
      <c r="K60" s="483"/>
      <c r="L60" s="520"/>
      <c r="R60" s="517"/>
      <c r="S60" s="518"/>
    </row>
    <row r="61" spans="1:22" ht="45" customHeight="1">
      <c r="A61" s="793" t="s">
        <v>501</v>
      </c>
      <c r="B61" s="793"/>
      <c r="C61" s="793"/>
      <c r="D61" s="793"/>
      <c r="E61" s="793"/>
      <c r="F61" s="793"/>
      <c r="G61" s="793"/>
      <c r="H61" s="793"/>
      <c r="I61" s="793"/>
      <c r="J61" s="793"/>
      <c r="K61" s="793"/>
      <c r="L61" s="520"/>
      <c r="R61" s="517"/>
      <c r="S61" s="518"/>
    </row>
    <row r="62" spans="1:22">
      <c r="A62" s="537"/>
      <c r="B62" s="519"/>
      <c r="C62" s="519"/>
      <c r="D62" s="534"/>
      <c r="E62" s="534"/>
      <c r="F62" s="521"/>
      <c r="G62" s="521"/>
      <c r="H62" s="521"/>
      <c r="I62" s="521"/>
      <c r="J62" s="521"/>
      <c r="K62" s="483"/>
      <c r="L62" s="520"/>
      <c r="R62" s="517"/>
      <c r="S62" s="518"/>
    </row>
    <row r="63" spans="1:22">
      <c r="A63" s="537"/>
      <c r="B63" s="519"/>
      <c r="C63" s="519"/>
      <c r="D63" s="534"/>
      <c r="E63" s="534"/>
      <c r="F63" s="521"/>
      <c r="G63" s="521"/>
      <c r="H63" s="521"/>
      <c r="I63" s="521"/>
      <c r="J63" s="521"/>
      <c r="K63" s="483"/>
      <c r="L63" s="520"/>
      <c r="R63" s="517"/>
      <c r="S63" s="518"/>
    </row>
    <row r="64" spans="1:22" ht="33.6" customHeight="1">
      <c r="A64" s="522" t="s">
        <v>226</v>
      </c>
      <c r="B64" s="522"/>
      <c r="C64" s="523" t="str">
        <f>IF('Sch-1'!C80=0,"", 'Sch-1'!C80)</f>
        <v/>
      </c>
      <c r="D64" s="483"/>
      <c r="E64" s="483"/>
      <c r="F64" s="523" t="str">
        <f>IF('Sch-1'!G80=0,"", 'Sch-1'!G80)</f>
        <v/>
      </c>
      <c r="G64" s="523"/>
      <c r="H64" s="523"/>
      <c r="I64" s="523"/>
      <c r="K64" s="524" t="s">
        <v>229</v>
      </c>
      <c r="L64" s="525" t="str">
        <f>IF('Sch-1'!M80=0,"",'Sch-1'!M80)</f>
        <v/>
      </c>
    </row>
    <row r="65" spans="1:12" ht="33.6" customHeight="1">
      <c r="A65" s="522" t="s">
        <v>227</v>
      </c>
      <c r="B65" s="522"/>
      <c r="C65" s="523" t="str">
        <f>IF('Sch-1'!C81=0,"", 'Sch-1'!C81)</f>
        <v/>
      </c>
      <c r="D65" s="483"/>
      <c r="E65" s="483"/>
      <c r="F65" s="523" t="str">
        <f>IF('Sch-1'!G81=0,"", 'Sch-1'!G81)</f>
        <v/>
      </c>
      <c r="G65" s="523"/>
      <c r="H65" s="523"/>
      <c r="I65" s="523"/>
      <c r="K65" s="524" t="s">
        <v>230</v>
      </c>
      <c r="L65" s="525" t="str">
        <f>IF('Sch-1'!M81=0,"",'Sch-1'!M81)</f>
        <v/>
      </c>
    </row>
    <row r="66" spans="1:12" ht="33.6" customHeight="1">
      <c r="A66" s="483"/>
      <c r="B66" s="526"/>
      <c r="C66" s="526"/>
      <c r="D66" s="526"/>
      <c r="E66" s="526"/>
      <c r="F66" s="494"/>
      <c r="G66" s="494"/>
      <c r="H66" s="494"/>
      <c r="I66" s="494"/>
    </row>
    <row r="67" spans="1:12" ht="33.6" customHeight="1">
      <c r="A67" s="483"/>
      <c r="B67" s="526"/>
      <c r="C67" s="526"/>
      <c r="D67" s="526"/>
      <c r="E67" s="526"/>
      <c r="F67" s="494"/>
      <c r="G67" s="494"/>
      <c r="H67" s="494"/>
      <c r="I67" s="494"/>
      <c r="J67" s="524"/>
      <c r="K67" s="524"/>
      <c r="L67" s="527"/>
    </row>
  </sheetData>
  <sheetProtection algorithmName="SHA-512" hashValue="b/d1WY0gyCSHUfVS6xUmVfgoYcLg9sMu7izxsn7z/I1zKPoSkcsDSQc2z49ukG0mL+7h2Gey/y/HdUXOjOMuFA==" saltValue="XgZEA6p9v3xGCqbsA9m6Lg==" spinCount="100000" sheet="1" formatColumns="0" formatRows="0" selectLockedCells="1"/>
  <customSheetViews>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2"/>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3"/>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4"/>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5"/>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6"/>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7"/>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8"/>
      <headerFooter alignWithMargins="0">
        <oddFooter>&amp;R&amp;"Book Antiqua,Bold"&amp;10Schedule-3/ Page &amp;P of &amp;N</oddFooter>
      </headerFooter>
    </customSheetView>
    <customSheetView guid="{08A645C4-A23F-4400-B0CE-1685BC312A6F}">
      <colBreaks count="1" manualBreakCount="1">
        <brk id="7" max="1048575" man="1"/>
      </colBreaks>
      <pageMargins left="0.51181102362204722" right="0.26" top="0.54" bottom="0.51" header="0.27" footer="0.32"/>
      <printOptions horizontalCentered="1"/>
      <pageSetup paperSize="9" orientation="portrait" horizontalDpi="300" verticalDpi="300" r:id="rId9"/>
      <headerFooter alignWithMargins="0">
        <oddFooter>&amp;R&amp;"Book Antiqua,Bold"&amp;10Schedule-3/ Page &amp;P of &amp;N</oddFooter>
      </headerFooter>
    </customSheetView>
  </customSheetViews>
  <mergeCells count="7">
    <mergeCell ref="A61:K61"/>
    <mergeCell ref="F59:J59"/>
    <mergeCell ref="F10:I10"/>
    <mergeCell ref="F11:I11"/>
    <mergeCell ref="A3:L3"/>
    <mergeCell ref="A4:L4"/>
    <mergeCell ref="F9:I9"/>
  </mergeCells>
  <phoneticPr fontId="3" type="noConversion"/>
  <dataValidations count="2">
    <dataValidation operator="greaterThan" allowBlank="1" showInputMessage="1" showErrorMessage="1" sqref="J19:K58" xr:uid="{00000000-0002-0000-0800-000000000000}"/>
    <dataValidation type="list" allowBlank="1" showInputMessage="1" showErrorMessage="1" sqref="I19:I58" xr:uid="{00000000-0002-0000-0800-000001000000}">
      <formula1>"Confirmed, 0,5,12,18,28"</formula1>
    </dataValidation>
  </dataValidations>
  <printOptions horizontalCentered="1"/>
  <pageMargins left="0.51181102362204722" right="0.27559055118110237" top="0.55118110236220474" bottom="0.51181102362204722" header="0.27559055118110237" footer="0.31496062992125984"/>
  <pageSetup paperSize="9" scale="33" orientation="landscape" horizontalDpi="300" verticalDpi="300" r:id="rId10"/>
  <headerFooter alignWithMargins="0">
    <oddFooter>&amp;R&amp;"Book Antiqua,Bold"&amp;10Schedule-3/ Page &amp;P of &amp;N</oddFooter>
  </headerFooter>
  <colBreaks count="1" manualBreakCount="1">
    <brk id="12" max="1048575" man="1"/>
  </colBreaks>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3"/>
  </sheetPr>
  <dimension ref="A1:Q70"/>
  <sheetViews>
    <sheetView topLeftCell="A8" zoomScale="85" zoomScaleNormal="85" zoomScaleSheetLayoutView="100" workbookViewId="0">
      <selection activeCell="I36" sqref="I36"/>
    </sheetView>
  </sheetViews>
  <sheetFormatPr defaultColWidth="10" defaultRowHeight="16.5"/>
  <cols>
    <col min="1" max="1" width="10.375" style="35" customWidth="1"/>
    <col min="2" max="2" width="50.125" style="35" customWidth="1"/>
    <col min="3" max="3" width="21.375" style="35" customWidth="1"/>
    <col min="4" max="4" width="20.5" style="35" customWidth="1"/>
    <col min="5" max="5" width="20" style="35" customWidth="1"/>
    <col min="6" max="6" width="10" style="32" customWidth="1"/>
    <col min="7" max="7" width="18.75" style="32" hidden="1" customWidth="1"/>
    <col min="8" max="8" width="10" style="32" customWidth="1"/>
    <col min="9" max="9" width="10" style="188" customWidth="1"/>
    <col min="10" max="10" width="12.625" style="188" customWidth="1"/>
    <col min="11" max="11" width="15" style="188" customWidth="1"/>
    <col min="12" max="17" width="10" style="188" customWidth="1"/>
    <col min="18" max="16384" width="10" style="32"/>
  </cols>
  <sheetData>
    <row r="1" spans="1:11" ht="18" customHeight="1">
      <c r="A1" s="56" t="str">
        <f>Cover!B3</f>
        <v>Specification No.: ODP/BB/C&amp;M-3524/OT-20/RFx No. 5002003084/23-24</v>
      </c>
      <c r="B1" s="57"/>
      <c r="C1" s="58"/>
      <c r="D1" s="58"/>
      <c r="E1" s="5" t="s">
        <v>173</v>
      </c>
    </row>
    <row r="2" spans="1:11" ht="15" customHeight="1">
      <c r="A2" s="2"/>
      <c r="B2" s="7"/>
      <c r="C2" s="3"/>
      <c r="D2" s="3"/>
      <c r="E2" s="1"/>
      <c r="F2" s="1"/>
    </row>
    <row r="3" spans="1:11" ht="74.25" customHeight="1">
      <c r="A3" s="820" t="str">
        <f>Cover!$B$2</f>
        <v>Supply &amp; Services contract for Diversion/Modification of 400kV S/C Rengali-Indravati Transmission Line near Bhawanipatna for Construction of NH Bypass Road (Deposit Work on Behalf of NHAI).</v>
      </c>
      <c r="B3" s="820"/>
      <c r="C3" s="820"/>
      <c r="D3" s="820"/>
      <c r="E3" s="820"/>
    </row>
    <row r="4" spans="1:11" ht="21.95" customHeight="1">
      <c r="A4" s="826" t="s">
        <v>236</v>
      </c>
      <c r="B4" s="826"/>
      <c r="C4" s="826"/>
      <c r="D4" s="826"/>
      <c r="E4" s="826"/>
    </row>
    <row r="5" spans="1:11" ht="12" customHeight="1">
      <c r="A5" s="38"/>
      <c r="B5" s="33"/>
      <c r="C5" s="33"/>
      <c r="D5" s="33"/>
      <c r="E5" s="33"/>
    </row>
    <row r="6" spans="1:11" ht="18" customHeight="1">
      <c r="A6" s="25" t="str">
        <f>'Sch-1'!A6</f>
        <v>Bidder’s Name and Address</v>
      </c>
      <c r="D6" s="35" t="s">
        <v>216</v>
      </c>
    </row>
    <row r="7" spans="1:11" ht="18" customHeight="1">
      <c r="A7" s="171" t="str">
        <f>'Sch-1'!A7</f>
        <v xml:space="preserve">Bidder as </v>
      </c>
      <c r="D7" s="462" t="s">
        <v>523</v>
      </c>
      <c r="E7" s="461"/>
      <c r="F7" s="463"/>
    </row>
    <row r="8" spans="1:11">
      <c r="A8" s="36" t="s">
        <v>234</v>
      </c>
      <c r="B8" s="825" t="str">
        <f>IF('Sch-1'!C8=0, "", 'Sch-1'!C8)</f>
        <v/>
      </c>
      <c r="C8" s="825"/>
      <c r="D8" s="462" t="s">
        <v>408</v>
      </c>
      <c r="E8" s="461"/>
      <c r="F8" s="463"/>
    </row>
    <row r="9" spans="1:11">
      <c r="A9" s="36" t="s">
        <v>235</v>
      </c>
      <c r="B9" s="825" t="str">
        <f>IF('Sch-1'!C9=0, "", 'Sch-1'!C9)</f>
        <v/>
      </c>
      <c r="C9" s="825"/>
      <c r="D9" s="462" t="s">
        <v>452</v>
      </c>
      <c r="E9" s="461"/>
      <c r="F9" s="463"/>
    </row>
    <row r="10" spans="1:11">
      <c r="A10" s="37"/>
      <c r="B10" s="825" t="str">
        <f>IF('Sch-1'!C10=0, "", 'Sch-1'!C10)</f>
        <v/>
      </c>
      <c r="C10" s="825"/>
      <c r="D10" s="462" t="s">
        <v>453</v>
      </c>
      <c r="E10" s="461"/>
      <c r="F10" s="463"/>
    </row>
    <row r="11" spans="1:11">
      <c r="A11" s="37"/>
      <c r="B11" s="825" t="str">
        <f>IF('Sch-1'!C11=0, "", 'Sch-1'!C11)</f>
        <v/>
      </c>
      <c r="C11" s="825"/>
      <c r="D11" s="462" t="s">
        <v>454</v>
      </c>
      <c r="E11" s="461"/>
      <c r="F11" s="463"/>
    </row>
    <row r="12" spans="1:11" ht="15" customHeight="1"/>
    <row r="13" spans="1:11" ht="21.95" customHeight="1">
      <c r="A13" s="71" t="s">
        <v>200</v>
      </c>
      <c r="B13" s="823" t="s">
        <v>201</v>
      </c>
      <c r="C13" s="824"/>
      <c r="D13" s="821" t="s">
        <v>202</v>
      </c>
      <c r="E13" s="822"/>
      <c r="K13" s="188" t="s">
        <v>131</v>
      </c>
    </row>
    <row r="14" spans="1:11" ht="18" customHeight="1">
      <c r="A14" s="39" t="s">
        <v>203</v>
      </c>
      <c r="B14" s="809" t="s">
        <v>473</v>
      </c>
      <c r="C14" s="810"/>
      <c r="D14" s="809"/>
      <c r="E14" s="810"/>
      <c r="G14" s="415">
        <f>340*0.1236</f>
        <v>42.024000000000001</v>
      </c>
      <c r="J14" s="188" t="s">
        <v>117</v>
      </c>
      <c r="K14" s="188" t="e">
        <f>ROUND('Sch-1'!#REF!*#REF!,0)</f>
        <v>#REF!</v>
      </c>
    </row>
    <row r="15" spans="1:11" ht="57.95" customHeight="1">
      <c r="A15" s="40"/>
      <c r="B15" s="808" t="s">
        <v>474</v>
      </c>
      <c r="C15" s="807"/>
      <c r="D15" s="812">
        <f>+'Sch-1'!L70</f>
        <v>6.6600000000000034E-2</v>
      </c>
      <c r="E15" s="813"/>
      <c r="G15" s="412">
        <f>340</f>
        <v>340</v>
      </c>
    </row>
    <row r="16" spans="1:11" ht="18" customHeight="1">
      <c r="A16" s="39" t="s">
        <v>205</v>
      </c>
      <c r="B16" s="809" t="s">
        <v>476</v>
      </c>
      <c r="C16" s="810"/>
      <c r="D16" s="809"/>
      <c r="E16" s="810"/>
      <c r="G16" s="32">
        <f>50*0.1236</f>
        <v>6.18</v>
      </c>
      <c r="J16" s="188" t="s">
        <v>132</v>
      </c>
      <c r="K16" s="189">
        <f>D16</f>
        <v>0</v>
      </c>
    </row>
    <row r="17" spans="1:11" ht="57.95" customHeight="1">
      <c r="A17" s="40"/>
      <c r="B17" s="808" t="s">
        <v>475</v>
      </c>
      <c r="C17" s="807"/>
      <c r="D17" s="811">
        <f>+'Sch-3 '!K59</f>
        <v>4.6800000000000022E-2</v>
      </c>
      <c r="E17" s="811"/>
      <c r="F17" s="414"/>
      <c r="G17" s="32">
        <f>56.18*0.02</f>
        <v>1.1235999999999999</v>
      </c>
    </row>
    <row r="18" spans="1:11" ht="24" hidden="1" customHeight="1">
      <c r="A18" s="39" t="s">
        <v>206</v>
      </c>
      <c r="B18" s="809" t="s">
        <v>509</v>
      </c>
      <c r="C18" s="810"/>
      <c r="D18" s="809"/>
      <c r="E18" s="810"/>
      <c r="F18" s="414"/>
    </row>
    <row r="19" spans="1:11" ht="31.5" hidden="1" customHeight="1">
      <c r="A19" s="40"/>
      <c r="B19" s="808" t="s">
        <v>510</v>
      </c>
      <c r="C19" s="807"/>
      <c r="D19" s="811">
        <f>'Sch-1'!L74</f>
        <v>1.8000000000000002E-3</v>
      </c>
      <c r="E19" s="811"/>
      <c r="F19" s="414"/>
    </row>
    <row r="20" spans="1:11" ht="18" hidden="1" customHeight="1">
      <c r="A20" s="39" t="s">
        <v>206</v>
      </c>
      <c r="B20" s="42" t="s">
        <v>265</v>
      </c>
      <c r="C20" s="42"/>
      <c r="D20" s="812" t="e">
        <f>(C22+C23)*C24</f>
        <v>#REF!</v>
      </c>
      <c r="E20" s="813"/>
      <c r="J20" s="188" t="s">
        <v>133</v>
      </c>
      <c r="K20" s="188" t="e">
        <f>D20</f>
        <v>#REF!</v>
      </c>
    </row>
    <row r="21" spans="1:11" ht="57.95" hidden="1" customHeight="1">
      <c r="A21" s="40"/>
      <c r="B21" s="807" t="s">
        <v>406</v>
      </c>
      <c r="C21" s="807"/>
      <c r="D21" s="801"/>
      <c r="E21" s="802"/>
      <c r="H21" s="414"/>
    </row>
    <row r="22" spans="1:11" ht="21" hidden="1" customHeight="1">
      <c r="A22" s="40"/>
      <c r="B22" s="41" t="s">
        <v>332</v>
      </c>
      <c r="C22" s="416"/>
      <c r="D22" s="803"/>
      <c r="E22" s="804"/>
      <c r="G22" s="419">
        <f>C22*0.1236</f>
        <v>0</v>
      </c>
    </row>
    <row r="23" spans="1:11" ht="21" hidden="1" customHeight="1">
      <c r="A23" s="40"/>
      <c r="B23" s="41" t="s">
        <v>335</v>
      </c>
      <c r="C23" s="416" t="e">
        <f>C22*#REF!</f>
        <v>#REF!</v>
      </c>
      <c r="D23" s="803"/>
      <c r="E23" s="804"/>
      <c r="G23" s="419">
        <f>G22+C22</f>
        <v>0</v>
      </c>
    </row>
    <row r="24" spans="1:11" ht="18" hidden="1" customHeight="1">
      <c r="A24" s="40"/>
      <c r="B24" s="41" t="s">
        <v>141</v>
      </c>
      <c r="C24" s="417"/>
      <c r="D24" s="805"/>
      <c r="E24" s="806"/>
      <c r="G24" s="419">
        <f>G23</f>
        <v>0</v>
      </c>
    </row>
    <row r="25" spans="1:11" ht="18" hidden="1" customHeight="1">
      <c r="A25" s="39" t="s">
        <v>207</v>
      </c>
      <c r="B25" s="42" t="s">
        <v>259</v>
      </c>
      <c r="C25" s="42"/>
      <c r="D25" s="800" t="str">
        <f>IF(Octroi!E16=0, "", ROUND(Octroi!E16,0))</f>
        <v/>
      </c>
      <c r="E25" s="800"/>
      <c r="G25" s="419">
        <f>G24*0.05</f>
        <v>0</v>
      </c>
    </row>
    <row r="26" spans="1:11" ht="51.75" hidden="1" customHeight="1">
      <c r="A26" s="40"/>
      <c r="B26" s="807" t="s">
        <v>329</v>
      </c>
      <c r="C26" s="807"/>
      <c r="D26" s="817" t="s">
        <v>447</v>
      </c>
      <c r="E26" s="817"/>
    </row>
    <row r="27" spans="1:11" ht="39" hidden="1" customHeight="1">
      <c r="A27" s="43"/>
      <c r="B27" s="465" t="s">
        <v>448</v>
      </c>
      <c r="C27" s="315"/>
      <c r="D27" s="817"/>
      <c r="E27" s="817"/>
    </row>
    <row r="28" spans="1:11" ht="18" hidden="1" customHeight="1">
      <c r="A28" s="39" t="s">
        <v>212</v>
      </c>
      <c r="B28" s="42" t="s">
        <v>260</v>
      </c>
      <c r="C28" s="42"/>
      <c r="D28" s="800" t="str">
        <f>IF('Entry Tax'!E16=0, "", ROUND('Entry Tax'!E16,0))</f>
        <v/>
      </c>
      <c r="E28" s="800"/>
    </row>
    <row r="29" spans="1:11" ht="50.1" hidden="1" customHeight="1">
      <c r="A29" s="40"/>
      <c r="B29" s="807" t="s">
        <v>330</v>
      </c>
      <c r="C29" s="807"/>
      <c r="D29" s="817" t="s">
        <v>447</v>
      </c>
      <c r="E29" s="817"/>
    </row>
    <row r="30" spans="1:11" ht="30" hidden="1" customHeight="1">
      <c r="A30" s="43"/>
      <c r="B30" s="465" t="s">
        <v>448</v>
      </c>
      <c r="C30" s="315"/>
      <c r="D30" s="817"/>
      <c r="E30" s="817"/>
    </row>
    <row r="31" spans="1:11" ht="15.6" hidden="1" customHeight="1">
      <c r="A31" s="39" t="s">
        <v>214</v>
      </c>
      <c r="B31" s="42" t="s">
        <v>208</v>
      </c>
      <c r="C31" s="42"/>
      <c r="D31" s="800" t="str">
        <f>IF('Other Taxes &amp; Duties'!F16=0, "", ROUND('Other Taxes &amp; Duties'!F16,0))</f>
        <v/>
      </c>
      <c r="E31" s="800"/>
    </row>
    <row r="32" spans="1:11" ht="15.6" hidden="1" customHeight="1">
      <c r="A32" s="40"/>
      <c r="B32" s="818" t="s">
        <v>271</v>
      </c>
      <c r="C32" s="819"/>
      <c r="D32" s="817"/>
      <c r="E32" s="817"/>
    </row>
    <row r="33" spans="1:6" ht="26.45" hidden="1" customHeight="1">
      <c r="A33" s="44"/>
      <c r="B33" s="41"/>
      <c r="C33" s="315" t="s">
        <v>324</v>
      </c>
      <c r="D33" s="817"/>
      <c r="E33" s="817"/>
    </row>
    <row r="34" spans="1:6" ht="18" customHeight="1">
      <c r="A34" s="473"/>
      <c r="B34" s="476" t="s">
        <v>477</v>
      </c>
      <c r="C34" s="477"/>
      <c r="D34" s="816">
        <f>+D15+D17</f>
        <v>0.11340000000000006</v>
      </c>
      <c r="E34" s="816"/>
    </row>
    <row r="35" spans="1:6" ht="15" customHeight="1">
      <c r="B35" s="45"/>
      <c r="C35" s="45"/>
      <c r="D35" s="46"/>
      <c r="E35" s="46"/>
    </row>
    <row r="36" spans="1:6" ht="81.75" customHeight="1">
      <c r="A36" s="70" t="s">
        <v>261</v>
      </c>
      <c r="B36" s="814" t="s">
        <v>445</v>
      </c>
      <c r="C36" s="815"/>
      <c r="D36" s="815"/>
      <c r="E36" s="815"/>
    </row>
    <row r="37" spans="1:6" ht="15" customHeight="1">
      <c r="A37" s="47"/>
      <c r="B37" s="47"/>
      <c r="C37" s="47"/>
      <c r="D37" s="47"/>
      <c r="E37" s="47"/>
    </row>
    <row r="38" spans="1:6" ht="33" customHeight="1">
      <c r="A38" s="29" t="s">
        <v>328</v>
      </c>
      <c r="B38" s="119" t="str">
        <f>IF('Sch-1'!C80=0,"", 'Sch-1'!C80)</f>
        <v/>
      </c>
      <c r="C38" s="403"/>
      <c r="D38" s="30"/>
      <c r="E38" s="404"/>
      <c r="F38" s="31"/>
    </row>
    <row r="39" spans="1:6" ht="33" customHeight="1">
      <c r="A39" s="29" t="s">
        <v>327</v>
      </c>
      <c r="B39" s="119" t="str">
        <f>IF('Sch-1'!C81=0,"", 'Sch-1'!C81)</f>
        <v/>
      </c>
      <c r="C39" s="405"/>
      <c r="D39" s="30" t="s">
        <v>229</v>
      </c>
      <c r="E39" s="93" t="str">
        <f>IF('Sch-1'!M80=0,"",'Sch-1'!M80)</f>
        <v/>
      </c>
      <c r="F39" s="31"/>
    </row>
    <row r="40" spans="1:6" ht="33" customHeight="1">
      <c r="A40" s="3"/>
      <c r="B40" s="406"/>
      <c r="C40" s="405"/>
      <c r="D40" s="30" t="s">
        <v>230</v>
      </c>
      <c r="E40" s="93" t="str">
        <f>IF('Sch-1'!M81=0,"",'Sch-1'!M81)</f>
        <v/>
      </c>
      <c r="F40" s="31"/>
    </row>
    <row r="41" spans="1:6" ht="33" customHeight="1">
      <c r="A41" s="3"/>
      <c r="B41" s="7"/>
      <c r="C41" s="1"/>
      <c r="D41" s="30"/>
      <c r="F41" s="31"/>
    </row>
    <row r="42" spans="1:6" ht="21.95" customHeight="1">
      <c r="A42" s="48"/>
      <c r="B42" s="48"/>
      <c r="C42" s="48"/>
      <c r="D42" s="48"/>
      <c r="E42" s="49"/>
    </row>
    <row r="43" spans="1:6" ht="21.95" customHeight="1">
      <c r="A43" s="48"/>
      <c r="B43" s="48"/>
      <c r="C43" s="48"/>
      <c r="D43" s="48"/>
      <c r="E43" s="49"/>
    </row>
    <row r="44" spans="1:6" ht="21.95" customHeight="1">
      <c r="A44" s="48"/>
      <c r="B44" s="48"/>
      <c r="C44" s="48"/>
      <c r="D44" s="48"/>
      <c r="E44" s="49"/>
    </row>
    <row r="45" spans="1:6" ht="21.95" customHeight="1">
      <c r="A45" s="48"/>
      <c r="B45" s="48"/>
      <c r="C45" s="48"/>
      <c r="D45" s="48"/>
      <c r="E45" s="49"/>
    </row>
    <row r="46" spans="1:6" ht="21.95" customHeight="1">
      <c r="A46" s="48"/>
      <c r="B46" s="48"/>
      <c r="C46" s="48"/>
      <c r="D46" s="48"/>
      <c r="E46" s="49"/>
    </row>
    <row r="47" spans="1:6" ht="21.95" customHeight="1">
      <c r="A47" s="48"/>
      <c r="B47" s="48"/>
      <c r="C47" s="48"/>
      <c r="D47" s="48"/>
      <c r="E47" s="49"/>
    </row>
    <row r="48" spans="1:6"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sheetProtection algorithmName="SHA-512" hashValue="UNQXO+ptJs2IGGYI3G5aDM5T6TOzceVfZ/MRiIzkHdotg+dm47+AaFfeizWNDxVyQleM6rxbug/Ef/alDx1SSA==" saltValue="IkL0RBaCoQwM6L5Cpd+seg==" spinCount="100000" sheet="1" formatColumns="0" formatRows="0" selectLockedCells="1"/>
  <dataConsolidate/>
  <customSheetViews>
    <customSheetView guid="{9CA44E70-650F-49CD-967F-298619682CA2}" topLeftCell="A37">
      <selection activeCell="D34" sqref="D34:E35"/>
      <pageMargins left="0.31" right="0.25" top="0.23" bottom="0.23" header="0.27" footer="0.24"/>
      <printOptions horizontalCentered="1"/>
      <pageSetup paperSize="9" scale="75" fitToHeight="0" orientation="portrait" r:id="rId1"/>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2"/>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3"/>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4"/>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5"/>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6"/>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7"/>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8"/>
      <headerFooter alignWithMargins="0">
        <oddFooter>&amp;R&amp;"Book Antiqua,Bold"&amp;10Schedule-5/ Page &amp;P of &amp;N</oddFooter>
      </headerFooter>
    </customSheetView>
    <customSheetView guid="{08A645C4-A23F-4400-B0CE-1685BC312A6F}" printArea="1" hiddenColumns="1" topLeftCell="A3">
      <selection activeCell="D15" sqref="D15:E16"/>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s>
  <mergeCells count="34">
    <mergeCell ref="A3:E3"/>
    <mergeCell ref="D13:E13"/>
    <mergeCell ref="B15:C15"/>
    <mergeCell ref="B14:C14"/>
    <mergeCell ref="B13:C13"/>
    <mergeCell ref="D15:E15"/>
    <mergeCell ref="D14:E14"/>
    <mergeCell ref="B10:C10"/>
    <mergeCell ref="B9:C9"/>
    <mergeCell ref="A4:E4"/>
    <mergeCell ref="B8:C8"/>
    <mergeCell ref="B11:C11"/>
    <mergeCell ref="B36:E36"/>
    <mergeCell ref="D34:E34"/>
    <mergeCell ref="B26:C26"/>
    <mergeCell ref="D32:E33"/>
    <mergeCell ref="D31:E31"/>
    <mergeCell ref="B29:C29"/>
    <mergeCell ref="D26:E27"/>
    <mergeCell ref="D29:E30"/>
    <mergeCell ref="B32:C32"/>
    <mergeCell ref="D28:E28"/>
    <mergeCell ref="D25:E25"/>
    <mergeCell ref="D21:E24"/>
    <mergeCell ref="B21:C21"/>
    <mergeCell ref="B17:C17"/>
    <mergeCell ref="D16:E16"/>
    <mergeCell ref="B16:C16"/>
    <mergeCell ref="D17:E17"/>
    <mergeCell ref="D20:E20"/>
    <mergeCell ref="B18:C18"/>
    <mergeCell ref="D18:E18"/>
    <mergeCell ref="B19:C19"/>
    <mergeCell ref="D19:E19"/>
  </mergeCells>
  <phoneticPr fontId="1" type="noConversion"/>
  <dataValidations xWindow="785" yWindow="823" count="4">
    <dataValidation operator="greaterThanOrEqual" allowBlank="1" showInputMessage="1" showErrorMessage="1" error="Enter Numeric figure in Percent only." prompt="Enter rate of VAT for Direct supply items indicated in Sch-1. Amount of VAT shall be displayed in the cell against TOTAL VAT." sqref="C24" xr:uid="{00000000-0002-0000-0900-000000000000}"/>
    <dataValidation allowBlank="1" showInputMessage="1" showErrorMessage="1" prompt="You may write remarks regarding Sales Tax here." sqref="D17:E17 D19:E19" xr:uid="{00000000-0002-0000-0900-000001000000}"/>
    <dataValidation allowBlank="1" showInputMessage="1" showErrorMessage="1" prompt="You may write remarks regarding VAT here." sqref="D21:E24" xr:uid="{00000000-0002-0000-0900-000002000000}"/>
    <dataValidation allowBlank="1" showInputMessage="1" showErrorMessage="1" prompt="You may write remarks regarding Octroi here." sqref="D26:E27 D32:E33 D29:E30" xr:uid="{00000000-0002-0000-0900-000003000000}"/>
  </dataValidations>
  <hyperlinks>
    <hyperlink ref="C33" location="'Other Taxes &amp; Duties'!A1" tooltip="Click here for details of Other taxes &amp; Duties" display="Click here for details of Other Taxes &amp; Duties" xr:uid="{00000000-0004-0000-0900-000000000000}"/>
  </hyperlinks>
  <printOptions horizontalCentered="1"/>
  <pageMargins left="0.31" right="0.25" top="0.23" bottom="0.23" header="0.27" footer="0.24"/>
  <pageSetup paperSize="9" scale="75" fitToHeight="0" orientation="portrait" r:id="rId10"/>
  <headerFooter alignWithMargins="0">
    <oddFooter>&amp;R&amp;"Book Antiqua,Bold"&amp;10Schedule-4/ Page &amp;P of &amp;N</oddFooter>
  </headerFooter>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1"/>
  </sheetPr>
  <dimension ref="A1:Q73"/>
  <sheetViews>
    <sheetView topLeftCell="A10" zoomScale="86" zoomScaleNormal="86" zoomScaleSheetLayoutView="100" workbookViewId="0">
      <selection activeCell="H23" sqref="H23"/>
    </sheetView>
  </sheetViews>
  <sheetFormatPr defaultColWidth="10" defaultRowHeight="16.5"/>
  <cols>
    <col min="1" max="1" width="10.375" style="35" customWidth="1"/>
    <col min="2" max="2" width="50.125" style="35" customWidth="1"/>
    <col min="3" max="3" width="21.375" style="35" customWidth="1"/>
    <col min="4" max="4" width="20.5" style="35" customWidth="1"/>
    <col min="5" max="5" width="20" style="35" customWidth="1"/>
    <col min="6" max="8" width="10" style="32" customWidth="1"/>
    <col min="9" max="9" width="10" style="188" customWidth="1"/>
    <col min="10" max="10" width="12.625" style="188" customWidth="1"/>
    <col min="11" max="11" width="15" style="188" customWidth="1"/>
    <col min="12" max="17" width="10" style="188" customWidth="1"/>
    <col min="18" max="16384" width="10" style="32"/>
  </cols>
  <sheetData>
    <row r="1" spans="1:11" ht="18" customHeight="1">
      <c r="A1" s="56" t="str">
        <f>Cover!B3</f>
        <v>Specification No.: ODP/BB/C&amp;M-3524/OT-20/RFx No. 5002003084/23-24</v>
      </c>
      <c r="B1" s="57"/>
      <c r="C1" s="58"/>
      <c r="D1" s="58"/>
      <c r="E1" s="5" t="s">
        <v>173</v>
      </c>
    </row>
    <row r="2" spans="1:11" ht="15" customHeight="1">
      <c r="A2" s="2"/>
      <c r="B2" s="7"/>
      <c r="C2" s="3"/>
      <c r="D2" s="3"/>
      <c r="E2" s="1"/>
      <c r="F2" s="1"/>
    </row>
    <row r="3" spans="1:11" ht="39.950000000000003" customHeight="1">
      <c r="A3" s="820" t="str">
        <f>Cover!$B$2</f>
        <v>Supply &amp; Services contract for Diversion/Modification of 400kV S/C Rengali-Indravati Transmission Line near Bhawanipatna for Construction of NH Bypass Road (Deposit Work on Behalf of NHAI).</v>
      </c>
      <c r="B3" s="820"/>
      <c r="C3" s="820"/>
      <c r="D3" s="820"/>
      <c r="E3" s="820"/>
    </row>
    <row r="4" spans="1:11" ht="21.95" customHeight="1">
      <c r="A4" s="826" t="s">
        <v>236</v>
      </c>
      <c r="B4" s="826"/>
      <c r="C4" s="826"/>
      <c r="D4" s="826"/>
      <c r="E4" s="826"/>
    </row>
    <row r="5" spans="1:11" ht="12" customHeight="1">
      <c r="A5" s="38"/>
      <c r="B5" s="33"/>
      <c r="C5" s="33"/>
      <c r="D5" s="33"/>
      <c r="E5" s="33"/>
    </row>
    <row r="6" spans="1:11" ht="18" customHeight="1">
      <c r="A6" s="25" t="str">
        <f>'Sch-1'!A6</f>
        <v>Bidder’s Name and Address</v>
      </c>
      <c r="D6" s="61" t="s">
        <v>216</v>
      </c>
    </row>
    <row r="7" spans="1:11" ht="18" customHeight="1">
      <c r="A7" s="171" t="str">
        <f>'Sch-1'!A7</f>
        <v xml:space="preserve">Bidder as </v>
      </c>
      <c r="D7" s="62" t="s">
        <v>218</v>
      </c>
    </row>
    <row r="8" spans="1:11" ht="18" customHeight="1">
      <c r="A8" s="36" t="s">
        <v>234</v>
      </c>
      <c r="B8" s="836" t="str">
        <f>IF('Sch-1'!G8=0, "", 'Sch-1'!G8)</f>
        <v/>
      </c>
      <c r="C8" s="836"/>
      <c r="D8" s="62" t="s">
        <v>220</v>
      </c>
    </row>
    <row r="9" spans="1:11" ht="18" customHeight="1">
      <c r="A9" s="36" t="s">
        <v>235</v>
      </c>
      <c r="B9" s="836" t="str">
        <f>IF('Sch-1'!G9=0, "", 'Sch-1'!G9)</f>
        <v/>
      </c>
      <c r="C9" s="836"/>
      <c r="D9" s="62" t="s">
        <v>221</v>
      </c>
    </row>
    <row r="10" spans="1:11" ht="18" customHeight="1">
      <c r="A10" s="37"/>
      <c r="B10" s="836" t="str">
        <f>IF('Sch-1'!G10=0, "", 'Sch-1'!G10)</f>
        <v/>
      </c>
      <c r="C10" s="836"/>
      <c r="D10" s="62" t="s">
        <v>222</v>
      </c>
    </row>
    <row r="11" spans="1:11" ht="18" customHeight="1">
      <c r="A11" s="37"/>
      <c r="B11" s="836" t="str">
        <f>IF('Sch-1'!G11=0, "", 'Sch-1'!G11)</f>
        <v/>
      </c>
      <c r="C11" s="836"/>
      <c r="D11" s="62" t="s">
        <v>223</v>
      </c>
    </row>
    <row r="12" spans="1:11" ht="15" customHeight="1"/>
    <row r="13" spans="1:11" ht="21.95" customHeight="1">
      <c r="A13" s="71" t="s">
        <v>200</v>
      </c>
      <c r="B13" s="823" t="s">
        <v>201</v>
      </c>
      <c r="C13" s="824"/>
      <c r="D13" s="821" t="s">
        <v>202</v>
      </c>
      <c r="E13" s="822"/>
      <c r="K13" s="188" t="s">
        <v>131</v>
      </c>
    </row>
    <row r="14" spans="1:11" ht="18" customHeight="1">
      <c r="A14" s="39" t="s">
        <v>203</v>
      </c>
      <c r="B14" s="809" t="s">
        <v>204</v>
      </c>
      <c r="C14" s="810"/>
      <c r="D14" s="827" t="e">
        <f>ROUND('Sch-1 Dis'!G19*C16,0)</f>
        <v>#REF!</v>
      </c>
      <c r="E14" s="828"/>
      <c r="J14" s="188" t="s">
        <v>117</v>
      </c>
      <c r="K14" s="188" t="e">
        <f>ROUND('Sch-1'!#REF!*C16,0)</f>
        <v>#REF!</v>
      </c>
    </row>
    <row r="15" spans="1:11" ht="57.95" customHeight="1">
      <c r="A15" s="40"/>
      <c r="B15" s="807" t="s">
        <v>270</v>
      </c>
      <c r="C15" s="807"/>
      <c r="D15" s="837"/>
      <c r="E15" s="837"/>
    </row>
    <row r="16" spans="1:11" ht="18" customHeight="1">
      <c r="A16" s="40"/>
      <c r="B16" s="41" t="s">
        <v>237</v>
      </c>
      <c r="C16" s="313" t="e">
        <f>'Sch-4'!#REF!</f>
        <v>#REF!</v>
      </c>
      <c r="D16" s="837"/>
      <c r="E16" s="837"/>
    </row>
    <row r="17" spans="1:11" ht="18" customHeight="1">
      <c r="A17" s="39" t="s">
        <v>205</v>
      </c>
      <c r="B17" s="42" t="s">
        <v>264</v>
      </c>
      <c r="C17" s="42"/>
      <c r="D17" s="835" t="e">
        <f>(C19+C20)*C21</f>
        <v>#REF!</v>
      </c>
      <c r="E17" s="835"/>
      <c r="J17" s="188" t="s">
        <v>132</v>
      </c>
      <c r="K17" s="189" t="e">
        <f>D17</f>
        <v>#REF!</v>
      </c>
    </row>
    <row r="18" spans="1:11" ht="57.95" customHeight="1">
      <c r="A18" s="40"/>
      <c r="B18" s="807" t="s">
        <v>268</v>
      </c>
      <c r="C18" s="807"/>
      <c r="D18" s="801"/>
      <c r="E18" s="802"/>
    </row>
    <row r="19" spans="1:11" ht="18" customHeight="1">
      <c r="A19" s="40"/>
      <c r="B19" s="41" t="s">
        <v>174</v>
      </c>
      <c r="C19" s="314" t="e">
        <f>'Sch-4'!#REF!*(1-'Sch-1'!S14)</f>
        <v>#REF!</v>
      </c>
      <c r="D19" s="803"/>
      <c r="E19" s="804"/>
    </row>
    <row r="20" spans="1:11" ht="18" customHeight="1">
      <c r="A20" s="40"/>
      <c r="B20" s="41"/>
      <c r="C20" s="314" t="e">
        <f>C19*C16</f>
        <v>#REF!</v>
      </c>
      <c r="D20" s="803"/>
      <c r="E20" s="804"/>
    </row>
    <row r="21" spans="1:11" ht="18" customHeight="1">
      <c r="A21" s="40"/>
      <c r="B21" s="41" t="s">
        <v>266</v>
      </c>
      <c r="C21" s="313" t="e">
        <f>'Sch-4'!#REF!</f>
        <v>#REF!</v>
      </c>
      <c r="D21" s="805"/>
      <c r="E21" s="806"/>
    </row>
    <row r="22" spans="1:11" ht="18" customHeight="1">
      <c r="A22" s="39" t="s">
        <v>206</v>
      </c>
      <c r="B22" s="42" t="s">
        <v>265</v>
      </c>
      <c r="C22" s="42"/>
      <c r="D22" s="827" t="e">
        <f>(C24+C25)*C26</f>
        <v>#REF!</v>
      </c>
      <c r="E22" s="828"/>
      <c r="J22" s="188" t="s">
        <v>133</v>
      </c>
      <c r="K22" s="188" t="e">
        <f>D22</f>
        <v>#REF!</v>
      </c>
    </row>
    <row r="23" spans="1:11" ht="57.95" customHeight="1">
      <c r="A23" s="40"/>
      <c r="B23" s="807" t="s">
        <v>267</v>
      </c>
      <c r="C23" s="807"/>
      <c r="D23" s="801"/>
      <c r="E23" s="802"/>
    </row>
    <row r="24" spans="1:11" ht="25.5" customHeight="1">
      <c r="A24" s="40"/>
      <c r="B24" s="41" t="s">
        <v>332</v>
      </c>
      <c r="C24" s="322" t="e">
        <f>'Sch-1 Dis'!G19-C19</f>
        <v>#REF!</v>
      </c>
      <c r="D24" s="803"/>
      <c r="E24" s="804"/>
    </row>
    <row r="25" spans="1:11" ht="21.75" customHeight="1">
      <c r="A25" s="40"/>
      <c r="B25" s="41" t="s">
        <v>335</v>
      </c>
      <c r="C25" s="41" t="e">
        <f>C24*C16</f>
        <v>#REF!</v>
      </c>
      <c r="D25" s="803"/>
      <c r="E25" s="804"/>
    </row>
    <row r="26" spans="1:11" ht="18" customHeight="1">
      <c r="A26" s="40"/>
      <c r="B26" s="41" t="s">
        <v>141</v>
      </c>
      <c r="C26" s="313">
        <f>'Sch-4'!C24</f>
        <v>0</v>
      </c>
      <c r="D26" s="805"/>
      <c r="E26" s="806"/>
    </row>
    <row r="27" spans="1:11" ht="18" customHeight="1">
      <c r="A27" s="39" t="s">
        <v>207</v>
      </c>
      <c r="B27" s="42" t="s">
        <v>259</v>
      </c>
      <c r="C27" s="42"/>
      <c r="D27" s="800" t="str">
        <f>'Sch-4'!D25:E25</f>
        <v/>
      </c>
      <c r="E27" s="800"/>
    </row>
    <row r="28" spans="1:11" ht="51.75" customHeight="1">
      <c r="A28" s="40"/>
      <c r="B28" s="807" t="s">
        <v>269</v>
      </c>
      <c r="C28" s="807"/>
      <c r="D28" s="817" t="s">
        <v>314</v>
      </c>
      <c r="E28" s="817"/>
    </row>
    <row r="29" spans="1:11" ht="39" customHeight="1">
      <c r="A29" s="43"/>
      <c r="B29" s="41"/>
      <c r="C29" s="298" t="s">
        <v>315</v>
      </c>
      <c r="D29" s="817"/>
      <c r="E29" s="817"/>
    </row>
    <row r="30" spans="1:11" ht="18" customHeight="1">
      <c r="A30" s="39" t="s">
        <v>212</v>
      </c>
      <c r="B30" s="42" t="s">
        <v>260</v>
      </c>
      <c r="C30" s="42"/>
      <c r="D30" s="800" t="str">
        <f>'Sch-4'!D28:E28</f>
        <v/>
      </c>
      <c r="E30" s="800"/>
    </row>
    <row r="31" spans="1:11" ht="50.1" customHeight="1">
      <c r="A31" s="40"/>
      <c r="B31" s="807" t="s">
        <v>269</v>
      </c>
      <c r="C31" s="807"/>
      <c r="D31" s="817" t="s">
        <v>314</v>
      </c>
      <c r="E31" s="817"/>
    </row>
    <row r="32" spans="1:11" ht="30" customHeight="1">
      <c r="A32" s="43"/>
      <c r="B32" s="41"/>
      <c r="C32" s="298" t="s">
        <v>316</v>
      </c>
      <c r="D32" s="817"/>
      <c r="E32" s="817"/>
    </row>
    <row r="33" spans="1:6" ht="18" customHeight="1">
      <c r="A33" s="39" t="s">
        <v>214</v>
      </c>
      <c r="B33" s="42" t="s">
        <v>208</v>
      </c>
      <c r="C33" s="42"/>
      <c r="D33" s="800" t="str">
        <f>'Sch-4'!D31:E31</f>
        <v/>
      </c>
      <c r="E33" s="800"/>
    </row>
    <row r="34" spans="1:6" ht="60" customHeight="1">
      <c r="A34" s="40"/>
      <c r="B34" s="818" t="s">
        <v>271</v>
      </c>
      <c r="C34" s="819"/>
      <c r="D34" s="817" t="s">
        <v>314</v>
      </c>
      <c r="E34" s="817"/>
    </row>
    <row r="35" spans="1:6" ht="35.25" customHeight="1">
      <c r="A35" s="44"/>
      <c r="B35" s="41"/>
      <c r="C35" s="299" t="s">
        <v>316</v>
      </c>
      <c r="D35" s="817"/>
      <c r="E35" s="817"/>
    </row>
    <row r="36" spans="1:6" ht="18" customHeight="1">
      <c r="A36" s="829"/>
      <c r="B36" s="830" t="s">
        <v>272</v>
      </c>
      <c r="C36" s="831"/>
      <c r="D36" s="832" t="e">
        <f>SUM(D14,D17,D22)</f>
        <v>#REF!</v>
      </c>
      <c r="E36" s="832"/>
    </row>
    <row r="37" spans="1:6" ht="40.5" customHeight="1">
      <c r="A37" s="829"/>
      <c r="B37" s="830"/>
      <c r="C37" s="831"/>
      <c r="D37" s="833"/>
      <c r="E37" s="834"/>
    </row>
    <row r="38" spans="1:6" ht="15" customHeight="1">
      <c r="B38" s="45"/>
      <c r="C38" s="45"/>
      <c r="D38" s="46"/>
      <c r="E38" s="46"/>
    </row>
    <row r="39" spans="1:6" ht="81.75" customHeight="1">
      <c r="A39" s="70" t="s">
        <v>261</v>
      </c>
      <c r="B39" s="815" t="s">
        <v>274</v>
      </c>
      <c r="C39" s="815"/>
      <c r="D39" s="815"/>
      <c r="E39" s="815"/>
    </row>
    <row r="40" spans="1:6" ht="15" customHeight="1">
      <c r="A40" s="47"/>
      <c r="B40" s="47"/>
      <c r="C40" s="47"/>
      <c r="D40" s="47"/>
      <c r="E40" s="47"/>
    </row>
    <row r="41" spans="1:6" ht="33" customHeight="1">
      <c r="A41" s="29" t="s">
        <v>273</v>
      </c>
      <c r="B41" s="119" t="str">
        <f>IF('Sch-1'!G80=0,"", 'Sch-1'!G80)</f>
        <v/>
      </c>
      <c r="C41" s="6"/>
      <c r="D41" s="30" t="s">
        <v>228</v>
      </c>
      <c r="F41" s="31"/>
    </row>
    <row r="42" spans="1:6" ht="33" customHeight="1">
      <c r="A42" s="29" t="s">
        <v>227</v>
      </c>
      <c r="B42" s="92" t="str">
        <f>IF('Sch-1'!G81=0,"", 'Sch-1'!G81)</f>
        <v/>
      </c>
      <c r="C42" s="1"/>
      <c r="D42" s="30" t="s">
        <v>229</v>
      </c>
      <c r="E42" s="93" t="str">
        <f>IF('Sch-1'!M80=0,"",'Sch-1'!M80)</f>
        <v/>
      </c>
      <c r="F42" s="31"/>
    </row>
    <row r="43" spans="1:6" ht="33" customHeight="1">
      <c r="A43" s="3"/>
      <c r="B43" s="7"/>
      <c r="C43" s="1"/>
      <c r="D43" s="30" t="s">
        <v>230</v>
      </c>
      <c r="E43" s="93" t="str">
        <f>IF('Sch-1'!M81=0,"",'Sch-1'!M81)</f>
        <v/>
      </c>
      <c r="F43" s="31"/>
    </row>
    <row r="44" spans="1:6" ht="33" customHeight="1">
      <c r="A44" s="3"/>
      <c r="B44" s="7"/>
      <c r="C44" s="1"/>
      <c r="D44" s="30" t="s">
        <v>231</v>
      </c>
      <c r="F44" s="31"/>
    </row>
    <row r="45" spans="1:6" ht="21.95" customHeight="1">
      <c r="A45" s="48"/>
      <c r="B45" s="48"/>
      <c r="C45" s="48"/>
      <c r="D45" s="48"/>
      <c r="E45" s="49"/>
    </row>
    <row r="46" spans="1:6" ht="21.95" customHeight="1">
      <c r="A46" s="48"/>
      <c r="B46" s="48"/>
      <c r="C46" s="48"/>
      <c r="D46" s="48"/>
      <c r="E46" s="49"/>
    </row>
    <row r="47" spans="1:6" ht="21.95" customHeight="1">
      <c r="A47" s="48"/>
      <c r="B47" s="48"/>
      <c r="C47" s="48"/>
      <c r="D47" s="48"/>
      <c r="E47" s="49"/>
    </row>
    <row r="48" spans="1:6" ht="21.95" customHeight="1">
      <c r="A48" s="48"/>
      <c r="B48" s="48"/>
      <c r="C48" s="48"/>
      <c r="D48" s="48"/>
      <c r="E48" s="49"/>
    </row>
    <row r="49" spans="1:5" ht="21.95" customHeight="1">
      <c r="A49" s="48"/>
      <c r="B49" s="48"/>
      <c r="C49" s="48"/>
      <c r="D49" s="48"/>
      <c r="E49" s="49"/>
    </row>
    <row r="50" spans="1:5" ht="21.95" customHeight="1">
      <c r="A50" s="48"/>
      <c r="B50" s="48"/>
      <c r="C50" s="48"/>
      <c r="D50" s="48"/>
      <c r="E50" s="49"/>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password="E848" sheet="1" objects="1" scenarios="1" selectLockedCells="1" selectUnlockedCells="1"/>
  <dataConsolidate/>
  <customSheetViews>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08A645C4-A23F-4400-B0CE-1685BC312A6F}" scale="86" state="hidden" topLeftCell="A10">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s>
  <mergeCells count="33">
    <mergeCell ref="D17:E17"/>
    <mergeCell ref="B18:C18"/>
    <mergeCell ref="B10:C10"/>
    <mergeCell ref="B11:C11"/>
    <mergeCell ref="A3:E3"/>
    <mergeCell ref="A4:E4"/>
    <mergeCell ref="B8:C8"/>
    <mergeCell ref="B9:C9"/>
    <mergeCell ref="B15:C15"/>
    <mergeCell ref="D15:E16"/>
    <mergeCell ref="B13:C13"/>
    <mergeCell ref="D13:E13"/>
    <mergeCell ref="B14:C14"/>
    <mergeCell ref="D14:E14"/>
    <mergeCell ref="D18:E21"/>
    <mergeCell ref="A36:A37"/>
    <mergeCell ref="B36:B37"/>
    <mergeCell ref="C36:C37"/>
    <mergeCell ref="D36:E36"/>
    <mergeCell ref="D37:E37"/>
    <mergeCell ref="B39:E39"/>
    <mergeCell ref="D33:E33"/>
    <mergeCell ref="B34:C34"/>
    <mergeCell ref="D34:E35"/>
    <mergeCell ref="D22:E22"/>
    <mergeCell ref="B23:C23"/>
    <mergeCell ref="D23:E26"/>
    <mergeCell ref="B31:C31"/>
    <mergeCell ref="D27:E27"/>
    <mergeCell ref="B28:C28"/>
    <mergeCell ref="D31:E32"/>
    <mergeCell ref="D28:E29"/>
    <mergeCell ref="D30:E30"/>
  </mergeCells>
  <phoneticPr fontId="30" type="noConversion"/>
  <dataValidations xWindow="871" yWindow="395" count="8">
    <dataValidation allowBlank="1" showInputMessage="1" showErrorMessage="1" prompt="You may write remarks regarding over all Taxes &amp; Duties here." sqref="D37:E37" xr:uid="{00000000-0002-0000-0A00-000000000000}"/>
    <dataValidation allowBlank="1" showInputMessage="1" showErrorMessage="1" prompt="You may write remarks regarding Octroi here." sqref="D28:E29 D31:E32 D34:E35" xr:uid="{00000000-0002-0000-0A00-000001000000}"/>
    <dataValidation allowBlank="1" showInputMessage="1" showErrorMessage="1" prompt="You may write remarks regarding VAT here." sqref="D23:E26" xr:uid="{00000000-0002-0000-0A00-000002000000}"/>
    <dataValidation allowBlank="1" showInputMessage="1" showErrorMessage="1" prompt="You may write remarks regarding Sales Tax here." sqref="D18:E21" xr:uid="{00000000-0002-0000-0A00-000003000000}"/>
    <dataValidation allowBlank="1" showInputMessage="1" showErrorMessage="1" prompt="You may write remarks regarding Excise Duty here." sqref="D15:E16" xr:uid="{00000000-0002-0000-0A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A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A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A00-000007000000}">
      <formula1>0</formula1>
    </dataValidation>
  </dataValidations>
  <hyperlinks>
    <hyperlink ref="C29" location="Octroi!Print_Area" display="Click here for details of Octroi" xr:uid="{00000000-0004-0000-0A00-000000000000}"/>
    <hyperlink ref="C32" location="'Entry Tax'!Print_Area" display="Click here for details of Octroi" xr:uid="{00000000-0004-0000-0A00-000001000000}"/>
  </hyperlinks>
  <printOptions horizontalCentered="1"/>
  <pageMargins left="0.31" right="0.25" top="0.48" bottom="0.23" header="0.27" footer="0.24"/>
  <pageSetup paperSize="9" scale="77" fitToHeight="0" orientation="portrait" r:id="rId9"/>
  <headerFooter alignWithMargins="0">
    <oddFooter>&amp;R&amp;"Book Antiqua,Bold"&amp;10Schedule-5/ Page &amp;P of &amp;N</oddFooter>
  </headerFooter>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J27"/>
  <sheetViews>
    <sheetView tabSelected="1" topLeftCell="A4" zoomScaleNormal="90" zoomScaleSheetLayoutView="100" workbookViewId="0">
      <selection activeCell="D19" sqref="D19"/>
    </sheetView>
  </sheetViews>
  <sheetFormatPr defaultColWidth="10" defaultRowHeight="16.5"/>
  <cols>
    <col min="1" max="1" width="10.625" style="35" customWidth="1"/>
    <col min="2" max="2" width="27.5" style="35" customWidth="1"/>
    <col min="3" max="3" width="16.75" style="35" customWidth="1"/>
    <col min="4" max="4" width="39.75" style="35" customWidth="1"/>
    <col min="5" max="5" width="10" style="32"/>
    <col min="6" max="6" width="27" style="32" hidden="1" customWidth="1"/>
    <col min="7" max="7" width="10" style="32"/>
    <col min="8" max="8" width="17.5" style="32" customWidth="1"/>
    <col min="9" max="10" width="14.25" style="32" bestFit="1" customWidth="1"/>
    <col min="11" max="16384" width="10" style="32"/>
  </cols>
  <sheetData>
    <row r="1" spans="1:6" ht="31.5" customHeight="1">
      <c r="A1" s="838" t="str">
        <f>Cover!B3</f>
        <v>Specification No.: ODP/BB/C&amp;M-3524/OT-20/RFx No. 5002003084/23-24</v>
      </c>
      <c r="B1" s="838"/>
      <c r="C1" s="838"/>
      <c r="D1" s="5" t="s">
        <v>254</v>
      </c>
    </row>
    <row r="2" spans="1:6" ht="18" customHeight="1">
      <c r="A2" s="2"/>
      <c r="B2" s="7"/>
      <c r="C2" s="1"/>
      <c r="D2" s="1"/>
    </row>
    <row r="3" spans="1:6" ht="47.25" customHeight="1">
      <c r="A3" s="820" t="str">
        <f>Cover!$B$2</f>
        <v>Supply &amp; Services contract for Diversion/Modification of 400kV S/C Rengali-Indravati Transmission Line near Bhawanipatna for Construction of NH Bypass Road (Deposit Work on Behalf of NHAI).</v>
      </c>
      <c r="B3" s="820"/>
      <c r="C3" s="820"/>
      <c r="D3" s="820"/>
      <c r="E3" s="50"/>
      <c r="F3" s="50"/>
    </row>
    <row r="4" spans="1:6" ht="21.95" customHeight="1">
      <c r="A4" s="826" t="s">
        <v>209</v>
      </c>
      <c r="B4" s="826"/>
      <c r="C4" s="826"/>
      <c r="D4" s="826"/>
    </row>
    <row r="5" spans="1:6" ht="18" customHeight="1">
      <c r="A5" s="34"/>
    </row>
    <row r="6" spans="1:6" ht="18" customHeight="1">
      <c r="A6" s="25" t="str">
        <f>'Sch-1'!A6</f>
        <v>Bidder’s Name and Address</v>
      </c>
      <c r="D6" s="35" t="s">
        <v>216</v>
      </c>
    </row>
    <row r="7" spans="1:6" ht="18" customHeight="1">
      <c r="A7" s="171" t="str">
        <f>'Sch-1'!A7</f>
        <v xml:space="preserve">Bidder as </v>
      </c>
      <c r="D7" s="462" t="s">
        <v>523</v>
      </c>
      <c r="E7" s="461"/>
      <c r="F7" s="463"/>
    </row>
    <row r="8" spans="1:6">
      <c r="A8" s="36" t="s">
        <v>234</v>
      </c>
      <c r="B8" s="825" t="str">
        <f>IF('Sch-1'!C8=0, "", 'Sch-1'!C8)</f>
        <v/>
      </c>
      <c r="C8" s="825"/>
      <c r="D8" s="462" t="s">
        <v>408</v>
      </c>
      <c r="E8" s="461"/>
      <c r="F8" s="463"/>
    </row>
    <row r="9" spans="1:6">
      <c r="A9" s="36" t="s">
        <v>235</v>
      </c>
      <c r="B9" s="825" t="str">
        <f>IF('Sch-1'!C9=0, "", 'Sch-1'!C9)</f>
        <v/>
      </c>
      <c r="C9" s="825"/>
      <c r="D9" s="462" t="s">
        <v>452</v>
      </c>
      <c r="E9" s="461"/>
      <c r="F9" s="463"/>
    </row>
    <row r="10" spans="1:6">
      <c r="A10" s="37"/>
      <c r="B10" s="825" t="str">
        <f>IF('Sch-1'!C10=0, "", 'Sch-1'!C10)</f>
        <v/>
      </c>
      <c r="C10" s="825"/>
      <c r="D10" s="462" t="s">
        <v>453</v>
      </c>
      <c r="E10" s="461"/>
      <c r="F10" s="463"/>
    </row>
    <row r="11" spans="1:6">
      <c r="A11" s="37"/>
      <c r="B11" s="825" t="str">
        <f>IF('Sch-1'!C11=0, "", 'Sch-1'!C11)</f>
        <v/>
      </c>
      <c r="C11" s="825"/>
      <c r="D11" s="462" t="s">
        <v>454</v>
      </c>
      <c r="E11" s="461"/>
      <c r="F11" s="463"/>
    </row>
    <row r="12" spans="1:6" ht="18" customHeight="1">
      <c r="A12" s="51"/>
      <c r="B12" s="51"/>
      <c r="C12" s="51"/>
      <c r="D12" s="61"/>
    </row>
    <row r="13" spans="1:6" ht="21.95" customHeight="1">
      <c r="A13" s="52" t="s">
        <v>200</v>
      </c>
      <c r="B13" s="821" t="s">
        <v>195</v>
      </c>
      <c r="C13" s="822"/>
      <c r="D13" s="53" t="s">
        <v>202</v>
      </c>
    </row>
    <row r="14" spans="1:6" ht="21" customHeight="1">
      <c r="A14" s="39" t="s">
        <v>203</v>
      </c>
      <c r="B14" s="839" t="s">
        <v>238</v>
      </c>
      <c r="C14" s="809"/>
      <c r="D14" s="67">
        <f>'Sch-1'!M70</f>
        <v>0</v>
      </c>
    </row>
    <row r="15" spans="1:6" ht="39.75" customHeight="1">
      <c r="A15" s="54"/>
      <c r="B15" s="840" t="s">
        <v>478</v>
      </c>
      <c r="C15" s="841"/>
      <c r="D15" s="399"/>
      <c r="F15" s="414"/>
    </row>
    <row r="16" spans="1:6" ht="21.95" customHeight="1">
      <c r="A16" s="39" t="s">
        <v>205</v>
      </c>
      <c r="B16" s="839" t="s">
        <v>239</v>
      </c>
      <c r="C16" s="809"/>
      <c r="D16" s="67">
        <f>+'Sch-2'!G69</f>
        <v>0</v>
      </c>
      <c r="F16" s="414"/>
    </row>
    <row r="17" spans="1:10" ht="35.1" customHeight="1">
      <c r="A17" s="54"/>
      <c r="B17" s="840" t="s">
        <v>479</v>
      </c>
      <c r="C17" s="841"/>
      <c r="D17" s="399"/>
      <c r="G17" s="321"/>
      <c r="I17" s="720"/>
      <c r="J17" s="720"/>
    </row>
    <row r="18" spans="1:10" ht="21.95" customHeight="1">
      <c r="A18" s="39" t="s">
        <v>206</v>
      </c>
      <c r="B18" s="839" t="s">
        <v>240</v>
      </c>
      <c r="C18" s="809"/>
      <c r="D18" s="67">
        <f>+'Sch-3 '!L59</f>
        <v>0</v>
      </c>
      <c r="I18" s="720"/>
      <c r="J18" s="720"/>
    </row>
    <row r="19" spans="1:10" ht="24.95" customHeight="1">
      <c r="A19" s="44"/>
      <c r="B19" s="842" t="s">
        <v>515</v>
      </c>
      <c r="C19" s="843"/>
      <c r="D19" s="471"/>
      <c r="I19" s="720"/>
      <c r="J19" s="720"/>
    </row>
    <row r="20" spans="1:10" ht="21.95" customHeight="1">
      <c r="A20" s="39" t="s">
        <v>207</v>
      </c>
      <c r="B20" s="839" t="s">
        <v>241</v>
      </c>
      <c r="C20" s="809"/>
      <c r="D20" s="479">
        <f>+'Sch-4'!D34:E34</f>
        <v>0.11340000000000006</v>
      </c>
      <c r="I20" s="720"/>
      <c r="J20" s="720"/>
    </row>
    <row r="21" spans="1:10" ht="24.95" customHeight="1">
      <c r="A21" s="44"/>
      <c r="B21" s="844" t="s">
        <v>213</v>
      </c>
      <c r="C21" s="845"/>
      <c r="D21" s="480"/>
    </row>
    <row r="22" spans="1:10" ht="28.5" customHeight="1">
      <c r="A22" s="39" t="s">
        <v>212</v>
      </c>
      <c r="B22" s="839" t="s">
        <v>325</v>
      </c>
      <c r="C22" s="809"/>
      <c r="D22" s="478">
        <f>SUM(D14,D16,D18,D20)</f>
        <v>0.11340000000000006</v>
      </c>
      <c r="F22" s="32">
        <f>D22*(1-0.21)</f>
        <v>8.9586000000000054E-2</v>
      </c>
    </row>
    <row r="23" spans="1:10" ht="30" customHeight="1">
      <c r="A23" s="72"/>
      <c r="B23" s="74"/>
      <c r="C23" s="74"/>
      <c r="D23" s="75"/>
    </row>
    <row r="24" spans="1:10" ht="30" customHeight="1">
      <c r="A24" s="29" t="s">
        <v>226</v>
      </c>
      <c r="B24" s="119" t="str">
        <f>IF('Sch-1'!C80=0,"", 'Sch-1'!C80)</f>
        <v/>
      </c>
      <c r="C24" s="30"/>
      <c r="D24" s="407"/>
      <c r="F24" s="31"/>
    </row>
    <row r="25" spans="1:10" ht="30" customHeight="1">
      <c r="A25" s="29" t="s">
        <v>227</v>
      </c>
      <c r="B25" s="119" t="str">
        <f>IF('Sch-1'!C81=0,"", 'Sch-1'!C81)</f>
        <v/>
      </c>
      <c r="C25" s="30" t="s">
        <v>229</v>
      </c>
      <c r="D25" s="92" t="str">
        <f>IF('Sch-1'!M80=0,"",'Sch-1'!M80)</f>
        <v/>
      </c>
      <c r="F25" s="2"/>
    </row>
    <row r="26" spans="1:10" ht="30" customHeight="1">
      <c r="A26" s="3"/>
      <c r="B26" s="406"/>
      <c r="C26" s="30" t="s">
        <v>230</v>
      </c>
      <c r="D26" s="92" t="str">
        <f>IF('Sch-1'!M81=0,"",'Sch-1'!M81)</f>
        <v/>
      </c>
      <c r="F26" s="2"/>
    </row>
    <row r="27" spans="1:10" ht="30" customHeight="1">
      <c r="A27" s="3"/>
      <c r="B27" s="7"/>
      <c r="C27" s="30"/>
      <c r="D27" s="3"/>
      <c r="F27" s="31"/>
    </row>
  </sheetData>
  <sheetProtection algorithmName="SHA-512" hashValue="lC5J4YW1J3vplFotXTwNIF3PrWmCCKcCaUyky9KURf1Ni8cOzVtCXdHMlDD3bb7q942PL0BQTMWmP0MJTNpYnw==" saltValue="/xticWwvnBrGtMZBX3mPuQ==" spinCount="100000" sheet="1" formatColumns="0" formatRows="0" selectLockedCells="1" selectUnlockedCells="1"/>
  <customSheetViews>
    <customSheetView guid="{9CA44E70-650F-49CD-967F-298619682CA2}" topLeftCell="A13">
      <selection activeCell="D12" sqref="D12"/>
      <pageMargins left="0.5" right="0.38" top="0.56999999999999995" bottom="0.48" header="0.38" footer="0.24"/>
      <printOptions horizontalCentered="1"/>
      <pageSetup paperSize="9" fitToHeight="0" orientation="portrait" r:id="rId1"/>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2"/>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5"/>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08A645C4-A23F-4400-B0CE-1685BC312A6F}" topLeftCell="A19">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s>
  <mergeCells count="17">
    <mergeCell ref="B18:C18"/>
    <mergeCell ref="B19:C19"/>
    <mergeCell ref="B22:C22"/>
    <mergeCell ref="B20:C20"/>
    <mergeCell ref="B21:C21"/>
    <mergeCell ref="B17:C17"/>
    <mergeCell ref="B15:C15"/>
    <mergeCell ref="B9:C9"/>
    <mergeCell ref="B8:C8"/>
    <mergeCell ref="B10:C10"/>
    <mergeCell ref="B11:C11"/>
    <mergeCell ref="A1:C1"/>
    <mergeCell ref="A3:D3"/>
    <mergeCell ref="A4:D4"/>
    <mergeCell ref="B13:C13"/>
    <mergeCell ref="B16:C16"/>
    <mergeCell ref="B14:C14"/>
  </mergeCells>
  <phoneticPr fontId="1" type="noConversion"/>
  <printOptions horizontalCentered="1"/>
  <pageMargins left="0.5" right="0.38" top="0.56999999999999995" bottom="0.48" header="0.38" footer="0.24"/>
  <pageSetup paperSize="9" fitToHeight="0" orientation="portrait" r:id="rId10"/>
  <headerFooter alignWithMargins="0">
    <oddFooter>&amp;R&amp;"Book Antiqua,Bold"&amp;10Schedule-5/ Page &amp;P of &amp;N</oddFooter>
  </headerFooter>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F32"/>
  <sheetViews>
    <sheetView zoomScaleNormal="90" zoomScaleSheetLayoutView="100" workbookViewId="0">
      <selection activeCell="F21" sqref="F21"/>
    </sheetView>
  </sheetViews>
  <sheetFormatPr defaultColWidth="10" defaultRowHeight="16.5"/>
  <cols>
    <col min="1" max="1" width="10.625" style="35" customWidth="1"/>
    <col min="2" max="2" width="27.5" style="35" customWidth="1"/>
    <col min="3" max="3" width="21" style="35" customWidth="1"/>
    <col min="4" max="4" width="34.375" style="35" customWidth="1"/>
    <col min="5" max="5" width="10" style="32"/>
    <col min="6" max="6" width="24.375" style="32" customWidth="1"/>
    <col min="7" max="16384" width="10" style="32"/>
  </cols>
  <sheetData>
    <row r="1" spans="1:6" ht="18" customHeight="1">
      <c r="A1" s="56" t="str">
        <f>Cover!B3</f>
        <v>Specification No.: ODP/BB/C&amp;M-3524/OT-20/RFx No. 5002003084/23-24</v>
      </c>
      <c r="B1" s="57"/>
      <c r="C1" s="4"/>
      <c r="D1" s="5" t="s">
        <v>326</v>
      </c>
    </row>
    <row r="2" spans="1:6" ht="18" customHeight="1">
      <c r="A2" s="2"/>
      <c r="B2" s="7"/>
      <c r="C2" s="1"/>
      <c r="D2" s="1"/>
    </row>
    <row r="3" spans="1:6" ht="47.25" customHeight="1">
      <c r="A3" s="820" t="str">
        <f>Cover!$B$2</f>
        <v>Supply &amp; Services contract for Diversion/Modification of 400kV S/C Rengali-Indravati Transmission Line near Bhawanipatna for Construction of NH Bypass Road (Deposit Work on Behalf of NHAI).</v>
      </c>
      <c r="B3" s="820"/>
      <c r="C3" s="820"/>
      <c r="D3" s="820"/>
      <c r="E3" s="50"/>
      <c r="F3" s="50"/>
    </row>
    <row r="4" spans="1:6" ht="21.95" customHeight="1">
      <c r="A4" s="826" t="s">
        <v>209</v>
      </c>
      <c r="B4" s="826"/>
      <c r="C4" s="826"/>
      <c r="D4" s="826"/>
    </row>
    <row r="5" spans="1:6" ht="18" customHeight="1">
      <c r="A5" s="34"/>
    </row>
    <row r="6" spans="1:6" ht="18" customHeight="1">
      <c r="A6" s="25" t="str">
        <f>'Sch-1'!A6</f>
        <v>Bidder’s Name and Address</v>
      </c>
      <c r="D6" s="35" t="s">
        <v>216</v>
      </c>
    </row>
    <row r="7" spans="1:6" ht="18" customHeight="1">
      <c r="A7" s="171" t="str">
        <f>'Sch-1'!A7</f>
        <v xml:space="preserve">Bidder as </v>
      </c>
      <c r="D7" s="462" t="s">
        <v>455</v>
      </c>
      <c r="E7" s="461"/>
      <c r="F7" s="463"/>
    </row>
    <row r="8" spans="1:6">
      <c r="A8" s="36" t="s">
        <v>234</v>
      </c>
      <c r="B8" s="825" t="str">
        <f>IF('Sch-1'!G8=0, "", 'Sch-1'!G8)</f>
        <v/>
      </c>
      <c r="C8" s="825"/>
      <c r="D8" s="462" t="s">
        <v>408</v>
      </c>
      <c r="E8" s="461"/>
      <c r="F8" s="463"/>
    </row>
    <row r="9" spans="1:6">
      <c r="A9" s="36" t="s">
        <v>235</v>
      </c>
      <c r="B9" s="825" t="str">
        <f>IF('Sch-1'!G9=0, "", 'Sch-1'!G9)</f>
        <v/>
      </c>
      <c r="C9" s="825"/>
      <c r="D9" s="462" t="s">
        <v>452</v>
      </c>
      <c r="E9" s="461"/>
      <c r="F9" s="463"/>
    </row>
    <row r="10" spans="1:6">
      <c r="A10" s="37"/>
      <c r="B10" s="825" t="str">
        <f>IF('Sch-1'!G10=0, "", 'Sch-1'!G10)</f>
        <v/>
      </c>
      <c r="C10" s="825"/>
      <c r="D10" s="462" t="s">
        <v>453</v>
      </c>
      <c r="E10" s="461"/>
      <c r="F10" s="463"/>
    </row>
    <row r="11" spans="1:6">
      <c r="A11" s="37"/>
      <c r="B11" s="825" t="str">
        <f>IF('Sch-1'!G11=0, "", 'Sch-1'!G11)</f>
        <v/>
      </c>
      <c r="C11" s="825"/>
      <c r="D11" s="462" t="s">
        <v>454</v>
      </c>
      <c r="E11" s="461"/>
      <c r="F11" s="463"/>
    </row>
    <row r="12" spans="1:6" ht="18" customHeight="1">
      <c r="A12" s="51"/>
      <c r="B12" s="51"/>
      <c r="C12" s="51"/>
      <c r="D12" s="61"/>
    </row>
    <row r="13" spans="1:6" ht="21.95" customHeight="1">
      <c r="A13" s="52" t="s">
        <v>200</v>
      </c>
      <c r="B13" s="821" t="s">
        <v>195</v>
      </c>
      <c r="C13" s="822"/>
      <c r="D13" s="53" t="s">
        <v>202</v>
      </c>
    </row>
    <row r="14" spans="1:6" ht="21.95" customHeight="1">
      <c r="A14" s="39" t="s">
        <v>203</v>
      </c>
      <c r="B14" s="839" t="s">
        <v>238</v>
      </c>
      <c r="C14" s="839"/>
      <c r="D14" s="67"/>
    </row>
    <row r="15" spans="1:6" ht="35.1" customHeight="1">
      <c r="A15" s="54"/>
      <c r="B15" s="818" t="str">
        <f>'Sch-5'!B15:C15</f>
        <v xml:space="preserve">Ex-works price of Plant and Equipment including Type Test Charges </v>
      </c>
      <c r="C15" s="819"/>
      <c r="D15" s="466" t="e">
        <f>'Sch-1'!M73*(1-Discount!O18)+'Sch-1'!#REF!*(1-Discount!O19)</f>
        <v>#REF!</v>
      </c>
      <c r="F15" s="412"/>
    </row>
    <row r="16" spans="1:6" ht="21.95" customHeight="1">
      <c r="A16" s="39" t="s">
        <v>205</v>
      </c>
      <c r="B16" s="839" t="s">
        <v>239</v>
      </c>
      <c r="C16" s="839"/>
      <c r="D16" s="68"/>
    </row>
    <row r="17" spans="1:6" ht="35.1" customHeight="1">
      <c r="A17" s="54"/>
      <c r="B17" s="818" t="s">
        <v>210</v>
      </c>
      <c r="C17" s="819"/>
      <c r="D17" s="399" t="e">
        <f>'Sch-5'!D17*(1-Discount!O20)</f>
        <v>#REF!</v>
      </c>
      <c r="F17" s="412"/>
    </row>
    <row r="18" spans="1:6" ht="21.95" customHeight="1">
      <c r="A18" s="39" t="s">
        <v>206</v>
      </c>
      <c r="B18" s="839" t="s">
        <v>240</v>
      </c>
      <c r="C18" s="839"/>
      <c r="D18" s="69"/>
    </row>
    <row r="19" spans="1:6" ht="30" customHeight="1">
      <c r="A19" s="44"/>
      <c r="B19" s="846" t="s">
        <v>211</v>
      </c>
      <c r="C19" s="847"/>
      <c r="D19" s="399" t="e">
        <f>'Sch-5'!D19*(1-Discount!O22)</f>
        <v>#REF!</v>
      </c>
    </row>
    <row r="20" spans="1:6" ht="21.95" customHeight="1">
      <c r="A20" s="39" t="s">
        <v>207</v>
      </c>
      <c r="B20" s="839" t="s">
        <v>241</v>
      </c>
      <c r="C20" s="839"/>
      <c r="D20" s="67"/>
    </row>
    <row r="21" spans="1:6" ht="30" customHeight="1">
      <c r="A21" s="43"/>
      <c r="B21" s="848" t="s">
        <v>213</v>
      </c>
      <c r="C21" s="849"/>
      <c r="D21" s="413" t="e">
        <f>'Sch-5'!D21*(1-Discount!O18)</f>
        <v>#REF!</v>
      </c>
    </row>
    <row r="22" spans="1:6" ht="51.75" customHeight="1">
      <c r="A22" s="43"/>
      <c r="B22" s="400"/>
      <c r="C22" s="316"/>
      <c r="D22" s="169" t="e">
        <f>IF('Sch-4'!#REF!=0, "", 'Sch-4'!#REF!)</f>
        <v>#REF!</v>
      </c>
      <c r="F22" s="414"/>
    </row>
    <row r="23" spans="1:6" ht="30" customHeight="1">
      <c r="A23" s="39">
        <v>5</v>
      </c>
      <c r="B23" s="839" t="s">
        <v>317</v>
      </c>
      <c r="C23" s="839"/>
      <c r="D23" s="66"/>
    </row>
    <row r="24" spans="1:6" ht="30" customHeight="1">
      <c r="A24" s="43"/>
      <c r="B24" s="818" t="s">
        <v>262</v>
      </c>
      <c r="C24" s="819"/>
      <c r="D24" s="418" t="s">
        <v>258</v>
      </c>
    </row>
    <row r="25" spans="1:6" ht="28.5" customHeight="1">
      <c r="A25" s="829"/>
      <c r="B25" s="830" t="s">
        <v>325</v>
      </c>
      <c r="C25" s="830"/>
      <c r="D25" s="401" t="e">
        <f>SUM(D15,D17,D21)</f>
        <v>#REF!</v>
      </c>
    </row>
    <row r="26" spans="1:6" ht="51" customHeight="1">
      <c r="A26" s="829"/>
      <c r="B26" s="830"/>
      <c r="C26" s="830"/>
      <c r="D26" s="73" t="e">
        <f>D22</f>
        <v>#REF!</v>
      </c>
    </row>
    <row r="27" spans="1:6" ht="30" customHeight="1">
      <c r="A27" s="72"/>
      <c r="B27" s="74"/>
      <c r="C27" s="74"/>
      <c r="D27" s="75"/>
    </row>
    <row r="28" spans="1:6" ht="30" customHeight="1">
      <c r="A28" s="29" t="s">
        <v>226</v>
      </c>
      <c r="B28" s="119" t="str">
        <f>IF('Sch-1'!G80=0,"", 'Sch-1'!G80)</f>
        <v/>
      </c>
      <c r="C28" s="30"/>
      <c r="D28" s="407"/>
      <c r="F28" s="31"/>
    </row>
    <row r="29" spans="1:6" ht="30" customHeight="1">
      <c r="A29" s="29" t="s">
        <v>227</v>
      </c>
      <c r="B29" s="119" t="str">
        <f>IF('Sch-1'!G81=0,"", 'Sch-1'!G81)</f>
        <v/>
      </c>
      <c r="C29" s="30" t="s">
        <v>229</v>
      </c>
      <c r="D29" s="92" t="str">
        <f>IF('Sch-1'!M80=0,"",'Sch-1'!M80)</f>
        <v/>
      </c>
      <c r="F29" s="2"/>
    </row>
    <row r="30" spans="1:6" ht="30" customHeight="1">
      <c r="A30" s="3"/>
      <c r="B30" s="406"/>
      <c r="C30" s="30" t="s">
        <v>230</v>
      </c>
      <c r="D30" s="92" t="str">
        <f>IF('Sch-1'!M81=0,"",'Sch-1'!M81)</f>
        <v/>
      </c>
      <c r="F30" s="2"/>
    </row>
    <row r="31" spans="1:6" ht="30" customHeight="1">
      <c r="A31" s="3"/>
      <c r="B31" s="7"/>
      <c r="C31" s="30"/>
      <c r="D31" s="3"/>
      <c r="F31" s="31"/>
    </row>
    <row r="32" spans="1:6" ht="30" customHeight="1">
      <c r="A32" s="48"/>
      <c r="B32" s="48"/>
      <c r="C32" s="49"/>
      <c r="E32" s="55"/>
    </row>
  </sheetData>
  <sheetProtection formatColumns="0" formatRows="0" selectLockedCells="1" selectUnlockedCells="1"/>
  <customSheetViews>
    <customSheetView guid="{9CA44E70-650F-49CD-967F-298619682CA2}" topLeftCell="A4">
      <selection activeCell="D21" sqref="D21"/>
      <pageMargins left="0.5" right="0.38" top="0.56999999999999995" bottom="0.48" header="0.38" footer="0.24"/>
      <printOptions horizontalCentered="1"/>
      <pageSetup paperSize="9" fitToHeight="0" orientation="portrait" r:id="rId1"/>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2"/>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08A645C4-A23F-4400-B0CE-1685BC312A6F}" topLeftCell="A16">
      <selection activeCell="D25" sqref="D25"/>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0" type="noConversion"/>
  <printOptions horizontalCentered="1"/>
  <pageMargins left="0.5" right="0.38" top="0.56999999999999995" bottom="0.48" header="0.38" footer="0.24"/>
  <pageSetup paperSize="9" fitToHeight="0" orientation="portrait" r:id="rId9"/>
  <headerFooter alignWithMargins="0">
    <oddFooter>&amp;R&amp;"Book Antiqua,Bold"&amp;10Schedule-5/ Page &amp;P of &amp;N</oddFooter>
  </headerFooter>
  <drawing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RowHeight="16.5"/>
  <cols>
    <col min="1" max="1" width="11.375" style="64" customWidth="1"/>
    <col min="2" max="2" width="34.375" style="26" customWidth="1"/>
    <col min="3" max="3" width="8.625" style="26" customWidth="1"/>
    <col min="4" max="4" width="7.625" style="26" customWidth="1"/>
    <col min="5" max="5" width="13.625" style="26" customWidth="1"/>
    <col min="6" max="6" width="21.375" style="26" customWidth="1"/>
    <col min="7" max="7" width="17.625" style="94" customWidth="1"/>
    <col min="8" max="12" width="9" style="76"/>
    <col min="13" max="13" width="9" style="190"/>
    <col min="14" max="14" width="13.875" style="190" customWidth="1"/>
    <col min="15" max="15" width="13.625" style="190" customWidth="1"/>
    <col min="16" max="16" width="21.375" style="76" customWidth="1"/>
    <col min="17" max="16384" width="9" style="76"/>
  </cols>
  <sheetData>
    <row r="1" spans="1:16" ht="18" customHeight="1">
      <c r="A1" s="77" t="str">
        <f>Cover!B3</f>
        <v>Specification No.: ODP/BB/C&amp;M-3524/OT-20/RFx No. 5002003084/23-24</v>
      </c>
      <c r="B1" s="78"/>
      <c r="C1" s="78"/>
      <c r="D1" s="79"/>
      <c r="E1" s="79"/>
      <c r="F1" s="81" t="s">
        <v>255</v>
      </c>
    </row>
    <row r="2" spans="1:16" ht="18" customHeight="1">
      <c r="A2" s="63"/>
      <c r="B2" s="83"/>
      <c r="C2" s="83"/>
      <c r="D2" s="84"/>
      <c r="E2" s="84"/>
      <c r="F2" s="28"/>
    </row>
    <row r="3" spans="1:16" ht="55.5" customHeight="1">
      <c r="A3" s="859" t="str">
        <f>Cover!$B$2</f>
        <v>Supply &amp; Services contract for Diversion/Modification of 400kV S/C Rengali-Indravati Transmission Line near Bhawanipatna for Construction of NH Bypass Road (Deposit Work on Behalf of NHAI).</v>
      </c>
      <c r="B3" s="859"/>
      <c r="C3" s="859"/>
      <c r="D3" s="859"/>
      <c r="E3" s="859"/>
      <c r="F3" s="859"/>
      <c r="M3" s="202" t="s">
        <v>179</v>
      </c>
      <c r="O3" s="203" t="e">
        <f>Discount!G15/('Sch-5'!D15+'Sch-5'!D17+'Sch-5'!D19)</f>
        <v>#DIV/0!</v>
      </c>
    </row>
    <row r="4" spans="1:16" ht="21.95" customHeight="1">
      <c r="A4" s="762" t="s">
        <v>244</v>
      </c>
      <c r="B4" s="762"/>
      <c r="C4" s="762"/>
      <c r="D4" s="762"/>
      <c r="E4" s="762"/>
      <c r="F4" s="762"/>
      <c r="M4" s="202" t="s">
        <v>180</v>
      </c>
      <c r="O4" s="203">
        <f>Discount!G16</f>
        <v>0</v>
      </c>
    </row>
    <row r="5" spans="1:16" ht="18" customHeight="1">
      <c r="A5" s="65"/>
      <c r="B5" s="95"/>
      <c r="C5" s="95"/>
      <c r="D5" s="95"/>
      <c r="E5" s="95"/>
      <c r="F5" s="95"/>
      <c r="M5" s="202" t="s">
        <v>186</v>
      </c>
      <c r="O5" s="203" t="e">
        <f>Discount!G22/D21</f>
        <v>#DIV/0!</v>
      </c>
    </row>
    <row r="6" spans="1:16" ht="18" customHeight="1">
      <c r="A6" s="25" t="str">
        <f>'Sch-1'!A6</f>
        <v>Bidder’s Name and Address</v>
      </c>
      <c r="B6" s="35"/>
      <c r="C6" s="35"/>
      <c r="D6" s="35"/>
      <c r="E6" s="60" t="s">
        <v>216</v>
      </c>
      <c r="G6" s="28"/>
      <c r="M6" s="202" t="s">
        <v>187</v>
      </c>
      <c r="O6" s="203">
        <f>Discount!G28</f>
        <v>0</v>
      </c>
    </row>
    <row r="7" spans="1:16" ht="18" customHeight="1">
      <c r="A7" s="206" t="str">
        <f>'Sch-1'!A7</f>
        <v xml:space="preserve">Bidder as </v>
      </c>
      <c r="B7" s="35"/>
      <c r="C7" s="35"/>
      <c r="D7" s="35"/>
      <c r="E7" s="59" t="s">
        <v>218</v>
      </c>
      <c r="G7" s="28"/>
      <c r="M7" s="202" t="s">
        <v>181</v>
      </c>
      <c r="O7" s="203" t="e">
        <f>Discount!G29/('Sch-5'!D15+'Sch-5'!D17+'Sch-5'!D19)</f>
        <v>#DIV/0!</v>
      </c>
    </row>
    <row r="8" spans="1:16" ht="18" customHeight="1">
      <c r="A8" s="36" t="s">
        <v>234</v>
      </c>
      <c r="B8" s="836" t="str">
        <f>IF('Sch-1'!G8=0, "", 'Sch-1'!G8)</f>
        <v/>
      </c>
      <c r="C8" s="836"/>
      <c r="D8" s="836"/>
      <c r="E8" s="59" t="s">
        <v>220</v>
      </c>
      <c r="G8" s="28"/>
      <c r="M8" s="202" t="s">
        <v>182</v>
      </c>
      <c r="O8" s="203">
        <f>Discount!G31</f>
        <v>0</v>
      </c>
    </row>
    <row r="9" spans="1:16" ht="18" customHeight="1">
      <c r="A9" s="36" t="s">
        <v>235</v>
      </c>
      <c r="B9" s="836" t="str">
        <f>IF('Sch-1'!G9=0, "", 'Sch-1'!G9)</f>
        <v/>
      </c>
      <c r="C9" s="836"/>
      <c r="D9" s="836"/>
      <c r="E9" s="59" t="s">
        <v>221</v>
      </c>
      <c r="G9" s="28"/>
      <c r="M9" s="202" t="s">
        <v>183</v>
      </c>
      <c r="O9" s="203" t="e">
        <f>SUM(O3:O8)</f>
        <v>#DIV/0!</v>
      </c>
    </row>
    <row r="10" spans="1:16" ht="18" customHeight="1">
      <c r="A10" s="37"/>
      <c r="B10" s="836" t="str">
        <f>IF('Sch-1'!G10=0, "", 'Sch-1'!G10)</f>
        <v/>
      </c>
      <c r="C10" s="836"/>
      <c r="D10" s="836"/>
      <c r="E10" s="59" t="s">
        <v>222</v>
      </c>
      <c r="G10" s="28"/>
    </row>
    <row r="11" spans="1:16" ht="18" customHeight="1">
      <c r="A11" s="37"/>
      <c r="B11" s="836" t="str">
        <f>IF('Sch-1'!G11=0, "", 'Sch-1'!G11)</f>
        <v/>
      </c>
      <c r="C11" s="836"/>
      <c r="D11" s="836"/>
      <c r="E11" s="59" t="s">
        <v>223</v>
      </c>
      <c r="G11" s="28"/>
    </row>
    <row r="12" spans="1:16" ht="18" customHeight="1">
      <c r="B12" s="172"/>
      <c r="C12" s="172"/>
      <c r="D12" s="172"/>
      <c r="E12" s="96"/>
      <c r="F12" s="64"/>
      <c r="G12" s="28"/>
    </row>
    <row r="14" spans="1:16" ht="33.75" customHeight="1">
      <c r="A14" s="97" t="s">
        <v>256</v>
      </c>
      <c r="B14" s="98" t="s">
        <v>197</v>
      </c>
      <c r="C14" s="220" t="s">
        <v>189</v>
      </c>
      <c r="D14" s="220" t="s">
        <v>168</v>
      </c>
      <c r="E14" s="220" t="s">
        <v>169</v>
      </c>
      <c r="F14" s="220" t="s">
        <v>170</v>
      </c>
      <c r="N14" s="856" t="s">
        <v>198</v>
      </c>
      <c r="O14" s="856"/>
      <c r="P14" s="168"/>
    </row>
    <row r="15" spans="1:16" s="213" customFormat="1">
      <c r="A15" s="99">
        <v>1</v>
      </c>
      <c r="B15" s="99">
        <v>2</v>
      </c>
      <c r="C15" s="99">
        <v>3</v>
      </c>
      <c r="D15" s="99">
        <v>4</v>
      </c>
      <c r="E15" s="254">
        <v>5</v>
      </c>
      <c r="F15" s="254" t="s">
        <v>225</v>
      </c>
      <c r="M15" s="214"/>
      <c r="N15" s="857">
        <v>3</v>
      </c>
      <c r="O15" s="857"/>
      <c r="P15" s="95"/>
    </row>
    <row r="16" spans="1:16" s="216" customFormat="1">
      <c r="A16" s="218" t="e">
        <f>#REF!</f>
        <v>#REF!</v>
      </c>
      <c r="B16" s="311" t="e">
        <f>#REF!</f>
        <v>#REF!</v>
      </c>
      <c r="C16" s="218" t="e">
        <f>#REF!</f>
        <v>#REF!</v>
      </c>
      <c r="D16" s="218" t="e">
        <f>#REF!</f>
        <v>#REF!</v>
      </c>
      <c r="E16" s="221"/>
      <c r="F16" s="255"/>
      <c r="G16" s="256"/>
      <c r="H16" s="208"/>
      <c r="I16" s="208"/>
      <c r="J16" s="208"/>
      <c r="K16" s="208"/>
      <c r="L16" s="208"/>
      <c r="M16" s="190"/>
      <c r="N16" s="858"/>
      <c r="O16" s="858"/>
      <c r="P16" s="215"/>
    </row>
    <row r="17" spans="1:16" s="216" customFormat="1" ht="35.1" customHeight="1">
      <c r="A17" s="218" t="e">
        <f>#REF!</f>
        <v>#REF!</v>
      </c>
      <c r="B17" s="311" t="e">
        <f>#REF!</f>
        <v>#REF!</v>
      </c>
      <c r="C17" s="218" t="e">
        <f>#REF!</f>
        <v>#REF!</v>
      </c>
      <c r="D17" s="218" t="e">
        <f>#REF!</f>
        <v>#REF!</v>
      </c>
      <c r="E17" s="308" t="e">
        <f>#REF!</f>
        <v>#REF!</v>
      </c>
      <c r="F17" s="296" t="e">
        <f>IF(E17=0, "Included", IF(ISERROR(D17*E17), E17, D17*E17))</f>
        <v>#REF!</v>
      </c>
      <c r="G17" s="151"/>
      <c r="M17" s="190"/>
      <c r="N17" s="850" t="e">
        <f>D17-(D17*$O$9)</f>
        <v>#REF!</v>
      </c>
      <c r="O17" s="850"/>
      <c r="P17" s="215"/>
    </row>
    <row r="18" spans="1:16" s="216" customFormat="1" ht="35.1" customHeight="1">
      <c r="A18" s="218" t="e">
        <f>#REF!</f>
        <v>#REF!</v>
      </c>
      <c r="B18" s="311" t="e">
        <f>#REF!</f>
        <v>#REF!</v>
      </c>
      <c r="C18" s="218" t="e">
        <f>#REF!</f>
        <v>#REF!</v>
      </c>
      <c r="D18" s="218" t="e">
        <f>#REF!</f>
        <v>#REF!</v>
      </c>
      <c r="E18" s="308" t="e">
        <f>#REF!</f>
        <v>#REF!</v>
      </c>
      <c r="F18" s="296" t="e">
        <f>IF(E18=0, "Included", IF(ISERROR(D18*E18), E18, D18*E18))</f>
        <v>#REF!</v>
      </c>
      <c r="G18" s="151"/>
      <c r="M18" s="190"/>
      <c r="N18" s="855"/>
      <c r="O18" s="855"/>
      <c r="P18" s="215"/>
    </row>
    <row r="19" spans="1:16" s="216" customFormat="1" ht="35.1" customHeight="1">
      <c r="A19" s="218" t="e">
        <f>#REF!</f>
        <v>#REF!</v>
      </c>
      <c r="B19" s="311" t="e">
        <f>#REF!</f>
        <v>#REF!</v>
      </c>
      <c r="C19" s="218" t="e">
        <f>#REF!</f>
        <v>#REF!</v>
      </c>
      <c r="D19" s="218" t="e">
        <f>#REF!</f>
        <v>#REF!</v>
      </c>
      <c r="E19" s="308" t="e">
        <f>#REF!</f>
        <v>#REF!</v>
      </c>
      <c r="F19" s="296" t="e">
        <f>IF(E19=0, "Included", IF(ISERROR(D19*E19), E19, D19*E19))</f>
        <v>#REF!</v>
      </c>
      <c r="G19" s="151"/>
      <c r="M19" s="190"/>
      <c r="N19" s="191"/>
      <c r="O19" s="191"/>
      <c r="P19" s="215"/>
    </row>
    <row r="20" spans="1:16" s="216" customFormat="1" ht="35.1" customHeight="1">
      <c r="A20" s="218" t="e">
        <f>#REF!</f>
        <v>#REF!</v>
      </c>
      <c r="B20" s="311" t="e">
        <f>#REF!</f>
        <v>#REF!</v>
      </c>
      <c r="C20" s="218" t="e">
        <f>#REF!</f>
        <v>#REF!</v>
      </c>
      <c r="D20" s="218" t="e">
        <f>#REF!</f>
        <v>#REF!</v>
      </c>
      <c r="E20" s="308" t="e">
        <f>#REF!</f>
        <v>#REF!</v>
      </c>
      <c r="F20" s="296" t="e">
        <f>IF(E20=0, "Included", IF(ISERROR(D20*E20), E20, D20*E20))</f>
        <v>#REF!</v>
      </c>
      <c r="G20" s="151"/>
      <c r="M20" s="190"/>
      <c r="N20" s="191"/>
      <c r="O20" s="191"/>
      <c r="P20" s="215"/>
    </row>
    <row r="21" spans="1:16" ht="19.5" customHeight="1">
      <c r="A21" s="100"/>
      <c r="B21" s="851" t="s">
        <v>257</v>
      </c>
      <c r="C21" s="852"/>
      <c r="D21" s="852"/>
      <c r="E21" s="219"/>
      <c r="F21" s="297" t="e">
        <f>SUM(F17:F20)</f>
        <v>#REF!</v>
      </c>
      <c r="N21" s="850" t="e">
        <f>ROUND((#REF!+#REF!+#REF!),0)</f>
        <v>#REF!</v>
      </c>
      <c r="O21" s="850"/>
      <c r="P21" s="25"/>
    </row>
    <row r="22" spans="1:16">
      <c r="A22" s="101"/>
      <c r="B22" s="102"/>
      <c r="C22" s="102"/>
      <c r="D22" s="95"/>
      <c r="E22" s="95"/>
      <c r="F22" s="95"/>
      <c r="N22" s="192" t="s">
        <v>134</v>
      </c>
      <c r="O22" s="193" t="e">
        <f>D21-N21</f>
        <v>#REF!</v>
      </c>
    </row>
    <row r="23" spans="1:16" ht="33.75" customHeight="1">
      <c r="A23" s="853" t="s">
        <v>171</v>
      </c>
      <c r="B23" s="853"/>
      <c r="C23" s="853"/>
      <c r="D23" s="853"/>
      <c r="E23" s="854"/>
      <c r="F23" s="854"/>
      <c r="N23" s="192"/>
      <c r="O23" s="193"/>
    </row>
    <row r="24" spans="1:16">
      <c r="A24" s="101"/>
      <c r="B24" s="102"/>
      <c r="C24" s="102"/>
      <c r="D24" s="95"/>
      <c r="E24" s="95"/>
      <c r="F24" s="95"/>
      <c r="N24" s="192"/>
      <c r="O24" s="193"/>
    </row>
    <row r="25" spans="1:16" ht="33" customHeight="1">
      <c r="A25" s="87" t="s">
        <v>226</v>
      </c>
      <c r="B25" s="121">
        <f>'Sch-1'!G80</f>
        <v>0</v>
      </c>
      <c r="C25" s="121"/>
      <c r="D25" s="88"/>
      <c r="E25" s="89" t="s">
        <v>228</v>
      </c>
      <c r="F25" s="90"/>
    </row>
    <row r="26" spans="1:16" ht="33" customHeight="1">
      <c r="A26" s="87" t="s">
        <v>227</v>
      </c>
      <c r="B26" s="103">
        <f>'Sch-1'!G81</f>
        <v>0</v>
      </c>
      <c r="C26" s="103"/>
      <c r="D26" s="28"/>
      <c r="E26" s="89" t="s">
        <v>229</v>
      </c>
      <c r="F26" s="103" t="str">
        <f>'Sch-1'!M80</f>
        <v/>
      </c>
    </row>
    <row r="27" spans="1:16" ht="33" customHeight="1">
      <c r="A27" s="84"/>
      <c r="B27" s="83"/>
      <c r="C27" s="83"/>
      <c r="D27" s="28"/>
      <c r="E27" s="89" t="s">
        <v>230</v>
      </c>
      <c r="F27" s="103" t="str">
        <f>'Sch-1'!M81</f>
        <v/>
      </c>
    </row>
    <row r="28" spans="1:16" ht="33" customHeight="1">
      <c r="A28" s="84"/>
      <c r="B28" s="83"/>
      <c r="C28" s="83"/>
      <c r="D28" s="28"/>
      <c r="E28" s="89" t="s">
        <v>231</v>
      </c>
      <c r="F28" s="90"/>
    </row>
  </sheetData>
  <sheetProtection password="E848" sheet="1" objects="1" scenarios="1" formatColumns="0" formatRows="0" selectLockedCells="1" selectUnlockedCells="1"/>
  <customSheetViews>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08A645C4-A23F-4400-B0CE-1685BC312A6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0" type="noConversion"/>
  <printOptions horizontalCentered="1"/>
  <pageMargins left="0.78740157480314998" right="0.38" top="0.61" bottom="0.57999999999999996" header="0.34" footer="0.36"/>
  <pageSetup paperSize="9" orientation="portrait" horizontalDpi="300" verticalDpi="300" r:id="rId9"/>
  <headerFooter alignWithMargins="0">
    <oddFooter>&amp;R&amp;"Book Antiqua,Bold"&amp;10Schedule-7/ Page &amp;P of &amp;N</oddFooter>
  </headerFooter>
  <colBreaks count="1" manualBreakCount="1">
    <brk id="6" max="1048575" man="1"/>
  </colBreaks>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1"/>
  <sheetViews>
    <sheetView showZeros="0" topLeftCell="A16" zoomScale="95" zoomScaleNormal="95" zoomScaleSheetLayoutView="100" workbookViewId="0">
      <selection activeCell="G20" sqref="G20"/>
    </sheetView>
  </sheetViews>
  <sheetFormatPr defaultRowHeight="16.5"/>
  <cols>
    <col min="1" max="2" width="6.625" style="155" customWidth="1"/>
    <col min="3" max="3" width="21.625" style="155" customWidth="1"/>
    <col min="4" max="4" width="13.375" style="155" customWidth="1"/>
    <col min="5" max="5" width="23.625" style="155" customWidth="1"/>
    <col min="6" max="6" width="11.875" style="155" customWidth="1"/>
    <col min="7" max="7" width="14.375" style="155" customWidth="1"/>
    <col min="8" max="8" width="14.25" style="423" hidden="1" customWidth="1"/>
    <col min="9" max="9" width="14.25" style="424" hidden="1" customWidth="1"/>
    <col min="10" max="10" width="20" style="425" hidden="1" customWidth="1"/>
    <col min="11" max="13" width="14.25" style="425" hidden="1" customWidth="1"/>
    <col min="14" max="14" width="38.125" style="425" hidden="1" customWidth="1"/>
    <col min="15" max="15" width="21.25" style="425" hidden="1" customWidth="1"/>
    <col min="16" max="16" width="14.25" style="425" hidden="1" customWidth="1"/>
    <col min="17" max="17" width="14.25" style="302" customWidth="1"/>
    <col min="18" max="23" width="9" style="302"/>
    <col min="24" max="16384" width="9" style="82"/>
  </cols>
  <sheetData>
    <row r="1" spans="1:23" s="142" customFormat="1" ht="39.950000000000003" customHeight="1">
      <c r="A1" s="880" t="s">
        <v>130</v>
      </c>
      <c r="B1" s="880"/>
      <c r="C1" s="880"/>
      <c r="D1" s="880"/>
      <c r="E1" s="880"/>
      <c r="F1" s="880"/>
      <c r="G1" s="880"/>
      <c r="H1" s="420"/>
      <c r="I1" s="421"/>
      <c r="J1" s="422"/>
      <c r="K1" s="422"/>
      <c r="L1" s="422"/>
      <c r="M1" s="422"/>
      <c r="N1" s="422"/>
      <c r="O1" s="422"/>
      <c r="P1" s="422"/>
      <c r="Q1" s="301"/>
      <c r="R1" s="301"/>
      <c r="S1" s="301"/>
      <c r="T1" s="301"/>
      <c r="U1" s="301"/>
      <c r="V1" s="301"/>
      <c r="W1" s="301"/>
    </row>
    <row r="2" spans="1:23" ht="18" customHeight="1">
      <c r="A2" s="77" t="str">
        <f>Cover!B3</f>
        <v>Specification No.: ODP/BB/C&amp;M-3524/OT-20/RFx No. 5002003084/23-24</v>
      </c>
      <c r="B2" s="77"/>
      <c r="C2" s="78"/>
      <c r="D2" s="79"/>
      <c r="E2" s="79"/>
      <c r="F2" s="79"/>
      <c r="G2" s="81" t="s">
        <v>129</v>
      </c>
    </row>
    <row r="3" spans="1:23" ht="18" customHeight="1">
      <c r="A3" s="148"/>
      <c r="B3" s="148"/>
      <c r="C3" s="149"/>
      <c r="D3" s="150"/>
      <c r="E3" s="150"/>
      <c r="F3" s="150"/>
      <c r="G3" s="151"/>
    </row>
    <row r="4" spans="1:23" ht="18.95" customHeight="1">
      <c r="A4" s="883" t="s">
        <v>123</v>
      </c>
      <c r="B4" s="883"/>
      <c r="C4" s="883"/>
      <c r="D4" s="883"/>
      <c r="E4" s="883"/>
      <c r="F4" s="883"/>
      <c r="G4" s="883"/>
    </row>
    <row r="5" spans="1:23" ht="21" customHeight="1">
      <c r="A5" s="151" t="s">
        <v>216</v>
      </c>
      <c r="B5" s="152"/>
      <c r="C5" s="143"/>
      <c r="D5" s="143"/>
      <c r="E5" s="143"/>
      <c r="F5" s="143"/>
      <c r="G5" s="143"/>
    </row>
    <row r="6" spans="1:23" ht="21" customHeight="1">
      <c r="A6" s="462" t="s">
        <v>455</v>
      </c>
      <c r="B6" s="461"/>
      <c r="C6" s="463"/>
      <c r="D6" s="143"/>
      <c r="E6" s="143"/>
      <c r="F6" s="143"/>
      <c r="G6" s="143"/>
    </row>
    <row r="7" spans="1:23" ht="21" customHeight="1">
      <c r="A7" s="462" t="s">
        <v>408</v>
      </c>
      <c r="B7" s="461"/>
      <c r="C7" s="463"/>
      <c r="D7" s="143"/>
      <c r="E7" s="143"/>
      <c r="F7" s="143"/>
      <c r="G7" s="143"/>
    </row>
    <row r="8" spans="1:23" ht="21" customHeight="1">
      <c r="A8" s="462" t="s">
        <v>452</v>
      </c>
      <c r="B8" s="461"/>
      <c r="C8" s="463"/>
      <c r="D8" s="143"/>
      <c r="E8" s="143"/>
      <c r="F8" s="143"/>
      <c r="G8" s="143"/>
    </row>
    <row r="9" spans="1:23" ht="21" customHeight="1">
      <c r="A9" s="462" t="s">
        <v>453</v>
      </c>
      <c r="B9" s="461"/>
      <c r="C9" s="463"/>
      <c r="D9" s="143"/>
      <c r="E9" s="143"/>
      <c r="F9" s="143"/>
      <c r="G9" s="143"/>
    </row>
    <row r="10" spans="1:23" ht="21" customHeight="1">
      <c r="A10" s="462" t="s">
        <v>454</v>
      </c>
      <c r="B10" s="461"/>
      <c r="C10" s="463"/>
      <c r="D10" s="143"/>
      <c r="E10" s="143"/>
      <c r="F10" s="143"/>
      <c r="G10" s="143"/>
    </row>
    <row r="11" spans="1:23" ht="21" customHeight="1">
      <c r="A11" s="143"/>
      <c r="B11" s="143"/>
      <c r="C11" s="143"/>
      <c r="D11" s="143"/>
      <c r="E11" s="143"/>
      <c r="F11" s="143"/>
      <c r="G11" s="143"/>
    </row>
    <row r="12" spans="1:23" ht="52.5" customHeight="1">
      <c r="A12" s="469" t="s">
        <v>124</v>
      </c>
      <c r="B12" s="469"/>
      <c r="C12" s="881" t="str">
        <f>Cover!$B$2</f>
        <v>Supply &amp; Services contract for Diversion/Modification of 400kV S/C Rengali-Indravati Transmission Line near Bhawanipatna for Construction of NH Bypass Road (Deposit Work on Behalf of NHAI).</v>
      </c>
      <c r="D12" s="881"/>
      <c r="E12" s="881"/>
      <c r="F12" s="881"/>
      <c r="G12" s="881"/>
    </row>
    <row r="13" spans="1:23" ht="21" customHeight="1">
      <c r="A13" s="153" t="s">
        <v>122</v>
      </c>
      <c r="B13" s="153"/>
      <c r="C13" s="154"/>
      <c r="D13" s="153"/>
      <c r="E13" s="153"/>
      <c r="F13" s="153"/>
      <c r="G13" s="153"/>
    </row>
    <row r="14" spans="1:23" ht="55.5" customHeight="1">
      <c r="A14" s="882" t="s">
        <v>125</v>
      </c>
      <c r="B14" s="882"/>
      <c r="C14" s="882"/>
      <c r="D14" s="882"/>
      <c r="E14" s="882"/>
      <c r="F14" s="882"/>
      <c r="G14" s="882"/>
      <c r="J14" s="884" t="s">
        <v>322</v>
      </c>
      <c r="K14" s="884"/>
      <c r="L14" s="884"/>
      <c r="M14" s="884"/>
      <c r="N14" s="426" t="s">
        <v>323</v>
      </c>
    </row>
    <row r="15" spans="1:23" ht="69.95" customHeight="1">
      <c r="B15" s="161">
        <v>1</v>
      </c>
      <c r="C15" s="860" t="s">
        <v>319</v>
      </c>
      <c r="D15" s="861"/>
      <c r="E15" s="861"/>
      <c r="F15" s="862"/>
      <c r="G15" s="304"/>
      <c r="I15" s="427" t="e">
        <f>'Sch-1'!M74+'Sch-2'!G69+#REF!</f>
        <v>#REF!</v>
      </c>
      <c r="J15" s="428" t="e">
        <f>IF(I15=0,0,G15/I15)</f>
        <v>#REF!</v>
      </c>
    </row>
    <row r="16" spans="1:23" ht="69.95" customHeight="1">
      <c r="B16" s="161">
        <v>2</v>
      </c>
      <c r="C16" s="860" t="s">
        <v>320</v>
      </c>
      <c r="D16" s="861"/>
      <c r="E16" s="861"/>
      <c r="F16" s="862"/>
      <c r="G16" s="167"/>
      <c r="I16" s="429" t="e">
        <f>'Sch-1'!M74+'Sch-2'!G69+#REF!</f>
        <v>#REF!</v>
      </c>
      <c r="J16" s="430">
        <f>G16</f>
        <v>0</v>
      </c>
    </row>
    <row r="17" spans="1:23" s="145" customFormat="1" ht="54.95" customHeight="1">
      <c r="B17" s="162">
        <v>3</v>
      </c>
      <c r="C17" s="863" t="s">
        <v>147</v>
      </c>
      <c r="D17" s="864"/>
      <c r="E17" s="864"/>
      <c r="F17" s="865"/>
      <c r="G17" s="165"/>
      <c r="H17" s="423"/>
      <c r="I17" s="423"/>
      <c r="J17" s="431"/>
      <c r="K17" s="431"/>
      <c r="L17" s="431"/>
      <c r="M17" s="431"/>
      <c r="N17" s="431"/>
      <c r="O17" s="431"/>
      <c r="P17" s="431"/>
      <c r="Q17" s="303"/>
      <c r="R17" s="303"/>
      <c r="S17" s="303"/>
      <c r="T17" s="303"/>
      <c r="U17" s="303"/>
      <c r="V17" s="303"/>
      <c r="W17" s="303"/>
    </row>
    <row r="18" spans="1:23" s="145" customFormat="1" ht="21" customHeight="1">
      <c r="B18" s="159"/>
      <c r="C18" s="174" t="s">
        <v>138</v>
      </c>
      <c r="D18" s="157"/>
      <c r="E18" s="166"/>
      <c r="F18" s="176" t="s">
        <v>177</v>
      </c>
      <c r="G18" s="305"/>
      <c r="H18" s="423"/>
      <c r="I18" s="432">
        <f>'Sch-1'!M78</f>
        <v>0</v>
      </c>
      <c r="J18" s="433">
        <f>IF(I18=0,0,G18/I18)</f>
        <v>0</v>
      </c>
      <c r="K18" s="431"/>
      <c r="L18" s="431"/>
      <c r="M18" s="431"/>
      <c r="N18" s="434" t="s">
        <v>333</v>
      </c>
      <c r="O18" s="433" t="e">
        <f>J15+J16+J18+J24</f>
        <v>#REF!</v>
      </c>
      <c r="P18" s="431"/>
      <c r="Q18" s="303"/>
      <c r="R18" s="303"/>
      <c r="S18" s="303"/>
      <c r="T18" s="303"/>
      <c r="U18" s="303"/>
      <c r="V18" s="303"/>
      <c r="W18" s="303"/>
    </row>
    <row r="19" spans="1:23" s="145" customFormat="1" ht="21" customHeight="1">
      <c r="B19" s="159"/>
      <c r="C19" s="174" t="s">
        <v>139</v>
      </c>
      <c r="D19" s="157"/>
      <c r="E19" s="166"/>
      <c r="F19" s="176" t="s">
        <v>177</v>
      </c>
      <c r="G19" s="460"/>
      <c r="H19" s="423"/>
      <c r="I19" s="432" t="e">
        <f>'Sch-1'!M82</f>
        <v>#REF!</v>
      </c>
      <c r="J19" s="433" t="e">
        <f>IF(I19=0,0,G19/I19)</f>
        <v>#REF!</v>
      </c>
      <c r="K19" s="431"/>
      <c r="L19" s="431"/>
      <c r="M19" s="431"/>
      <c r="N19" s="434" t="s">
        <v>334</v>
      </c>
      <c r="O19" s="433" t="e">
        <f>J15+J16+J19+J25</f>
        <v>#REF!</v>
      </c>
      <c r="P19" s="431"/>
      <c r="Q19" s="303"/>
      <c r="R19" s="303"/>
      <c r="S19" s="303"/>
      <c r="T19" s="303"/>
      <c r="U19" s="303"/>
      <c r="V19" s="303"/>
      <c r="W19" s="303"/>
    </row>
    <row r="20" spans="1:23" s="145" customFormat="1" ht="21" customHeight="1">
      <c r="B20" s="159"/>
      <c r="C20" s="174" t="s">
        <v>126</v>
      </c>
      <c r="D20" s="157"/>
      <c r="E20" s="166"/>
      <c r="F20" s="176" t="s">
        <v>177</v>
      </c>
      <c r="G20" s="305"/>
      <c r="H20" s="423"/>
      <c r="I20" s="432">
        <f>'Sch-2'!G69</f>
        <v>0</v>
      </c>
      <c r="J20" s="433">
        <f>IF(I20=0,0,G20/I20)</f>
        <v>0</v>
      </c>
      <c r="K20" s="431"/>
      <c r="L20" s="431"/>
      <c r="M20" s="431"/>
      <c r="N20" s="434" t="s">
        <v>126</v>
      </c>
      <c r="O20" s="433" t="e">
        <f>J15+J16+J20+J26</f>
        <v>#REF!</v>
      </c>
      <c r="P20" s="431"/>
      <c r="Q20" s="303"/>
      <c r="R20" s="303"/>
      <c r="S20" s="303"/>
      <c r="T20" s="303"/>
      <c r="U20" s="303"/>
      <c r="V20" s="303"/>
      <c r="W20" s="303"/>
    </row>
    <row r="21" spans="1:23" s="145" customFormat="1" ht="21" customHeight="1">
      <c r="B21" s="159"/>
      <c r="C21" s="174" t="s">
        <v>127</v>
      </c>
      <c r="D21" s="157"/>
      <c r="E21" s="166"/>
      <c r="F21" s="177" t="s">
        <v>177</v>
      </c>
      <c r="G21" s="305"/>
      <c r="H21" s="423"/>
      <c r="I21" s="423"/>
      <c r="J21" s="433">
        <f>IF(I21=0,0,G21/I21)</f>
        <v>0</v>
      </c>
      <c r="K21" s="431"/>
      <c r="L21" s="431"/>
      <c r="M21" s="431"/>
      <c r="N21" s="434" t="s">
        <v>127</v>
      </c>
      <c r="O21" s="433"/>
      <c r="P21" s="431"/>
      <c r="Q21" s="303"/>
      <c r="R21" s="303"/>
      <c r="S21" s="303"/>
      <c r="T21" s="303"/>
      <c r="U21" s="303"/>
      <c r="V21" s="303"/>
      <c r="W21" s="303"/>
    </row>
    <row r="22" spans="1:23" s="145" customFormat="1" ht="21" hidden="1" customHeight="1">
      <c r="B22" s="160"/>
      <c r="C22" s="300" t="s">
        <v>321</v>
      </c>
      <c r="D22" s="158"/>
      <c r="E22" s="166"/>
      <c r="F22" s="177" t="s">
        <v>177</v>
      </c>
      <c r="G22" s="306"/>
      <c r="H22" s="423"/>
      <c r="I22" s="432" t="e">
        <f>#REF!</f>
        <v>#REF!</v>
      </c>
      <c r="J22" s="433" t="e">
        <f>IF(I22=0,0,G22/I22)</f>
        <v>#REF!</v>
      </c>
      <c r="K22" s="431"/>
      <c r="L22" s="431"/>
      <c r="M22" s="431"/>
      <c r="N22" s="435" t="s">
        <v>321</v>
      </c>
      <c r="O22" s="433" t="e">
        <f>J15+J16+J22+J28</f>
        <v>#REF!</v>
      </c>
      <c r="P22" s="431"/>
      <c r="Q22" s="303"/>
      <c r="R22" s="303"/>
      <c r="S22" s="303"/>
      <c r="T22" s="303"/>
      <c r="U22" s="303"/>
      <c r="V22" s="303"/>
      <c r="W22" s="303"/>
    </row>
    <row r="23" spans="1:23" s="145" customFormat="1" ht="54.95" customHeight="1">
      <c r="B23" s="162">
        <v>4</v>
      </c>
      <c r="C23" s="866" t="s">
        <v>148</v>
      </c>
      <c r="D23" s="867"/>
      <c r="E23" s="867"/>
      <c r="F23" s="868"/>
      <c r="G23" s="165"/>
      <c r="H23" s="423"/>
      <c r="I23" s="423"/>
      <c r="J23" s="431"/>
      <c r="K23" s="431"/>
      <c r="L23" s="431"/>
      <c r="M23" s="431"/>
      <c r="N23" s="431"/>
      <c r="O23" s="431"/>
      <c r="P23" s="431"/>
      <c r="Q23" s="303"/>
      <c r="R23" s="303"/>
      <c r="S23" s="303"/>
      <c r="T23" s="303"/>
      <c r="U23" s="303"/>
      <c r="V23" s="303"/>
      <c r="W23" s="303"/>
    </row>
    <row r="24" spans="1:23" s="145" customFormat="1" ht="21" customHeight="1">
      <c r="A24" s="144"/>
      <c r="B24" s="159"/>
      <c r="C24" s="174" t="s">
        <v>138</v>
      </c>
      <c r="D24" s="157"/>
      <c r="E24" s="175"/>
      <c r="F24" s="176" t="s">
        <v>178</v>
      </c>
      <c r="G24" s="181"/>
      <c r="H24" s="423"/>
      <c r="I24" s="432">
        <f>'Sch-1'!M78</f>
        <v>0</v>
      </c>
      <c r="J24" s="436">
        <f>G24</f>
        <v>0</v>
      </c>
      <c r="K24" s="431"/>
      <c r="L24" s="431"/>
      <c r="M24" s="431"/>
      <c r="N24" s="431"/>
      <c r="O24" s="431"/>
      <c r="P24" s="431"/>
      <c r="Q24" s="303"/>
      <c r="R24" s="303"/>
      <c r="S24" s="303"/>
      <c r="T24" s="303"/>
      <c r="U24" s="303"/>
      <c r="V24" s="303"/>
      <c r="W24" s="303"/>
    </row>
    <row r="25" spans="1:23" s="145" customFormat="1" ht="21" customHeight="1">
      <c r="A25" s="144"/>
      <c r="B25" s="159"/>
      <c r="C25" s="174" t="s">
        <v>139</v>
      </c>
      <c r="D25" s="157"/>
      <c r="E25" s="175"/>
      <c r="F25" s="176" t="s">
        <v>178</v>
      </c>
      <c r="G25" s="181"/>
      <c r="H25" s="423"/>
      <c r="I25" s="432" t="e">
        <f>'Sch-1'!M82</f>
        <v>#REF!</v>
      </c>
      <c r="J25" s="436">
        <f>G25</f>
        <v>0</v>
      </c>
      <c r="K25" s="431"/>
      <c r="L25" s="431"/>
      <c r="M25" s="431"/>
      <c r="N25" s="431"/>
      <c r="O25" s="431"/>
      <c r="P25" s="431"/>
      <c r="Q25" s="303"/>
      <c r="R25" s="303"/>
      <c r="S25" s="303"/>
      <c r="T25" s="303"/>
      <c r="U25" s="303"/>
      <c r="V25" s="303"/>
      <c r="W25" s="303"/>
    </row>
    <row r="26" spans="1:23" s="145" customFormat="1" ht="21" customHeight="1">
      <c r="A26" s="144"/>
      <c r="B26" s="159"/>
      <c r="C26" s="174" t="s">
        <v>126</v>
      </c>
      <c r="D26" s="157"/>
      <c r="E26" s="175"/>
      <c r="F26" s="176" t="s">
        <v>178</v>
      </c>
      <c r="G26" s="181"/>
      <c r="H26" s="423"/>
      <c r="I26" s="432">
        <f>'Sch-2'!G69</f>
        <v>0</v>
      </c>
      <c r="J26" s="436">
        <f>G26</f>
        <v>0</v>
      </c>
      <c r="K26" s="431"/>
      <c r="L26" s="431"/>
      <c r="M26" s="431"/>
      <c r="N26" s="431"/>
      <c r="O26" s="431"/>
      <c r="P26" s="431"/>
      <c r="Q26" s="303"/>
      <c r="R26" s="303"/>
      <c r="S26" s="303"/>
      <c r="T26" s="303"/>
      <c r="U26" s="303"/>
      <c r="V26" s="303"/>
      <c r="W26" s="303"/>
    </row>
    <row r="27" spans="1:23" s="145" customFormat="1" ht="21" customHeight="1">
      <c r="A27" s="144"/>
      <c r="B27" s="159"/>
      <c r="C27" s="174" t="s">
        <v>127</v>
      </c>
      <c r="D27" s="157"/>
      <c r="E27" s="175"/>
      <c r="F27" s="176" t="s">
        <v>178</v>
      </c>
      <c r="G27" s="181"/>
      <c r="H27" s="423"/>
      <c r="I27" s="423"/>
      <c r="J27" s="436">
        <f>G27</f>
        <v>0</v>
      </c>
      <c r="K27" s="431"/>
      <c r="L27" s="431"/>
      <c r="M27" s="431"/>
      <c r="N27" s="431"/>
      <c r="O27" s="431"/>
      <c r="P27" s="431"/>
      <c r="Q27" s="303"/>
      <c r="R27" s="303"/>
      <c r="S27" s="303"/>
      <c r="T27" s="303"/>
      <c r="U27" s="303"/>
      <c r="V27" s="303"/>
      <c r="W27" s="303"/>
    </row>
    <row r="28" spans="1:23" s="145" customFormat="1" ht="21" hidden="1" customHeight="1">
      <c r="A28" s="144"/>
      <c r="B28" s="160"/>
      <c r="C28" s="300" t="s">
        <v>321</v>
      </c>
      <c r="D28" s="158"/>
      <c r="E28" s="178"/>
      <c r="F28" s="177" t="s">
        <v>178</v>
      </c>
      <c r="G28" s="182"/>
      <c r="H28" s="423"/>
      <c r="I28" s="432" t="e">
        <f>#REF!</f>
        <v>#REF!</v>
      </c>
      <c r="J28" s="436">
        <f>G28</f>
        <v>0</v>
      </c>
      <c r="K28" s="431"/>
      <c r="L28" s="431"/>
      <c r="M28" s="431"/>
      <c r="N28" s="431"/>
      <c r="O28" s="431"/>
      <c r="P28" s="431"/>
      <c r="Q28" s="303"/>
      <c r="R28" s="303"/>
      <c r="S28" s="303"/>
      <c r="T28" s="303"/>
      <c r="U28" s="303"/>
      <c r="V28" s="303"/>
      <c r="W28" s="303"/>
    </row>
    <row r="29" spans="1:23" s="145" customFormat="1" ht="41.25" customHeight="1">
      <c r="A29" s="144"/>
      <c r="B29" s="872" t="s">
        <v>402</v>
      </c>
      <c r="C29" s="873"/>
      <c r="D29" s="873"/>
      <c r="E29" s="873"/>
      <c r="F29" s="873"/>
      <c r="G29" s="873"/>
      <c r="H29" s="423"/>
      <c r="I29" s="432" t="e">
        <f>'Sch-1'!M74+'Sch-2'!G69+#REF!</f>
        <v>#REF!</v>
      </c>
      <c r="J29" s="433" t="e">
        <f>IF(I29=0,0,G29/I29)</f>
        <v>#REF!</v>
      </c>
      <c r="K29" s="431"/>
      <c r="L29" s="431"/>
      <c r="M29" s="431"/>
      <c r="N29" s="431"/>
      <c r="O29" s="431"/>
      <c r="P29" s="431"/>
      <c r="Q29" s="303"/>
      <c r="R29" s="303"/>
      <c r="S29" s="303"/>
      <c r="T29" s="303"/>
      <c r="U29" s="303"/>
      <c r="V29" s="303"/>
      <c r="W29" s="303"/>
    </row>
    <row r="30" spans="1:23" s="145" customFormat="1" ht="24.75" hidden="1" customHeight="1">
      <c r="A30" s="144"/>
      <c r="B30" s="410">
        <v>5</v>
      </c>
      <c r="C30" s="874" t="s">
        <v>403</v>
      </c>
      <c r="D30" s="875"/>
      <c r="E30" s="875"/>
      <c r="F30" s="875"/>
      <c r="G30" s="876"/>
      <c r="H30" s="423"/>
      <c r="I30" s="432"/>
      <c r="J30" s="433"/>
      <c r="K30" s="431"/>
      <c r="L30" s="431"/>
      <c r="M30" s="431"/>
      <c r="N30" s="431"/>
      <c r="O30" s="431"/>
      <c r="P30" s="431"/>
      <c r="Q30" s="303"/>
      <c r="R30" s="303"/>
      <c r="S30" s="303"/>
      <c r="T30" s="303"/>
      <c r="U30" s="303"/>
      <c r="V30" s="303"/>
      <c r="W30" s="303"/>
    </row>
    <row r="31" spans="1:23" s="145" customFormat="1" ht="61.5" hidden="1" customHeight="1">
      <c r="A31" s="144"/>
      <c r="B31" s="877"/>
      <c r="C31" s="878"/>
      <c r="D31" s="878"/>
      <c r="E31" s="878"/>
      <c r="F31" s="878"/>
      <c r="G31" s="879"/>
      <c r="H31" s="423"/>
      <c r="I31" s="432" t="e">
        <f>'Sch-1'!M74+'Sch-2'!G69+#REF!</f>
        <v>#REF!</v>
      </c>
      <c r="J31" s="436">
        <f>G31</f>
        <v>0</v>
      </c>
      <c r="K31" s="431"/>
      <c r="L31" s="431"/>
      <c r="M31" s="431"/>
      <c r="N31" s="431"/>
      <c r="O31" s="431"/>
      <c r="P31" s="431"/>
      <c r="Q31" s="303"/>
      <c r="R31" s="303"/>
      <c r="S31" s="303"/>
      <c r="T31" s="303"/>
      <c r="U31" s="303"/>
      <c r="V31" s="303"/>
      <c r="W31" s="303"/>
    </row>
    <row r="32" spans="1:23" s="145" customFormat="1" ht="48.75" customHeight="1">
      <c r="A32" s="144"/>
      <c r="B32" s="869"/>
      <c r="C32" s="870"/>
      <c r="D32" s="870"/>
      <c r="E32" s="870"/>
      <c r="F32" s="870"/>
      <c r="G32" s="870"/>
      <c r="H32" s="423"/>
      <c r="I32" s="423"/>
      <c r="J32" s="431"/>
      <c r="K32" s="431"/>
      <c r="L32" s="431"/>
      <c r="M32" s="431"/>
      <c r="N32" s="431"/>
      <c r="O32" s="431"/>
      <c r="P32" s="431"/>
      <c r="Q32" s="303"/>
      <c r="R32" s="303"/>
      <c r="S32" s="303"/>
      <c r="T32" s="303"/>
      <c r="U32" s="303"/>
      <c r="V32" s="303"/>
      <c r="W32" s="303"/>
    </row>
    <row r="33" spans="1:23" s="145" customFormat="1" ht="33" customHeight="1">
      <c r="A33" s="147" t="s">
        <v>128</v>
      </c>
      <c r="B33" s="163"/>
      <c r="C33" s="156"/>
      <c r="E33" s="164"/>
      <c r="F33" s="164"/>
      <c r="G33" s="146"/>
      <c r="H33" s="423"/>
      <c r="I33" s="423"/>
      <c r="J33" s="431"/>
      <c r="K33" s="431"/>
      <c r="L33" s="431"/>
      <c r="M33" s="431"/>
      <c r="N33" s="431"/>
      <c r="O33" s="431"/>
      <c r="P33" s="431"/>
      <c r="Q33" s="303"/>
      <c r="R33" s="303"/>
      <c r="S33" s="303"/>
      <c r="T33" s="303"/>
      <c r="U33" s="303"/>
      <c r="V33" s="303"/>
      <c r="W33" s="303"/>
    </row>
    <row r="34" spans="1:23" s="145" customFormat="1" ht="33" customHeight="1">
      <c r="A34" s="28" t="s">
        <v>280</v>
      </c>
      <c r="B34" s="163"/>
      <c r="C34" s="156"/>
      <c r="E34" s="164"/>
      <c r="F34" s="164"/>
      <c r="G34" s="146"/>
      <c r="H34" s="423"/>
      <c r="I34" s="423"/>
      <c r="J34" s="431"/>
      <c r="K34" s="431"/>
      <c r="L34" s="431"/>
      <c r="M34" s="431"/>
      <c r="N34" s="431"/>
      <c r="O34" s="431"/>
      <c r="P34" s="431"/>
      <c r="Q34" s="303"/>
      <c r="R34" s="303"/>
      <c r="S34" s="303"/>
      <c r="T34" s="303"/>
      <c r="U34" s="303"/>
      <c r="V34" s="303"/>
      <c r="W34" s="303"/>
    </row>
    <row r="35" spans="1:23" s="145" customFormat="1" ht="33" customHeight="1">
      <c r="B35" s="28"/>
      <c r="D35" s="76"/>
      <c r="E35" s="83"/>
      <c r="F35" s="83"/>
      <c r="G35" s="83"/>
      <c r="H35" s="437"/>
      <c r="I35" s="423"/>
      <c r="J35" s="431"/>
      <c r="K35" s="431"/>
      <c r="L35" s="431"/>
      <c r="M35" s="431"/>
      <c r="N35" s="431"/>
      <c r="O35" s="431"/>
      <c r="P35" s="431"/>
      <c r="Q35" s="303"/>
      <c r="R35" s="303"/>
      <c r="S35" s="303"/>
      <c r="T35" s="303"/>
      <c r="U35" s="303"/>
      <c r="V35" s="303"/>
      <c r="W35" s="303"/>
    </row>
    <row r="36" spans="1:23" ht="33" customHeight="1">
      <c r="A36" s="109"/>
      <c r="B36" s="109"/>
      <c r="C36" s="118"/>
      <c r="D36" s="83"/>
      <c r="E36" s="28"/>
      <c r="F36" s="28"/>
      <c r="G36" s="90" t="s">
        <v>281</v>
      </c>
      <c r="H36" s="425"/>
    </row>
    <row r="37" spans="1:23" ht="33" customHeight="1">
      <c r="A37" s="109"/>
      <c r="B37" s="109"/>
      <c r="C37" s="118"/>
      <c r="D37" s="83"/>
      <c r="E37" s="28"/>
      <c r="F37" s="28"/>
      <c r="G37" s="90" t="str">
        <f>"For and on behalf of " &amp; 'Sch-1'!G8</f>
        <v xml:space="preserve">For and on behalf of </v>
      </c>
      <c r="H37" s="425"/>
    </row>
    <row r="38" spans="1:23" ht="33" customHeight="1">
      <c r="A38" s="107"/>
      <c r="B38" s="107"/>
      <c r="C38" s="107"/>
      <c r="D38" s="122"/>
      <c r="E38" s="114"/>
      <c r="F38" s="114"/>
      <c r="G38" s="82"/>
      <c r="H38" s="438"/>
    </row>
    <row r="39" spans="1:23" ht="33" customHeight="1">
      <c r="A39" s="141" t="s">
        <v>120</v>
      </c>
      <c r="B39" s="141"/>
      <c r="C39" s="122">
        <f>'Sch-1'!G80</f>
        <v>0</v>
      </c>
      <c r="D39" s="122"/>
      <c r="E39" s="114" t="s">
        <v>282</v>
      </c>
      <c r="F39" s="871" t="str">
        <f>'Sch-1'!M80</f>
        <v/>
      </c>
      <c r="G39" s="871"/>
      <c r="H39" s="425"/>
    </row>
    <row r="40" spans="1:23" ht="33" customHeight="1">
      <c r="A40" s="141" t="s">
        <v>121</v>
      </c>
      <c r="B40" s="141"/>
      <c r="C40" s="123">
        <f>'Sch-1'!G81</f>
        <v>0</v>
      </c>
      <c r="D40" s="124"/>
      <c r="E40" s="114" t="s">
        <v>283</v>
      </c>
      <c r="F40" s="871" t="str">
        <f>'Sch-1'!M81</f>
        <v/>
      </c>
      <c r="G40" s="871"/>
      <c r="H40" s="425"/>
    </row>
    <row r="41" spans="1:23" ht="33" customHeight="1">
      <c r="A41" s="109"/>
      <c r="B41" s="109"/>
      <c r="C41" s="109"/>
      <c r="D41" s="109"/>
      <c r="E41" s="114"/>
      <c r="F41" s="114"/>
      <c r="G41" s="408"/>
      <c r="H41" s="439"/>
    </row>
  </sheetData>
  <sheetProtection formatColumns="0" formatRows="0" selectLockedCells="1"/>
  <customSheetViews>
    <customSheetView guid="{9CA44E70-650F-49CD-967F-298619682CA2}" zeroValues="0" hiddenRows="1" hiddenColumns="1" topLeftCell="A17">
      <selection activeCell="G28" sqref="G28"/>
      <pageMargins left="0.72" right="0.49" top="0.62" bottom="0.52" header="0.32" footer="0.27"/>
      <pageSetup scale="96" orientation="portrait" r:id="rId1"/>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2"/>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4"/>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5"/>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6"/>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7"/>
      <headerFooter alignWithMargins="0">
        <oddFooter>&amp;R&amp;"Book Antiqua,Bold"&amp;10Letter of Discount  / Page &amp;P of &amp;N</oddFooter>
      </headerFooter>
    </customSheetView>
    <customSheetView guid="{08A645C4-A23F-4400-B0CE-1685BC312A6F}" scale="95" zeroValues="0" printArea="1" hiddenRows="1" hiddenColumns="1" topLeftCell="A13">
      <selection activeCell="G24" sqref="G24:G26"/>
      <pageMargins left="0.72" right="0.49" top="0.62" bottom="0.52" header="0.32" footer="0.27"/>
      <pageSetup scale="96" orientation="portrait" r:id="rId8"/>
      <headerFooter alignWithMargins="0">
        <oddFooter>&amp;R&amp;"Book Antiqua,Bold"&amp;10Letter of Discount  / Page &amp;P of &amp;N</oddFooter>
      </headerFooter>
    </customSheetView>
  </customSheetViews>
  <mergeCells count="15">
    <mergeCell ref="A1:G1"/>
    <mergeCell ref="C12:G12"/>
    <mergeCell ref="A14:G14"/>
    <mergeCell ref="A4:G4"/>
    <mergeCell ref="J14:M14"/>
    <mergeCell ref="F39:G39"/>
    <mergeCell ref="B29:G29"/>
    <mergeCell ref="C30:G30"/>
    <mergeCell ref="B31:G31"/>
    <mergeCell ref="F40:G40"/>
    <mergeCell ref="C15:F15"/>
    <mergeCell ref="C16:F16"/>
    <mergeCell ref="C17:F17"/>
    <mergeCell ref="C23:F23"/>
    <mergeCell ref="B32:G32"/>
  </mergeCells>
  <phoneticPr fontId="3" type="noConversion"/>
  <dataValidations count="2">
    <dataValidation type="decimal" allowBlank="1" showInputMessage="1" showErrorMessage="1" error="Enter in percent only." sqref="G24:G28"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96" orientation="portrait" r:id="rId9"/>
  <headerFooter alignWithMargins="0">
    <oddFooter>&amp;R&amp;"Book Antiqua,Bold"&amp;10Letter of Discount  / Page &amp;P of &amp;N</oddFooter>
  </headerFooter>
  <drawing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zoomScaleNormal="100" zoomScaleSheetLayoutView="100" workbookViewId="0">
      <selection activeCell="D13" sqref="D13"/>
    </sheetView>
  </sheetViews>
  <sheetFormatPr defaultRowHeight="16.5"/>
  <cols>
    <col min="1" max="1" width="9" style="287"/>
    <col min="2" max="2" width="26.875" style="94" customWidth="1"/>
    <col min="3" max="3" width="22.875" style="94" customWidth="1"/>
    <col min="4" max="5" width="15.625" style="94" customWidth="1"/>
    <col min="6" max="16384" width="9" style="76"/>
  </cols>
  <sheetData>
    <row r="1" spans="1:6">
      <c r="A1" s="276"/>
      <c r="B1" s="277"/>
      <c r="C1" s="277"/>
      <c r="D1" s="277"/>
      <c r="E1" s="277"/>
    </row>
    <row r="2" spans="1:6" ht="21.95" customHeight="1">
      <c r="A2" s="885" t="s">
        <v>288</v>
      </c>
      <c r="B2" s="885"/>
      <c r="C2" s="885"/>
      <c r="D2" s="885"/>
      <c r="E2" s="76"/>
    </row>
    <row r="3" spans="1:6">
      <c r="A3" s="276"/>
      <c r="B3" s="277"/>
      <c r="C3" s="277"/>
      <c r="D3" s="277"/>
      <c r="E3" s="277"/>
    </row>
    <row r="4" spans="1:6" ht="30">
      <c r="A4" s="98" t="s">
        <v>289</v>
      </c>
      <c r="B4" s="278" t="s">
        <v>290</v>
      </c>
      <c r="C4" s="98" t="s">
        <v>291</v>
      </c>
      <c r="D4" s="98" t="s">
        <v>292</v>
      </c>
      <c r="E4" s="98" t="s">
        <v>293</v>
      </c>
    </row>
    <row r="5" spans="1:6" ht="18" customHeight="1">
      <c r="A5" s="279" t="s">
        <v>294</v>
      </c>
      <c r="B5" s="279" t="s">
        <v>295</v>
      </c>
      <c r="C5" s="279" t="s">
        <v>296</v>
      </c>
      <c r="D5" s="279" t="s">
        <v>297</v>
      </c>
      <c r="E5" s="279" t="s">
        <v>298</v>
      </c>
    </row>
    <row r="6" spans="1:6" ht="45" customHeight="1">
      <c r="A6" s="280">
        <v>1</v>
      </c>
      <c r="B6" s="281"/>
      <c r="C6" s="282"/>
      <c r="D6" s="283"/>
      <c r="E6" s="284">
        <f t="shared" ref="E6:E15" si="0">C6*D6</f>
        <v>0</v>
      </c>
    </row>
    <row r="7" spans="1:6" ht="45" customHeight="1">
      <c r="A7" s="280">
        <v>2</v>
      </c>
      <c r="B7" s="281"/>
      <c r="C7" s="282"/>
      <c r="D7" s="283"/>
      <c r="E7" s="284">
        <f t="shared" si="0"/>
        <v>0</v>
      </c>
    </row>
    <row r="8" spans="1:6" ht="45" customHeight="1">
      <c r="A8" s="280">
        <v>3</v>
      </c>
      <c r="B8" s="281"/>
      <c r="C8" s="282"/>
      <c r="D8" s="283"/>
      <c r="E8" s="284">
        <f t="shared" si="0"/>
        <v>0</v>
      </c>
    </row>
    <row r="9" spans="1:6" ht="45" customHeight="1">
      <c r="A9" s="280">
        <v>4</v>
      </c>
      <c r="B9" s="281"/>
      <c r="C9" s="282"/>
      <c r="D9" s="283"/>
      <c r="E9" s="284">
        <f t="shared" si="0"/>
        <v>0</v>
      </c>
    </row>
    <row r="10" spans="1:6" ht="45" customHeight="1">
      <c r="A10" s="280">
        <v>5</v>
      </c>
      <c r="B10" s="281"/>
      <c r="C10" s="282"/>
      <c r="D10" s="283"/>
      <c r="E10" s="284">
        <f t="shared" si="0"/>
        <v>0</v>
      </c>
    </row>
    <row r="11" spans="1:6" ht="45" customHeight="1">
      <c r="A11" s="280">
        <v>6</v>
      </c>
      <c r="B11" s="281"/>
      <c r="C11" s="282"/>
      <c r="D11" s="283"/>
      <c r="E11" s="284">
        <f t="shared" si="0"/>
        <v>0</v>
      </c>
    </row>
    <row r="12" spans="1:6" ht="45" customHeight="1">
      <c r="A12" s="280">
        <v>7</v>
      </c>
      <c r="B12" s="281"/>
      <c r="C12" s="282"/>
      <c r="D12" s="283"/>
      <c r="E12" s="284">
        <f t="shared" si="0"/>
        <v>0</v>
      </c>
    </row>
    <row r="13" spans="1:6" ht="45" customHeight="1">
      <c r="A13" s="280">
        <v>8</v>
      </c>
      <c r="B13" s="281"/>
      <c r="C13" s="282"/>
      <c r="D13" s="283"/>
      <c r="E13" s="284">
        <f t="shared" si="0"/>
        <v>0</v>
      </c>
    </row>
    <row r="14" spans="1:6" ht="45" customHeight="1">
      <c r="A14" s="280">
        <v>9</v>
      </c>
      <c r="B14" s="281"/>
      <c r="C14" s="282"/>
      <c r="D14" s="283"/>
      <c r="E14" s="284">
        <f t="shared" si="0"/>
        <v>0</v>
      </c>
    </row>
    <row r="15" spans="1:6" ht="45" customHeight="1">
      <c r="A15" s="280">
        <v>10</v>
      </c>
      <c r="B15" s="281"/>
      <c r="C15" s="282"/>
      <c r="D15" s="283"/>
      <c r="E15" s="284">
        <f t="shared" si="0"/>
        <v>0</v>
      </c>
    </row>
    <row r="16" spans="1:6" ht="45" customHeight="1">
      <c r="A16" s="207"/>
      <c r="B16" s="285" t="s">
        <v>299</v>
      </c>
      <c r="C16" s="285"/>
      <c r="D16" s="285"/>
      <c r="E16" s="285">
        <f>SUM(E6:E15)</f>
        <v>0</v>
      </c>
      <c r="F16" s="286"/>
    </row>
    <row r="17" ht="30" customHeight="1"/>
    <row r="18" ht="30" customHeight="1"/>
    <row r="19" ht="30" customHeight="1"/>
    <row r="20" ht="30" customHeight="1"/>
    <row r="21" ht="30" customHeight="1"/>
  </sheetData>
  <sheetProtection password="8665" sheet="1" formatColumns="0" formatRows="0" selectLockedCells="1"/>
  <customSheetViews>
    <customSheetView guid="{9CA44E70-650F-49CD-967F-298619682CA2}" topLeftCell="A4">
      <selection activeCell="B6" sqref="B6"/>
      <pageMargins left="0.75" right="0.75" top="0.65" bottom="1" header="0.5" footer="0.5"/>
      <pageSetup orientation="portrait" r:id="rId1"/>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2"/>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3"/>
      <headerFooter alignWithMargins="0"/>
    </customSheetView>
    <customSheetView guid="{58D82F59-8CF6-455F-B9F4-081499FDF243}" scale="70">
      <selection activeCell="C6" sqref="C6:D6"/>
      <pageMargins left="0.75" right="0.75" top="0.65" bottom="1" header="0.5" footer="0.5"/>
      <pageSetup orientation="portrait" r:id="rId4"/>
      <headerFooter alignWithMargins="0"/>
    </customSheetView>
    <customSheetView guid="{696D9240-6693-44E8-B9A4-2BFADD101EE2}" scale="70">
      <selection activeCell="C6" sqref="C6:D6"/>
      <pageMargins left="0.75" right="0.75" top="0.65" bottom="1" header="0.5" footer="0.5"/>
      <pageSetup orientation="portrait" r:id="rId5"/>
      <headerFooter alignWithMargins="0"/>
    </customSheetView>
    <customSheetView guid="{B0EE7D76-5806-4718-BDAD-3A3EA691E5E4}" scale="70">
      <selection activeCell="C6" sqref="C6:D6"/>
      <pageMargins left="0.75" right="0.75" top="0.65" bottom="1" header="0.5" footer="0.5"/>
      <pageSetup orientation="portrait" r:id="rId6"/>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7"/>
      <headerFooter alignWithMargins="0"/>
    </customSheetView>
    <customSheetView guid="{08A645C4-A23F-4400-B0CE-1685BC312A6F}">
      <selection activeCell="B6" sqref="B6"/>
      <pageMargins left="0.75" right="0.75" top="0.65" bottom="1" header="0.5" footer="0.5"/>
      <pageSetup orientation="portrait" r:id="rId8"/>
      <headerFooter alignWithMargins="0"/>
    </customSheetView>
  </customSheetViews>
  <mergeCells count="1">
    <mergeCell ref="A2:D2"/>
  </mergeCells>
  <phoneticPr fontId="30" type="noConversion"/>
  <pageMargins left="0.75" right="0.75" top="0.65" bottom="1" header="0.5" footer="0.5"/>
  <pageSetup orientation="portrait" r:id="rId9"/>
  <headerFooter alignWithMargins="0"/>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zoomScaleNormal="100" workbookViewId="0">
      <selection activeCell="D7" sqref="D7"/>
    </sheetView>
  </sheetViews>
  <sheetFormatPr defaultRowHeight="16.5"/>
  <cols>
    <col min="1" max="1" width="9" style="287"/>
    <col min="2" max="2" width="26.875" style="94" customWidth="1"/>
    <col min="3" max="3" width="22.875" style="94" customWidth="1"/>
    <col min="4" max="5" width="15.625" style="94" customWidth="1"/>
    <col min="6" max="16384" width="9" style="76"/>
  </cols>
  <sheetData>
    <row r="1" spans="1:6">
      <c r="A1" s="276"/>
      <c r="B1" s="277"/>
      <c r="C1" s="277"/>
      <c r="D1" s="277"/>
      <c r="E1" s="277"/>
    </row>
    <row r="2" spans="1:6" ht="21.95" customHeight="1">
      <c r="A2" s="885" t="s">
        <v>300</v>
      </c>
      <c r="B2" s="885"/>
      <c r="C2" s="885"/>
      <c r="D2" s="886"/>
      <c r="E2"/>
    </row>
    <row r="3" spans="1:6">
      <c r="A3" s="276"/>
      <c r="B3" s="277"/>
      <c r="C3" s="277"/>
      <c r="D3" s="277"/>
      <c r="E3" s="277"/>
    </row>
    <row r="4" spans="1:6" ht="30">
      <c r="A4" s="98" t="s">
        <v>289</v>
      </c>
      <c r="B4" s="278" t="s">
        <v>290</v>
      </c>
      <c r="C4" s="98" t="s">
        <v>301</v>
      </c>
      <c r="D4" s="98" t="s">
        <v>302</v>
      </c>
      <c r="E4" s="98" t="s">
        <v>263</v>
      </c>
    </row>
    <row r="5" spans="1:6" ht="18" customHeight="1">
      <c r="A5" s="279" t="s">
        <v>294</v>
      </c>
      <c r="B5" s="279" t="s">
        <v>295</v>
      </c>
      <c r="C5" s="279" t="s">
        <v>296</v>
      </c>
      <c r="D5" s="279" t="s">
        <v>297</v>
      </c>
      <c r="E5" s="279" t="s">
        <v>298</v>
      </c>
    </row>
    <row r="6" spans="1:6" ht="45" customHeight="1">
      <c r="A6" s="280">
        <v>1</v>
      </c>
      <c r="B6" s="281"/>
      <c r="C6" s="282"/>
      <c r="D6" s="283"/>
      <c r="E6" s="284">
        <f>C6*D6</f>
        <v>0</v>
      </c>
    </row>
    <row r="7" spans="1:6" ht="45" customHeight="1">
      <c r="A7" s="280">
        <v>2</v>
      </c>
      <c r="B7" s="281"/>
      <c r="C7" s="282"/>
      <c r="D7" s="283"/>
      <c r="E7" s="284">
        <f t="shared" ref="E7:E15" si="0">C7*D7</f>
        <v>0</v>
      </c>
    </row>
    <row r="8" spans="1:6" ht="45" customHeight="1">
      <c r="A8" s="280">
        <v>3</v>
      </c>
      <c r="B8" s="281"/>
      <c r="C8" s="282"/>
      <c r="D8" s="283"/>
      <c r="E8" s="284">
        <f t="shared" si="0"/>
        <v>0</v>
      </c>
    </row>
    <row r="9" spans="1:6" ht="45" customHeight="1">
      <c r="A9" s="280">
        <v>4</v>
      </c>
      <c r="B9" s="281"/>
      <c r="C9" s="282"/>
      <c r="D9" s="283"/>
      <c r="E9" s="284">
        <f t="shared" si="0"/>
        <v>0</v>
      </c>
    </row>
    <row r="10" spans="1:6" ht="45" customHeight="1">
      <c r="A10" s="280">
        <v>5</v>
      </c>
      <c r="B10" s="281"/>
      <c r="C10" s="282"/>
      <c r="D10" s="283"/>
      <c r="E10" s="284">
        <f t="shared" si="0"/>
        <v>0</v>
      </c>
    </row>
    <row r="11" spans="1:6" ht="45" customHeight="1">
      <c r="A11" s="280">
        <v>6</v>
      </c>
      <c r="B11" s="281"/>
      <c r="C11" s="282"/>
      <c r="D11" s="283"/>
      <c r="E11" s="284">
        <f t="shared" si="0"/>
        <v>0</v>
      </c>
    </row>
    <row r="12" spans="1:6" ht="45" customHeight="1">
      <c r="A12" s="280">
        <v>7</v>
      </c>
      <c r="B12" s="281"/>
      <c r="C12" s="282"/>
      <c r="D12" s="283"/>
      <c r="E12" s="284">
        <f t="shared" si="0"/>
        <v>0</v>
      </c>
    </row>
    <row r="13" spans="1:6" ht="45" customHeight="1">
      <c r="A13" s="280">
        <v>8</v>
      </c>
      <c r="B13" s="281"/>
      <c r="C13" s="282"/>
      <c r="D13" s="283"/>
      <c r="E13" s="284">
        <f t="shared" si="0"/>
        <v>0</v>
      </c>
    </row>
    <row r="14" spans="1:6" ht="45" customHeight="1">
      <c r="A14" s="280">
        <v>9</v>
      </c>
      <c r="B14" s="281"/>
      <c r="C14" s="282"/>
      <c r="D14" s="283"/>
      <c r="E14" s="284">
        <f t="shared" si="0"/>
        <v>0</v>
      </c>
    </row>
    <row r="15" spans="1:6" ht="45" customHeight="1">
      <c r="A15" s="280">
        <v>10</v>
      </c>
      <c r="B15" s="281"/>
      <c r="C15" s="282"/>
      <c r="D15" s="283"/>
      <c r="E15" s="284">
        <f t="shared" si="0"/>
        <v>0</v>
      </c>
    </row>
    <row r="16" spans="1:6" ht="45" customHeight="1">
      <c r="A16" s="207"/>
      <c r="B16" s="285" t="s">
        <v>299</v>
      </c>
      <c r="C16" s="285"/>
      <c r="D16" s="285"/>
      <c r="E16" s="285">
        <f>SUM(E6:E15)</f>
        <v>0</v>
      </c>
      <c r="F16" s="286"/>
    </row>
    <row r="17" ht="30" customHeight="1"/>
    <row r="18" ht="30" customHeight="1"/>
    <row r="19" ht="30" customHeight="1"/>
    <row r="20" ht="30" customHeight="1"/>
    <row r="21" ht="30" customHeight="1"/>
  </sheetData>
  <sheetProtection password="8665" sheet="1" formatColumns="0" formatRows="0" selectLockedCells="1"/>
  <customSheetViews>
    <customSheetView guid="{9CA44E70-650F-49CD-967F-298619682CA2}" topLeftCell="A6">
      <selection activeCell="B6" sqref="B6"/>
      <pageMargins left="0.75" right="0.75" top="0.65" bottom="1" header="0.5" footer="0.5"/>
      <pageSetup orientation="portrait" r:id="rId1"/>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2"/>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3"/>
      <headerFooter alignWithMargins="0"/>
    </customSheetView>
    <customSheetView guid="{58D82F59-8CF6-455F-B9F4-081499FDF243}" scale="90">
      <selection activeCell="C8" sqref="C8"/>
      <pageMargins left="0.75" right="0.75" top="0.65" bottom="1" header="0.5" footer="0.5"/>
      <pageSetup orientation="portrait" r:id="rId4"/>
      <headerFooter alignWithMargins="0"/>
    </customSheetView>
    <customSheetView guid="{696D9240-6693-44E8-B9A4-2BFADD101EE2}" scale="90">
      <selection activeCell="C8" sqref="C8"/>
      <pageMargins left="0.75" right="0.75" top="0.65" bottom="1" header="0.5" footer="0.5"/>
      <pageSetup orientation="portrait" r:id="rId5"/>
      <headerFooter alignWithMargins="0"/>
    </customSheetView>
    <customSheetView guid="{B0EE7D76-5806-4718-BDAD-3A3EA691E5E4}" scale="90">
      <selection activeCell="C8" sqref="C8"/>
      <pageMargins left="0.75" right="0.75" top="0.65" bottom="1" header="0.5" footer="0.5"/>
      <pageSetup orientation="portrait" r:id="rId6"/>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7"/>
      <headerFooter alignWithMargins="0"/>
    </customSheetView>
    <customSheetView guid="{08A645C4-A23F-4400-B0CE-1685BC312A6F}">
      <selection activeCell="B6" sqref="B6"/>
      <pageMargins left="0.75" right="0.75" top="0.65" bottom="1" header="0.5" footer="0.5"/>
      <pageSetup orientation="portrait" r:id="rId8"/>
      <headerFooter alignWithMargins="0"/>
    </customSheetView>
  </customSheetViews>
  <mergeCells count="1">
    <mergeCell ref="A2:D2"/>
  </mergeCells>
  <phoneticPr fontId="30" type="noConversion"/>
  <pageMargins left="0.75" right="0.75" top="0.65" bottom="1" header="0.5" footer="0.5"/>
  <pageSetup orientation="portrait" r:id="rId9"/>
  <headerFooter alignWithMargins="0"/>
  <drawing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topLeftCell="A3" zoomScaleNormal="100" zoomScaleSheetLayoutView="100" workbookViewId="0">
      <selection activeCell="E12" sqref="E12"/>
    </sheetView>
  </sheetViews>
  <sheetFormatPr defaultRowHeight="16.5"/>
  <cols>
    <col min="1" max="1" width="7.625" style="287" customWidth="1"/>
    <col min="2" max="4" width="20.625" style="94" customWidth="1"/>
    <col min="5" max="5" width="9.625" style="94" customWidth="1"/>
    <col min="6" max="6" width="12.625" style="94" customWidth="1"/>
    <col min="7" max="16384" width="9" style="76"/>
  </cols>
  <sheetData>
    <row r="1" spans="1:7">
      <c r="A1" s="276"/>
      <c r="B1" s="277"/>
      <c r="C1" s="277"/>
      <c r="D1" s="277"/>
      <c r="E1" s="277"/>
      <c r="F1" s="277"/>
    </row>
    <row r="2" spans="1:7" ht="21.95" customHeight="1">
      <c r="A2" s="885" t="s">
        <v>303</v>
      </c>
      <c r="B2" s="885"/>
      <c r="C2" s="885"/>
      <c r="D2" s="885"/>
      <c r="E2" s="886"/>
      <c r="F2" s="76"/>
    </row>
    <row r="3" spans="1:7">
      <c r="A3" s="276"/>
      <c r="B3" s="277"/>
      <c r="C3" s="277"/>
      <c r="D3" s="277"/>
      <c r="E3" s="277"/>
      <c r="F3" s="277"/>
    </row>
    <row r="4" spans="1:7" ht="45">
      <c r="A4" s="98" t="s">
        <v>289</v>
      </c>
      <c r="B4" s="278" t="s">
        <v>290</v>
      </c>
      <c r="C4" s="98" t="s">
        <v>304</v>
      </c>
      <c r="D4" s="98" t="s">
        <v>305</v>
      </c>
      <c r="E4" s="98" t="s">
        <v>306</v>
      </c>
      <c r="F4" s="98" t="s">
        <v>307</v>
      </c>
    </row>
    <row r="5" spans="1:7" ht="18" customHeight="1">
      <c r="A5" s="279" t="s">
        <v>294</v>
      </c>
      <c r="B5" s="279" t="s">
        <v>295</v>
      </c>
      <c r="C5" s="279" t="s">
        <v>296</v>
      </c>
      <c r="D5" s="279" t="s">
        <v>297</v>
      </c>
      <c r="E5" s="288" t="s">
        <v>308</v>
      </c>
      <c r="F5" s="279" t="s">
        <v>309</v>
      </c>
    </row>
    <row r="6" spans="1:7" ht="45" customHeight="1">
      <c r="A6" s="280">
        <v>1</v>
      </c>
      <c r="B6" s="281"/>
      <c r="C6" s="282"/>
      <c r="D6" s="282"/>
      <c r="E6" s="283"/>
      <c r="F6" s="284">
        <f>C6*E6</f>
        <v>0</v>
      </c>
    </row>
    <row r="7" spans="1:7" ht="45" customHeight="1">
      <c r="A7" s="280">
        <v>2</v>
      </c>
      <c r="B7" s="281"/>
      <c r="C7" s="282"/>
      <c r="D7" s="282"/>
      <c r="E7" s="283"/>
      <c r="F7" s="284">
        <f t="shared" ref="F7:F15" si="0">C7*E7</f>
        <v>0</v>
      </c>
    </row>
    <row r="8" spans="1:7" ht="45" customHeight="1">
      <c r="A8" s="280">
        <v>3</v>
      </c>
      <c r="B8" s="281"/>
      <c r="C8" s="282"/>
      <c r="D8" s="282"/>
      <c r="E8" s="283"/>
      <c r="F8" s="284">
        <f t="shared" si="0"/>
        <v>0</v>
      </c>
    </row>
    <row r="9" spans="1:7" ht="45" customHeight="1">
      <c r="A9" s="280">
        <v>4</v>
      </c>
      <c r="B9" s="281"/>
      <c r="C9" s="282"/>
      <c r="D9" s="282"/>
      <c r="E9" s="283"/>
      <c r="F9" s="284">
        <f t="shared" si="0"/>
        <v>0</v>
      </c>
    </row>
    <row r="10" spans="1:7" ht="45" customHeight="1">
      <c r="A10" s="280">
        <v>5</v>
      </c>
      <c r="B10" s="281"/>
      <c r="C10" s="282"/>
      <c r="D10" s="282"/>
      <c r="E10" s="283"/>
      <c r="F10" s="284">
        <f t="shared" si="0"/>
        <v>0</v>
      </c>
    </row>
    <row r="11" spans="1:7" ht="45" customHeight="1">
      <c r="A11" s="280">
        <v>6</v>
      </c>
      <c r="B11" s="281"/>
      <c r="C11" s="282"/>
      <c r="D11" s="282"/>
      <c r="E11" s="283"/>
      <c r="F11" s="284">
        <f t="shared" si="0"/>
        <v>0</v>
      </c>
    </row>
    <row r="12" spans="1:7" ht="45" customHeight="1">
      <c r="A12" s="280">
        <v>7</v>
      </c>
      <c r="B12" s="281"/>
      <c r="C12" s="282"/>
      <c r="D12" s="282"/>
      <c r="E12" s="283"/>
      <c r="F12" s="284">
        <f t="shared" si="0"/>
        <v>0</v>
      </c>
    </row>
    <row r="13" spans="1:7" ht="45" customHeight="1">
      <c r="A13" s="280">
        <v>8</v>
      </c>
      <c r="B13" s="281"/>
      <c r="C13" s="282"/>
      <c r="D13" s="282"/>
      <c r="E13" s="283"/>
      <c r="F13" s="284">
        <f t="shared" si="0"/>
        <v>0</v>
      </c>
    </row>
    <row r="14" spans="1:7" ht="45" customHeight="1">
      <c r="A14" s="280">
        <v>9</v>
      </c>
      <c r="B14" s="281"/>
      <c r="C14" s="282"/>
      <c r="D14" s="282"/>
      <c r="E14" s="283"/>
      <c r="F14" s="284">
        <f t="shared" si="0"/>
        <v>0</v>
      </c>
    </row>
    <row r="15" spans="1:7" ht="45" customHeight="1">
      <c r="A15" s="280">
        <v>10</v>
      </c>
      <c r="B15" s="281"/>
      <c r="C15" s="282"/>
      <c r="D15" s="282"/>
      <c r="E15" s="283"/>
      <c r="F15" s="284">
        <f t="shared" si="0"/>
        <v>0</v>
      </c>
    </row>
    <row r="16" spans="1:7" ht="45" customHeight="1">
      <c r="A16" s="207"/>
      <c r="B16" s="285" t="s">
        <v>299</v>
      </c>
      <c r="C16" s="285"/>
      <c r="D16" s="285"/>
      <c r="E16" s="285"/>
      <c r="F16" s="285">
        <f>SUM(F6:F15)</f>
        <v>0</v>
      </c>
      <c r="G16" s="286"/>
    </row>
    <row r="17" ht="30" customHeight="1"/>
    <row r="18" ht="30" customHeight="1"/>
    <row r="19" ht="30" customHeight="1"/>
    <row r="20" ht="30" customHeight="1"/>
    <row r="21" ht="30" customHeight="1"/>
  </sheetData>
  <sheetProtection password="8665" sheet="1" formatColumns="0" formatRows="0" selectLockedCells="1"/>
  <customSheetViews>
    <customSheetView guid="{9CA44E70-650F-49CD-967F-298619682CA2}" topLeftCell="A4">
      <selection activeCell="B6" sqref="B6"/>
      <pageMargins left="0.75" right="0.62" top="0.65" bottom="1" header="0.5" footer="0.5"/>
      <pageSetup orientation="portrait" r:id="rId1"/>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2"/>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3"/>
      <headerFooter alignWithMargins="0"/>
    </customSheetView>
    <customSheetView guid="{58D82F59-8CF6-455F-B9F4-081499FDF243}">
      <selection activeCell="C7" sqref="C7"/>
      <pageMargins left="0.75" right="0.62" top="0.65" bottom="1" header="0.5" footer="0.5"/>
      <pageSetup orientation="portrait" r:id="rId4"/>
      <headerFooter alignWithMargins="0"/>
    </customSheetView>
    <customSheetView guid="{696D9240-6693-44E8-B9A4-2BFADD101EE2}">
      <selection activeCell="C7" sqref="C7"/>
      <pageMargins left="0.75" right="0.62" top="0.65" bottom="1" header="0.5" footer="0.5"/>
      <pageSetup orientation="portrait" r:id="rId5"/>
      <headerFooter alignWithMargins="0"/>
    </customSheetView>
    <customSheetView guid="{B0EE7D76-5806-4718-BDAD-3A3EA691E5E4}">
      <selection activeCell="C7" sqref="C7"/>
      <pageMargins left="0.75" right="0.62" top="0.65" bottom="1" header="0.5" footer="0.5"/>
      <pageSetup orientation="portrait" r:id="rId6"/>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7"/>
      <headerFooter alignWithMargins="0"/>
    </customSheetView>
    <customSheetView guid="{08A645C4-A23F-4400-B0CE-1685BC312A6F}">
      <selection activeCell="B6" sqref="B6"/>
      <pageMargins left="0.75" right="0.62" top="0.65" bottom="1" header="0.5" footer="0.5"/>
      <pageSetup orientation="portrait" r:id="rId8"/>
      <headerFooter alignWithMargins="0"/>
    </customSheetView>
  </customSheetViews>
  <mergeCells count="1">
    <mergeCell ref="A2:E2"/>
  </mergeCells>
  <phoneticPr fontId="30" type="noConversion"/>
  <pageMargins left="0.75" right="0.62" top="0.65" bottom="1" header="0.5" footer="0.5"/>
  <pageSetup orientation="portrait" r:id="rId9"/>
  <headerFooter alignWithMargins="0"/>
  <drawing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69"/>
  <sheetViews>
    <sheetView showZeros="0" view="pageBreakPreview" topLeftCell="A35" zoomScaleNormal="100" zoomScaleSheetLayoutView="100" workbookViewId="0">
      <selection activeCell="D48" sqref="D48"/>
    </sheetView>
  </sheetViews>
  <sheetFormatPr defaultColWidth="8" defaultRowHeight="16.5"/>
  <cols>
    <col min="1" max="1" width="9.375" style="109" customWidth="1"/>
    <col min="2" max="2" width="9.375" style="112" customWidth="1"/>
    <col min="3" max="3" width="12.875" style="109" customWidth="1"/>
    <col min="4" max="4" width="18.125" style="109" customWidth="1"/>
    <col min="5" max="5" width="11.125" style="109" customWidth="1"/>
    <col min="6" max="6" width="29.875" style="106" customWidth="1"/>
    <col min="7" max="8" width="8" style="106" customWidth="1"/>
    <col min="9" max="25" width="8" style="107" customWidth="1"/>
    <col min="26" max="27" width="8" style="194" customWidth="1"/>
    <col min="28" max="28" width="17.5" style="194" customWidth="1"/>
    <col min="29" max="29" width="12.125" style="194" customWidth="1"/>
    <col min="30" max="30" width="8" style="194" customWidth="1"/>
    <col min="31" max="31" width="8" style="195" customWidth="1"/>
    <col min="32" max="32" width="12" style="195" customWidth="1"/>
    <col min="33" max="35" width="8" style="194" customWidth="1"/>
    <col min="36" max="36" width="9.125" style="194" customWidth="1"/>
    <col min="37" max="41" width="8" style="194" customWidth="1"/>
    <col min="42" max="16384" width="8" style="107"/>
  </cols>
  <sheetData>
    <row r="1" spans="1:36">
      <c r="A1" s="104" t="str">
        <f>Cover!B3</f>
        <v>Specification No.: ODP/BB/C&amp;M-3524/OT-20/RFx No. 5002003084/23-24</v>
      </c>
      <c r="B1" s="104"/>
      <c r="C1" s="105"/>
      <c r="D1" s="105"/>
      <c r="E1" s="105"/>
      <c r="F1" s="115" t="s">
        <v>310</v>
      </c>
      <c r="Z1" s="194" t="e">
        <f>#REF!</f>
        <v>#REF!</v>
      </c>
      <c r="AE1" s="195">
        <v>1</v>
      </c>
      <c r="AF1" s="195" t="s">
        <v>1</v>
      </c>
      <c r="AI1" s="195">
        <v>1</v>
      </c>
      <c r="AJ1" s="194" t="s">
        <v>5</v>
      </c>
    </row>
    <row r="2" spans="1:36">
      <c r="B2" s="109"/>
      <c r="F2" s="109"/>
      <c r="Z2" s="194" t="e">
        <f>#REF!</f>
        <v>#REF!</v>
      </c>
      <c r="AE2" s="195">
        <v>2</v>
      </c>
      <c r="AF2" s="195" t="s">
        <v>2</v>
      </c>
      <c r="AI2" s="195">
        <v>2</v>
      </c>
      <c r="AJ2" s="194" t="s">
        <v>6</v>
      </c>
    </row>
    <row r="3" spans="1:36" ht="15">
      <c r="A3" s="896" t="s">
        <v>118</v>
      </c>
      <c r="B3" s="896"/>
      <c r="C3" s="896"/>
      <c r="D3" s="896"/>
      <c r="E3" s="896"/>
      <c r="F3" s="896"/>
      <c r="AE3" s="195">
        <v>3</v>
      </c>
      <c r="AF3" s="195" t="s">
        <v>3</v>
      </c>
      <c r="AI3" s="195">
        <v>3</v>
      </c>
      <c r="AJ3" s="194" t="s">
        <v>7</v>
      </c>
    </row>
    <row r="4" spans="1:36" ht="15">
      <c r="A4" s="108"/>
      <c r="B4" s="108"/>
      <c r="C4" s="108"/>
      <c r="D4" s="108"/>
      <c r="E4" s="108"/>
      <c r="F4" s="108"/>
      <c r="AE4" s="195">
        <v>4</v>
      </c>
      <c r="AF4" s="195" t="s">
        <v>4</v>
      </c>
      <c r="AI4" s="195">
        <v>4</v>
      </c>
      <c r="AJ4" s="194" t="s">
        <v>8</v>
      </c>
    </row>
    <row r="5" spans="1:36">
      <c r="A5" s="112" t="s">
        <v>284</v>
      </c>
      <c r="C5" s="897"/>
      <c r="D5" s="898"/>
      <c r="E5" s="898"/>
      <c r="F5" s="898"/>
      <c r="AE5" s="195">
        <v>5</v>
      </c>
      <c r="AF5" s="195" t="s">
        <v>4</v>
      </c>
      <c r="AI5" s="195">
        <v>5</v>
      </c>
      <c r="AJ5" s="194" t="s">
        <v>9</v>
      </c>
    </row>
    <row r="6" spans="1:36">
      <c r="A6" s="112" t="s">
        <v>275</v>
      </c>
      <c r="B6" s="899">
        <f>'Sch-1'!G80</f>
        <v>0</v>
      </c>
      <c r="C6" s="899"/>
      <c r="F6" s="109"/>
      <c r="AE6" s="195">
        <v>6</v>
      </c>
      <c r="AF6" s="195" t="s">
        <v>4</v>
      </c>
      <c r="AG6" s="196">
        <f>DAY(B6)</f>
        <v>0</v>
      </c>
      <c r="AI6" s="195">
        <v>6</v>
      </c>
      <c r="AJ6" s="194" t="s">
        <v>10</v>
      </c>
    </row>
    <row r="7" spans="1:36">
      <c r="A7" s="112"/>
      <c r="B7" s="116"/>
      <c r="C7" s="116"/>
      <c r="F7" s="109"/>
      <c r="AE7" s="195">
        <v>7</v>
      </c>
      <c r="AF7" s="195" t="s">
        <v>4</v>
      </c>
      <c r="AG7" s="196">
        <f>MONTH(B6)</f>
        <v>1</v>
      </c>
      <c r="AI7" s="195">
        <v>7</v>
      </c>
      <c r="AJ7" s="194" t="s">
        <v>11</v>
      </c>
    </row>
    <row r="8" spans="1:36">
      <c r="A8" s="111" t="str">
        <f>'Sch-1'!K6</f>
        <v>To:</v>
      </c>
      <c r="B8" s="110"/>
      <c r="F8" s="113"/>
      <c r="AE8" s="195">
        <v>8</v>
      </c>
      <c r="AF8" s="195" t="s">
        <v>4</v>
      </c>
      <c r="AG8" s="196" t="str">
        <f>LOOKUP(AG7,AI1:AI12,AJ1:AJ12)</f>
        <v>January</v>
      </c>
      <c r="AI8" s="195">
        <v>8</v>
      </c>
      <c r="AJ8" s="194" t="s">
        <v>12</v>
      </c>
    </row>
    <row r="9" spans="1:36">
      <c r="A9" s="111" t="str">
        <f>'Sch-1'!K7</f>
        <v>Sr. GENERAL MANAGER(C&amp;M)</v>
      </c>
      <c r="B9" s="111"/>
      <c r="F9" s="113"/>
      <c r="AE9" s="195">
        <v>9</v>
      </c>
      <c r="AF9" s="195" t="s">
        <v>4</v>
      </c>
      <c r="AG9" s="196">
        <f>YEAR(B6)</f>
        <v>1900</v>
      </c>
      <c r="AI9" s="195">
        <v>9</v>
      </c>
      <c r="AJ9" s="194" t="s">
        <v>13</v>
      </c>
    </row>
    <row r="10" spans="1:36">
      <c r="A10" s="111" t="str">
        <f>'Sch-1'!K8</f>
        <v xml:space="preserve">POWER GRID CORPORATION OF INDIA LIMITED, </v>
      </c>
      <c r="B10" s="111"/>
      <c r="F10" s="113"/>
      <c r="AE10" s="195">
        <v>10</v>
      </c>
      <c r="AF10" s="195" t="s">
        <v>4</v>
      </c>
      <c r="AI10" s="195">
        <v>10</v>
      </c>
      <c r="AJ10" s="194" t="s">
        <v>14</v>
      </c>
    </row>
    <row r="11" spans="1:36">
      <c r="A11" s="111" t="str">
        <f>'Sch-1'!K9</f>
        <v>ODISHA PROJECTS</v>
      </c>
      <c r="B11" s="111"/>
      <c r="F11" s="113"/>
      <c r="AE11" s="195">
        <v>11</v>
      </c>
      <c r="AF11" s="195" t="s">
        <v>4</v>
      </c>
      <c r="AI11" s="195">
        <v>11</v>
      </c>
      <c r="AJ11" s="194" t="s">
        <v>15</v>
      </c>
    </row>
    <row r="12" spans="1:36">
      <c r="A12" s="111" t="str">
        <f>'Sch-1'!K10</f>
        <v>PLOT NO.-4, UNIT-41, NILADRI VIHAR</v>
      </c>
      <c r="B12" s="111"/>
      <c r="F12" s="113"/>
      <c r="AE12" s="195">
        <v>12</v>
      </c>
      <c r="AF12" s="195" t="s">
        <v>4</v>
      </c>
      <c r="AI12" s="195">
        <v>12</v>
      </c>
      <c r="AJ12" s="194" t="s">
        <v>16</v>
      </c>
    </row>
    <row r="13" spans="1:36">
      <c r="A13" s="111" t="str">
        <f>'Sch-1'!K11</f>
        <v>CHANDRASHEKHARPUR, BHUBANESWAR-751021</v>
      </c>
      <c r="B13" s="111"/>
      <c r="F13" s="113"/>
      <c r="AE13" s="195">
        <v>13</v>
      </c>
      <c r="AF13" s="195" t="s">
        <v>4</v>
      </c>
    </row>
    <row r="14" spans="1:36" ht="49.5" customHeight="1">
      <c r="A14" s="112"/>
      <c r="F14" s="113"/>
      <c r="AE14" s="195">
        <v>14</v>
      </c>
      <c r="AF14" s="195" t="s">
        <v>4</v>
      </c>
    </row>
    <row r="15" spans="1:36" ht="64.5" customHeight="1">
      <c r="A15" s="468" t="s">
        <v>285</v>
      </c>
      <c r="B15" s="467"/>
      <c r="C15" s="900" t="str">
        <f>Cover!B2</f>
        <v>Supply &amp; Services contract for Diversion/Modification of 400kV S/C Rengali-Indravati Transmission Line near Bhawanipatna for Construction of NH Bypass Road (Deposit Work on Behalf of NHAI).</v>
      </c>
      <c r="D15" s="900"/>
      <c r="E15" s="900"/>
      <c r="F15" s="900"/>
      <c r="AE15" s="195">
        <v>15</v>
      </c>
      <c r="AF15" s="195" t="s">
        <v>4</v>
      </c>
    </row>
    <row r="16" spans="1:36" ht="33" customHeight="1">
      <c r="A16" s="109" t="s">
        <v>276</v>
      </c>
      <c r="B16" s="109"/>
      <c r="C16" s="113"/>
      <c r="D16" s="113"/>
      <c r="E16" s="113"/>
      <c r="F16" s="113"/>
      <c r="AE16" s="195">
        <v>16</v>
      </c>
      <c r="AF16" s="195" t="s">
        <v>4</v>
      </c>
    </row>
    <row r="17" spans="1:41" ht="120" customHeight="1">
      <c r="A17" s="125">
        <v>1</v>
      </c>
      <c r="B17" s="88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supply goods as per provision of Technical Specification) under the above-named package in full conformity with the said Bidding Documents for the sum of Rs. 0 (Rs. Zero Only ) or such other sums as may be determined in accordance with the terms and conditions of the Bidding Documents.</v>
      </c>
      <c r="C17" s="888"/>
      <c r="D17" s="888"/>
      <c r="E17" s="888"/>
      <c r="F17" s="888"/>
      <c r="Z17" s="197" t="s">
        <v>407</v>
      </c>
      <c r="AA17" s="198" t="s">
        <v>0</v>
      </c>
      <c r="AB17" s="199">
        <f>'[1]Sch-5 After Discount'!D25</f>
        <v>0</v>
      </c>
      <c r="AC17" s="200" t="str">
        <f>" (" &amp; '[1]N to W'!A4 &amp; ")"</f>
        <v xml:space="preserve"> (Rs. Zero Only )</v>
      </c>
      <c r="AE17" s="195">
        <v>17</v>
      </c>
      <c r="AF17" s="195" t="s">
        <v>4</v>
      </c>
    </row>
    <row r="18" spans="1:41" ht="43.5" customHeight="1">
      <c r="B18" s="901" t="s">
        <v>277</v>
      </c>
      <c r="C18" s="901"/>
      <c r="D18" s="901"/>
      <c r="E18" s="901"/>
      <c r="F18" s="901"/>
      <c r="AE18" s="195">
        <v>18</v>
      </c>
      <c r="AF18" s="195" t="s">
        <v>4</v>
      </c>
    </row>
    <row r="19" spans="1:41" s="106" customFormat="1" ht="33" customHeight="1">
      <c r="A19" s="126">
        <v>2</v>
      </c>
      <c r="B19" s="887" t="s">
        <v>278</v>
      </c>
      <c r="C19" s="887"/>
      <c r="D19" s="887"/>
      <c r="E19" s="887"/>
      <c r="F19" s="887"/>
      <c r="Z19" s="201"/>
      <c r="AA19" s="201"/>
      <c r="AB19" s="201"/>
      <c r="AC19" s="201"/>
      <c r="AD19" s="201"/>
      <c r="AE19" s="195">
        <v>19</v>
      </c>
      <c r="AF19" s="195" t="s">
        <v>4</v>
      </c>
      <c r="AG19" s="201"/>
      <c r="AH19" s="201"/>
      <c r="AI19" s="201"/>
      <c r="AJ19" s="201"/>
      <c r="AK19" s="201"/>
      <c r="AL19" s="201"/>
      <c r="AM19" s="201"/>
      <c r="AN19" s="201"/>
      <c r="AO19" s="201"/>
    </row>
    <row r="20" spans="1:41" ht="45" customHeight="1">
      <c r="A20" s="125">
        <v>2.1</v>
      </c>
      <c r="B20" s="888" t="s">
        <v>279</v>
      </c>
      <c r="C20" s="888"/>
      <c r="D20" s="888"/>
      <c r="E20" s="888"/>
      <c r="F20" s="888"/>
      <c r="AE20" s="195">
        <v>20</v>
      </c>
      <c r="AF20" s="195" t="s">
        <v>4</v>
      </c>
    </row>
    <row r="21" spans="1:41" ht="36.75" customHeight="1">
      <c r="B21" s="317" t="str">
        <f>"Schedule 1("&amp;'Basic Data'!C9 &amp;") "</f>
        <v xml:space="preserve">Schedule 1() </v>
      </c>
      <c r="C21" s="318"/>
      <c r="D21" s="889" t="s">
        <v>451</v>
      </c>
      <c r="E21" s="890"/>
      <c r="F21" s="890"/>
      <c r="AE21" s="195">
        <v>21</v>
      </c>
      <c r="AF21" s="195" t="s">
        <v>1</v>
      </c>
    </row>
    <row r="22" spans="1:41" ht="30.75" customHeight="1">
      <c r="B22" s="317" t="str">
        <f>"Schedule 2("&amp;'Basic Data'!C9 &amp;") "</f>
        <v xml:space="preserve">Schedule 2() </v>
      </c>
      <c r="C22" s="318"/>
      <c r="D22" s="903" t="s">
        <v>481</v>
      </c>
      <c r="E22" s="904"/>
      <c r="F22" s="904"/>
      <c r="AE22" s="195">
        <v>22</v>
      </c>
      <c r="AF22" s="195" t="s">
        <v>4</v>
      </c>
    </row>
    <row r="23" spans="1:41" ht="33" customHeight="1">
      <c r="B23" s="317" t="str">
        <f>"Schedule 3("&amp;'Basic Data'!C9 &amp;") "</f>
        <v xml:space="preserve">Schedule 3() </v>
      </c>
      <c r="C23" s="318"/>
      <c r="D23" s="319" t="s">
        <v>514</v>
      </c>
      <c r="E23" s="318"/>
      <c r="F23" s="320"/>
      <c r="H23" s="173" t="e">
        <f>#REF!</f>
        <v>#REF!</v>
      </c>
      <c r="AE23" s="195">
        <v>23</v>
      </c>
      <c r="AF23" s="195" t="s">
        <v>4</v>
      </c>
    </row>
    <row r="24" spans="1:41" ht="33" customHeight="1">
      <c r="B24" s="317" t="str">
        <f>"Schedule 4("&amp;'Basic Data'!C9 &amp;") "</f>
        <v xml:space="preserve">Schedule 4() </v>
      </c>
      <c r="C24" s="318"/>
      <c r="D24" s="319" t="s">
        <v>482</v>
      </c>
      <c r="E24" s="318"/>
      <c r="F24" s="320"/>
      <c r="AE24" s="195">
        <v>24</v>
      </c>
      <c r="AF24" s="195" t="s">
        <v>4</v>
      </c>
    </row>
    <row r="25" spans="1:41" ht="33" customHeight="1">
      <c r="B25" s="317" t="str">
        <f>"Schedule 5("&amp;'Basic Data'!C9 &amp;") "</f>
        <v xml:space="preserve">Schedule 5() </v>
      </c>
      <c r="C25" s="318"/>
      <c r="D25" s="319" t="s">
        <v>311</v>
      </c>
      <c r="E25" s="318"/>
      <c r="F25" s="320"/>
      <c r="AE25" s="195">
        <v>25</v>
      </c>
      <c r="AF25" s="195" t="s">
        <v>4</v>
      </c>
    </row>
    <row r="26" spans="1:41" ht="104.25" customHeight="1">
      <c r="A26" s="127">
        <v>2.2000000000000002</v>
      </c>
      <c r="B26" s="888" t="s">
        <v>286</v>
      </c>
      <c r="C26" s="888"/>
      <c r="D26" s="888"/>
      <c r="E26" s="888"/>
      <c r="F26" s="888"/>
      <c r="AE26" s="195">
        <v>28</v>
      </c>
      <c r="AF26" s="195" t="s">
        <v>4</v>
      </c>
    </row>
    <row r="27" spans="1:41" ht="67.5" customHeight="1">
      <c r="A27" s="127">
        <v>2.2999999999999998</v>
      </c>
      <c r="B27" s="888" t="s">
        <v>483</v>
      </c>
      <c r="C27" s="888"/>
      <c r="D27" s="888"/>
      <c r="E27" s="888"/>
      <c r="F27" s="888"/>
      <c r="AE27" s="195">
        <v>29</v>
      </c>
      <c r="AF27" s="195" t="s">
        <v>4</v>
      </c>
    </row>
    <row r="28" spans="1:41" ht="149.25" customHeight="1">
      <c r="A28" s="127">
        <v>2.4</v>
      </c>
      <c r="B28" s="888" t="s">
        <v>287</v>
      </c>
      <c r="C28" s="888"/>
      <c r="D28" s="888"/>
      <c r="E28" s="888"/>
      <c r="F28" s="888"/>
      <c r="AE28" s="195">
        <v>30</v>
      </c>
      <c r="AF28" s="195" t="s">
        <v>4</v>
      </c>
    </row>
    <row r="29" spans="1:41" ht="90.75" customHeight="1">
      <c r="A29" s="127">
        <v>2.5</v>
      </c>
      <c r="B29" s="888" t="s">
        <v>484</v>
      </c>
      <c r="C29" s="888"/>
      <c r="D29" s="888"/>
      <c r="E29" s="888"/>
      <c r="F29" s="888"/>
      <c r="AE29" s="195">
        <v>31</v>
      </c>
      <c r="AF29" s="195" t="s">
        <v>1</v>
      </c>
    </row>
    <row r="30" spans="1:41" ht="89.25" customHeight="1">
      <c r="A30" s="125">
        <v>3</v>
      </c>
      <c r="B30" s="888" t="s">
        <v>485</v>
      </c>
      <c r="C30" s="888"/>
      <c r="D30" s="888"/>
      <c r="E30" s="888"/>
      <c r="F30" s="888"/>
    </row>
    <row r="31" spans="1:41" ht="69" customHeight="1">
      <c r="A31" s="127">
        <v>3.1</v>
      </c>
      <c r="B31" s="888" t="s">
        <v>490</v>
      </c>
      <c r="C31" s="888"/>
      <c r="D31" s="888"/>
      <c r="E31" s="888"/>
      <c r="F31" s="888"/>
    </row>
    <row r="32" spans="1:41" ht="81" customHeight="1">
      <c r="A32" s="127">
        <v>3.2</v>
      </c>
      <c r="B32" s="888" t="s">
        <v>498</v>
      </c>
      <c r="C32" s="888"/>
      <c r="D32" s="888"/>
      <c r="E32" s="888"/>
      <c r="F32" s="888"/>
    </row>
    <row r="33" spans="1:41" ht="45.75" customHeight="1">
      <c r="A33" s="127">
        <v>3.3</v>
      </c>
      <c r="B33" s="900" t="s">
        <v>489</v>
      </c>
      <c r="C33" s="900"/>
      <c r="D33" s="900"/>
      <c r="E33" s="900"/>
      <c r="F33" s="900"/>
    </row>
    <row r="34" spans="1:41" ht="70.5" hidden="1" customHeight="1">
      <c r="A34" s="125">
        <v>4</v>
      </c>
      <c r="B34" s="888" t="s">
        <v>486</v>
      </c>
      <c r="C34" s="888"/>
      <c r="D34" s="888"/>
      <c r="E34" s="888"/>
      <c r="F34" s="888"/>
    </row>
    <row r="35" spans="1:41" ht="98.25" customHeight="1">
      <c r="A35" s="125">
        <v>4</v>
      </c>
      <c r="B35" s="888" t="s">
        <v>487</v>
      </c>
      <c r="C35" s="888"/>
      <c r="D35" s="888"/>
      <c r="E35" s="888"/>
      <c r="F35" s="888"/>
    </row>
    <row r="36" spans="1:41" ht="21" customHeight="1">
      <c r="B36" s="28"/>
      <c r="C36" s="28"/>
      <c r="D36" s="28"/>
      <c r="E36" s="117"/>
      <c r="F36" s="117"/>
    </row>
    <row r="37" spans="1:41" ht="21" customHeight="1">
      <c r="B37" s="28" t="s">
        <v>280</v>
      </c>
      <c r="C37" s="76"/>
      <c r="D37" s="83"/>
      <c r="E37" s="83"/>
      <c r="F37" s="83"/>
    </row>
    <row r="38" spans="1:41" ht="21" customHeight="1">
      <c r="B38" s="118"/>
      <c r="C38" s="83"/>
      <c r="D38" s="83"/>
      <c r="E38" s="28"/>
      <c r="F38" s="90" t="s">
        <v>281</v>
      </c>
    </row>
    <row r="39" spans="1:41" ht="21" customHeight="1">
      <c r="B39" s="118"/>
      <c r="C39" s="83"/>
      <c r="D39" s="28"/>
      <c r="E39" s="28"/>
      <c r="F39" s="90" t="str">
        <f>"For and on behalf of " &amp; 'Sch-1'!G8</f>
        <v xml:space="preserve">For and on behalf of </v>
      </c>
    </row>
    <row r="40" spans="1:41" ht="24.95" customHeight="1">
      <c r="A40" s="107"/>
      <c r="B40" s="107"/>
      <c r="C40" s="122"/>
      <c r="D40" s="107"/>
      <c r="E40" s="114"/>
      <c r="F40" s="112"/>
    </row>
    <row r="41" spans="1:41" ht="24.95" customHeight="1">
      <c r="A41" s="141" t="s">
        <v>120</v>
      </c>
      <c r="B41" s="895">
        <f>'Sch-1'!C80</f>
        <v>0</v>
      </c>
      <c r="C41" s="895"/>
      <c r="D41" s="409"/>
      <c r="E41" s="114" t="s">
        <v>282</v>
      </c>
      <c r="F41" s="123" t="str">
        <f>'Sch-1'!M80</f>
        <v/>
      </c>
    </row>
    <row r="42" spans="1:41" ht="24.95" customHeight="1">
      <c r="A42" s="141" t="s">
        <v>121</v>
      </c>
      <c r="B42" s="895">
        <f>'Sch-1'!C81</f>
        <v>0</v>
      </c>
      <c r="C42" s="895"/>
      <c r="D42" s="409"/>
      <c r="E42" s="114" t="s">
        <v>283</v>
      </c>
      <c r="F42" s="123" t="str">
        <f>'Sch-1'!M81</f>
        <v/>
      </c>
    </row>
    <row r="43" spans="1:41" ht="24.95" customHeight="1">
      <c r="B43" s="109"/>
      <c r="D43" s="107"/>
      <c r="E43" s="114"/>
      <c r="F43" s="109"/>
    </row>
    <row r="44" spans="1:41" s="106" customFormat="1" ht="33" customHeight="1">
      <c r="A44" s="138" t="s">
        <v>119</v>
      </c>
      <c r="B44" s="91"/>
      <c r="C44" s="121"/>
      <c r="D44" s="28"/>
      <c r="E44" s="90"/>
      <c r="F44" s="139"/>
      <c r="H44" s="128"/>
      <c r="Z44" s="201"/>
      <c r="AA44" s="201"/>
      <c r="AB44" s="201"/>
      <c r="AC44" s="201"/>
      <c r="AD44" s="201"/>
      <c r="AE44" s="195"/>
      <c r="AF44" s="195"/>
      <c r="AG44" s="201"/>
      <c r="AH44" s="201"/>
      <c r="AI44" s="201"/>
      <c r="AJ44" s="201"/>
      <c r="AK44" s="201"/>
      <c r="AL44" s="201"/>
      <c r="AM44" s="201"/>
      <c r="AN44" s="201"/>
      <c r="AO44" s="201"/>
    </row>
    <row r="45" spans="1:41" s="106" customFormat="1" ht="33" customHeight="1">
      <c r="A45" s="892" t="s">
        <v>143</v>
      </c>
      <c r="B45" s="892"/>
      <c r="C45" s="892"/>
      <c r="D45" s="170"/>
      <c r="E45" s="170"/>
      <c r="F45" s="170"/>
      <c r="H45" s="128"/>
      <c r="Z45" s="201"/>
      <c r="AA45" s="201"/>
      <c r="AB45" s="201"/>
      <c r="AC45" s="201"/>
      <c r="AD45" s="201"/>
      <c r="AE45" s="195"/>
      <c r="AF45" s="195"/>
      <c r="AG45" s="201"/>
      <c r="AH45" s="201"/>
      <c r="AI45" s="201"/>
      <c r="AJ45" s="201"/>
      <c r="AK45" s="201"/>
      <c r="AL45" s="201"/>
      <c r="AM45" s="201"/>
      <c r="AN45" s="201"/>
      <c r="AO45" s="201"/>
    </row>
    <row r="46" spans="1:41" s="106" customFormat="1" ht="33" customHeight="1">
      <c r="A46" s="894"/>
      <c r="B46" s="894"/>
      <c r="C46" s="894"/>
      <c r="D46" s="170"/>
      <c r="E46" s="170"/>
      <c r="F46" s="170"/>
      <c r="H46" s="128"/>
      <c r="Z46" s="201"/>
      <c r="AA46" s="201"/>
      <c r="AB46" s="201"/>
      <c r="AC46" s="201"/>
      <c r="AD46" s="201"/>
      <c r="AE46" s="195"/>
      <c r="AF46" s="195"/>
      <c r="AG46" s="201"/>
      <c r="AH46" s="201"/>
      <c r="AI46" s="201"/>
      <c r="AJ46" s="201"/>
      <c r="AK46" s="201"/>
      <c r="AL46" s="201"/>
      <c r="AM46" s="201"/>
      <c r="AN46" s="201"/>
      <c r="AO46" s="201"/>
    </row>
    <row r="47" spans="1:41" s="106" customFormat="1" ht="33" customHeight="1">
      <c r="A47" s="891"/>
      <c r="B47" s="891"/>
      <c r="C47" s="891"/>
      <c r="D47" s="170"/>
      <c r="E47" s="170"/>
      <c r="F47" s="170"/>
      <c r="H47" s="128"/>
      <c r="Z47" s="201"/>
      <c r="AA47" s="201"/>
      <c r="AB47" s="201"/>
      <c r="AC47" s="201"/>
      <c r="AD47" s="201"/>
      <c r="AE47" s="195"/>
      <c r="AF47" s="195"/>
      <c r="AG47" s="201"/>
      <c r="AH47" s="201"/>
      <c r="AI47" s="201"/>
      <c r="AJ47" s="201"/>
      <c r="AK47" s="201"/>
      <c r="AL47" s="201"/>
      <c r="AM47" s="201"/>
      <c r="AN47" s="201"/>
      <c r="AO47" s="201"/>
    </row>
    <row r="48" spans="1:41" s="106" customFormat="1" ht="33" customHeight="1">
      <c r="A48" s="902" t="s">
        <v>144</v>
      </c>
      <c r="B48" s="902"/>
      <c r="C48" s="902"/>
      <c r="D48" s="170"/>
      <c r="E48" s="170"/>
      <c r="F48" s="170"/>
      <c r="H48" s="128"/>
      <c r="Z48" s="201"/>
      <c r="AA48" s="201"/>
      <c r="AB48" s="201"/>
      <c r="AC48" s="201"/>
      <c r="AD48" s="201"/>
      <c r="AE48" s="195"/>
      <c r="AF48" s="195"/>
      <c r="AG48" s="201"/>
      <c r="AH48" s="201"/>
      <c r="AI48" s="201"/>
      <c r="AJ48" s="201"/>
      <c r="AK48" s="201"/>
      <c r="AL48" s="201"/>
      <c r="AM48" s="201"/>
      <c r="AN48" s="201"/>
      <c r="AO48" s="201"/>
    </row>
    <row r="49" spans="1:41" s="106" customFormat="1" ht="33" customHeight="1">
      <c r="A49" s="902" t="s">
        <v>142</v>
      </c>
      <c r="B49" s="902"/>
      <c r="C49" s="902"/>
      <c r="D49" s="170"/>
      <c r="E49" s="170"/>
      <c r="F49" s="170"/>
      <c r="H49" s="128"/>
      <c r="Z49" s="201"/>
      <c r="AA49" s="201"/>
      <c r="AB49" s="201"/>
      <c r="AC49" s="201"/>
      <c r="AD49" s="201"/>
      <c r="AE49" s="195"/>
      <c r="AF49" s="195"/>
      <c r="AG49" s="201"/>
      <c r="AH49" s="201"/>
      <c r="AI49" s="201"/>
      <c r="AJ49" s="201"/>
      <c r="AK49" s="201"/>
      <c r="AL49" s="201"/>
      <c r="AM49" s="201"/>
      <c r="AN49" s="201"/>
      <c r="AO49" s="201"/>
    </row>
    <row r="50" spans="1:41" s="106" customFormat="1" ht="33" customHeight="1">
      <c r="A50" s="902" t="s">
        <v>145</v>
      </c>
      <c r="B50" s="902"/>
      <c r="C50" s="902"/>
      <c r="D50" s="170"/>
      <c r="E50" s="170"/>
      <c r="F50" s="170"/>
      <c r="H50" s="128"/>
      <c r="Z50" s="201"/>
      <c r="AA50" s="201"/>
      <c r="AB50" s="201"/>
      <c r="AC50" s="201"/>
      <c r="AD50" s="201"/>
      <c r="AE50" s="195"/>
      <c r="AF50" s="195"/>
      <c r="AG50" s="201"/>
      <c r="AH50" s="201"/>
      <c r="AI50" s="201"/>
      <c r="AJ50" s="201"/>
      <c r="AK50" s="201"/>
      <c r="AL50" s="201"/>
      <c r="AM50" s="201"/>
      <c r="AN50" s="201"/>
      <c r="AO50" s="201"/>
    </row>
    <row r="51" spans="1:41" s="106" customFormat="1" ht="33" customHeight="1">
      <c r="A51" s="892" t="s">
        <v>146</v>
      </c>
      <c r="B51" s="892"/>
      <c r="C51" s="892"/>
      <c r="D51" s="170"/>
      <c r="E51" s="170"/>
      <c r="F51" s="170"/>
      <c r="H51" s="128"/>
      <c r="Z51" s="201"/>
      <c r="AA51" s="201"/>
      <c r="AB51" s="201"/>
      <c r="AC51" s="201"/>
      <c r="AD51" s="201"/>
      <c r="AE51" s="195"/>
      <c r="AF51" s="195"/>
      <c r="AG51" s="201"/>
      <c r="AH51" s="201"/>
      <c r="AI51" s="201"/>
      <c r="AJ51" s="201"/>
      <c r="AK51" s="201"/>
      <c r="AL51" s="201"/>
      <c r="AM51" s="201"/>
      <c r="AN51" s="201"/>
      <c r="AO51" s="201"/>
    </row>
    <row r="52" spans="1:41" s="106" customFormat="1" ht="33" customHeight="1">
      <c r="A52" s="894"/>
      <c r="B52" s="894"/>
      <c r="C52" s="894"/>
      <c r="D52" s="170"/>
      <c r="E52" s="170"/>
      <c r="F52" s="170"/>
      <c r="H52" s="128"/>
      <c r="Z52" s="201"/>
      <c r="AA52" s="201"/>
      <c r="AB52" s="201"/>
      <c r="AC52" s="201"/>
      <c r="AD52" s="201"/>
      <c r="AE52" s="195"/>
      <c r="AF52" s="195"/>
      <c r="AG52" s="201"/>
      <c r="AH52" s="201"/>
      <c r="AI52" s="201"/>
      <c r="AJ52" s="201"/>
      <c r="AK52" s="201"/>
      <c r="AL52" s="201"/>
      <c r="AM52" s="201"/>
      <c r="AN52" s="201"/>
      <c r="AO52" s="201"/>
    </row>
    <row r="53" spans="1:41" s="106" customFormat="1" ht="33" customHeight="1">
      <c r="A53" s="891"/>
      <c r="B53" s="891"/>
      <c r="C53" s="891"/>
      <c r="D53" s="893"/>
      <c r="E53" s="893"/>
      <c r="F53" s="893"/>
      <c r="H53" s="128"/>
      <c r="Z53" s="201"/>
      <c r="AA53" s="201"/>
      <c r="AB53" s="201"/>
      <c r="AC53" s="201"/>
      <c r="AD53" s="201"/>
      <c r="AE53" s="195"/>
      <c r="AF53" s="195"/>
      <c r="AG53" s="201"/>
      <c r="AH53" s="201"/>
      <c r="AI53" s="201"/>
      <c r="AJ53" s="201"/>
      <c r="AK53" s="201"/>
      <c r="AL53" s="201"/>
      <c r="AM53" s="201"/>
      <c r="AN53" s="201"/>
      <c r="AO53" s="201"/>
    </row>
    <row r="54" spans="1:41" s="106" customFormat="1" ht="33" customHeight="1">
      <c r="A54" s="138"/>
      <c r="B54" s="138"/>
      <c r="C54" s="138"/>
      <c r="D54" s="140"/>
      <c r="E54" s="140"/>
      <c r="F54" s="140"/>
      <c r="H54" s="128"/>
      <c r="Z54" s="201"/>
      <c r="AA54" s="201"/>
      <c r="AB54" s="201"/>
      <c r="AC54" s="201"/>
      <c r="AD54" s="201"/>
      <c r="AE54" s="195"/>
      <c r="AF54" s="195"/>
      <c r="AG54" s="201"/>
      <c r="AH54" s="201"/>
      <c r="AI54" s="201"/>
      <c r="AJ54" s="201"/>
      <c r="AK54" s="201"/>
      <c r="AL54" s="201"/>
      <c r="AM54" s="201"/>
      <c r="AN54" s="201"/>
      <c r="AO54" s="201"/>
    </row>
    <row r="55" spans="1:41" s="106" customFormat="1" ht="33" customHeight="1">
      <c r="A55" s="128"/>
      <c r="B55" s="112"/>
      <c r="C55" s="109"/>
      <c r="D55" s="109"/>
      <c r="E55" s="109"/>
      <c r="H55" s="128"/>
      <c r="Z55" s="201"/>
      <c r="AA55" s="201"/>
      <c r="AB55" s="201"/>
      <c r="AC55" s="201"/>
      <c r="AD55" s="201"/>
      <c r="AE55" s="195"/>
      <c r="AF55" s="195"/>
      <c r="AG55" s="201"/>
      <c r="AH55" s="201"/>
      <c r="AI55" s="201"/>
      <c r="AJ55" s="201"/>
      <c r="AK55" s="201"/>
      <c r="AL55" s="201"/>
      <c r="AM55" s="201"/>
      <c r="AN55" s="201"/>
      <c r="AO55" s="201"/>
    </row>
    <row r="56" spans="1:41" s="106" customFormat="1" ht="33" customHeight="1">
      <c r="A56" s="128"/>
      <c r="B56" s="112"/>
      <c r="C56" s="109"/>
      <c r="D56" s="109"/>
      <c r="E56" s="109"/>
      <c r="H56" s="128"/>
      <c r="Z56" s="201"/>
      <c r="AA56" s="201"/>
      <c r="AB56" s="201"/>
      <c r="AC56" s="201"/>
      <c r="AD56" s="201"/>
      <c r="AE56" s="195"/>
      <c r="AF56" s="195"/>
      <c r="AG56" s="201"/>
      <c r="AH56" s="201"/>
      <c r="AI56" s="201"/>
      <c r="AJ56" s="201"/>
      <c r="AK56" s="201"/>
      <c r="AL56" s="201"/>
      <c r="AM56" s="201"/>
      <c r="AN56" s="201"/>
      <c r="AO56" s="201"/>
    </row>
    <row r="57" spans="1:41" s="106" customFormat="1" ht="33" customHeight="1">
      <c r="A57" s="128"/>
      <c r="B57" s="112"/>
      <c r="C57" s="109"/>
      <c r="D57" s="109"/>
      <c r="E57" s="109"/>
      <c r="H57" s="128"/>
      <c r="Z57" s="201"/>
      <c r="AA57" s="201"/>
      <c r="AB57" s="201"/>
      <c r="AC57" s="201"/>
      <c r="AD57" s="201"/>
      <c r="AE57" s="195"/>
      <c r="AF57" s="195"/>
      <c r="AG57" s="201"/>
      <c r="AH57" s="201"/>
      <c r="AI57" s="201"/>
      <c r="AJ57" s="201"/>
      <c r="AK57" s="201"/>
      <c r="AL57" s="201"/>
      <c r="AM57" s="201"/>
      <c r="AN57" s="201"/>
      <c r="AO57" s="201"/>
    </row>
    <row r="58" spans="1:41">
      <c r="A58" s="112"/>
    </row>
    <row r="59" spans="1:41">
      <c r="A59" s="112"/>
    </row>
    <row r="60" spans="1:41">
      <c r="A60" s="112"/>
    </row>
    <row r="61" spans="1:41">
      <c r="A61" s="112"/>
    </row>
    <row r="62" spans="1:41">
      <c r="A62" s="112"/>
    </row>
    <row r="63" spans="1:41">
      <c r="A63" s="112"/>
    </row>
    <row r="64" spans="1:41">
      <c r="A64" s="112"/>
    </row>
    <row r="65" spans="1:1">
      <c r="A65" s="112"/>
    </row>
    <row r="66" spans="1:1">
      <c r="A66" s="112"/>
    </row>
    <row r="67" spans="1:1">
      <c r="A67" s="112"/>
    </row>
    <row r="68" spans="1:1">
      <c r="A68" s="112"/>
    </row>
    <row r="69" spans="1:1">
      <c r="A69" s="112"/>
    </row>
  </sheetData>
  <sheetProtection password="84E7" sheet="1" formatColumns="0" formatRows="0" selectLockedCells="1"/>
  <customSheetViews>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2"/>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3"/>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5"/>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6"/>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08A645C4-A23F-4400-B0CE-1685BC312A6F}" zeroValues="0" printArea="1" hiddenRows="1">
      <selection activeCell="F45" sqref="F45"/>
      <rowBreaks count="2" manualBreakCount="2">
        <brk id="26" max="5" man="1"/>
        <brk id="33" max="5" man="1"/>
      </rowBreaks>
      <pageMargins left="0.75" right="0.77" top="0.73" bottom="0.75" header="0.52" footer="0.45"/>
      <pageSetup scale="95" orientation="portrait" r:id="rId8"/>
      <headerFooter alignWithMargins="0"/>
    </customSheetView>
  </customSheetViews>
  <mergeCells count="32">
    <mergeCell ref="B18:F18"/>
    <mergeCell ref="A52:C52"/>
    <mergeCell ref="B31:F31"/>
    <mergeCell ref="A49:C49"/>
    <mergeCell ref="A47:C47"/>
    <mergeCell ref="A51:C51"/>
    <mergeCell ref="A50:C50"/>
    <mergeCell ref="B33:F33"/>
    <mergeCell ref="B29:F29"/>
    <mergeCell ref="B41:C41"/>
    <mergeCell ref="B35:F35"/>
    <mergeCell ref="D22:F22"/>
    <mergeCell ref="B27:F27"/>
    <mergeCell ref="A48:C48"/>
    <mergeCell ref="B26:F26"/>
    <mergeCell ref="B28:F28"/>
    <mergeCell ref="A3:F3"/>
    <mergeCell ref="C5:F5"/>
    <mergeCell ref="B6:C6"/>
    <mergeCell ref="C15:F15"/>
    <mergeCell ref="B17:F17"/>
    <mergeCell ref="B19:F19"/>
    <mergeCell ref="B20:F20"/>
    <mergeCell ref="D21:F21"/>
    <mergeCell ref="A53:C53"/>
    <mergeCell ref="B30:F30"/>
    <mergeCell ref="B32:F32"/>
    <mergeCell ref="A45:C45"/>
    <mergeCell ref="D53:F53"/>
    <mergeCell ref="A46:C46"/>
    <mergeCell ref="B34:F34"/>
    <mergeCell ref="B42:C42"/>
  </mergeCells>
  <phoneticPr fontId="34" type="noConversion"/>
  <pageMargins left="0.75" right="0.77" top="0.73" bottom="0.75" header="0.52" footer="0.45"/>
  <pageSetup scale="92" orientation="portrait" r:id="rId9"/>
  <headerFooter alignWithMargins="0"/>
  <rowBreaks count="2" manualBreakCount="2">
    <brk id="25" max="5" man="1"/>
    <brk id="32" max="5" man="1"/>
  </rowBreaks>
  <drawing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31" zoomScaleNormal="100" zoomScaleSheetLayoutView="100" workbookViewId="0">
      <selection activeCell="H12" sqref="H12"/>
    </sheetView>
  </sheetViews>
  <sheetFormatPr defaultColWidth="8" defaultRowHeight="16.5"/>
  <cols>
    <col min="1" max="1" width="7.5" style="323" customWidth="1"/>
    <col min="2" max="2" width="46.875" style="323" customWidth="1"/>
    <col min="3" max="3" width="2.25" style="323" customWidth="1"/>
    <col min="4" max="4" width="17.625" style="383" customWidth="1"/>
    <col min="5" max="5" width="4.125" style="383" customWidth="1"/>
    <col min="6" max="6" width="17.625" style="383" customWidth="1"/>
    <col min="7" max="7" width="29.625" style="326" customWidth="1"/>
    <col min="8" max="8" width="15.25" style="326" customWidth="1"/>
    <col min="9" max="9" width="8.875" style="326" bestFit="1" customWidth="1"/>
    <col min="10" max="11" width="8" style="326"/>
    <col min="12" max="12" width="14" style="326" customWidth="1"/>
    <col min="13" max="16384" width="8" style="326"/>
  </cols>
  <sheetData>
    <row r="1" spans="1:8" ht="15.95" customHeight="1">
      <c r="B1" s="915" t="s">
        <v>336</v>
      </c>
      <c r="C1" s="916"/>
      <c r="D1" s="916"/>
      <c r="E1" s="916"/>
      <c r="F1" s="916"/>
    </row>
    <row r="2" spans="1:8" ht="15.95" customHeight="1">
      <c r="B2" s="324"/>
      <c r="C2" s="325"/>
      <c r="D2" s="327"/>
      <c r="E2" s="327"/>
      <c r="F2" s="327"/>
    </row>
    <row r="3" spans="1:8" s="328" customFormat="1" ht="15.95" customHeight="1">
      <c r="A3" s="323"/>
      <c r="B3" s="323"/>
      <c r="C3" s="323"/>
      <c r="D3" s="917" t="s">
        <v>337</v>
      </c>
      <c r="E3" s="917"/>
      <c r="F3" s="917"/>
    </row>
    <row r="4" spans="1:8" s="328" customFormat="1" ht="20.25" customHeight="1">
      <c r="A4" s="918" t="s">
        <v>338</v>
      </c>
      <c r="B4" s="918"/>
      <c r="C4" s="918"/>
      <c r="D4" s="919">
        <f>'Sch-1'!G8</f>
        <v>0</v>
      </c>
      <c r="E4" s="919"/>
      <c r="F4" s="919"/>
    </row>
    <row r="5" spans="1:8" s="334" customFormat="1" ht="21" customHeight="1">
      <c r="A5" s="330" t="s">
        <v>200</v>
      </c>
      <c r="B5" s="922" t="s">
        <v>339</v>
      </c>
      <c r="C5" s="923"/>
      <c r="D5" s="331" t="s">
        <v>340</v>
      </c>
      <c r="E5" s="924" t="s">
        <v>341</v>
      </c>
      <c r="F5" s="925"/>
    </row>
    <row r="6" spans="1:8" s="328" customFormat="1" ht="36" customHeight="1">
      <c r="A6" s="335">
        <v>1</v>
      </c>
      <c r="B6" s="336" t="s">
        <v>342</v>
      </c>
      <c r="C6" s="337"/>
      <c r="D6" s="338">
        <f>'Sch-5'!D15</f>
        <v>0</v>
      </c>
      <c r="E6" s="339" t="s">
        <v>343</v>
      </c>
      <c r="F6" s="340">
        <f>D6</f>
        <v>0</v>
      </c>
      <c r="G6" s="341"/>
    </row>
    <row r="7" spans="1:8" s="328" customFormat="1" ht="34.5" customHeight="1">
      <c r="A7" s="335">
        <v>2</v>
      </c>
      <c r="B7" s="336" t="s">
        <v>344</v>
      </c>
      <c r="C7" s="337"/>
      <c r="D7" s="338">
        <f>'Sch-5'!D17</f>
        <v>0</v>
      </c>
      <c r="E7" s="339"/>
      <c r="F7" s="340">
        <f>D7</f>
        <v>0</v>
      </c>
      <c r="G7" s="341"/>
    </row>
    <row r="8" spans="1:8" s="328" customFormat="1" ht="21" customHeight="1">
      <c r="A8" s="335">
        <v>3</v>
      </c>
      <c r="B8" s="336" t="s">
        <v>345</v>
      </c>
      <c r="C8" s="337"/>
      <c r="D8" s="342">
        <f>'Sch-5'!D19</f>
        <v>0</v>
      </c>
      <c r="E8" s="332"/>
      <c r="F8" s="333">
        <f>D8</f>
        <v>0</v>
      </c>
      <c r="G8" s="341"/>
    </row>
    <row r="9" spans="1:8" s="328" customFormat="1" ht="21" customHeight="1">
      <c r="A9" s="335">
        <v>4</v>
      </c>
      <c r="B9" s="336" t="s">
        <v>346</v>
      </c>
      <c r="C9" s="337"/>
      <c r="D9" s="342" t="s">
        <v>258</v>
      </c>
      <c r="E9" s="339"/>
      <c r="F9" s="333" t="str">
        <f>D9</f>
        <v>Not Applicable</v>
      </c>
    </row>
    <row r="10" spans="1:8" s="328" customFormat="1" ht="21" customHeight="1">
      <c r="A10" s="335">
        <v>5</v>
      </c>
      <c r="B10" s="336" t="s">
        <v>347</v>
      </c>
      <c r="C10" s="337"/>
      <c r="D10" s="343">
        <f>SUM(D6,D7,D8)</f>
        <v>0</v>
      </c>
      <c r="E10" s="339"/>
      <c r="F10" s="344">
        <f>SUM(F6,F7,F8)</f>
        <v>0</v>
      </c>
    </row>
    <row r="11" spans="1:8" s="328" customFormat="1" ht="21" customHeight="1">
      <c r="A11" s="335">
        <v>6</v>
      </c>
      <c r="B11" s="345" t="s">
        <v>348</v>
      </c>
      <c r="C11" s="346" t="s">
        <v>343</v>
      </c>
      <c r="D11" s="338" t="e">
        <f>H11</f>
        <v>#REF!</v>
      </c>
      <c r="E11" s="347" t="s">
        <v>343</v>
      </c>
      <c r="F11" s="340" t="e">
        <f>D11</f>
        <v>#REF!</v>
      </c>
      <c r="H11" s="348" t="e">
        <f>ROUND(('Sch-1'!#REF!-'Sch-1 Dis'!G23)+('Sch-2'!G69-'Sch-2 Dis'!G17),0)</f>
        <v>#REF!</v>
      </c>
    </row>
    <row r="12" spans="1:8" s="328" customFormat="1" ht="21.95" customHeight="1">
      <c r="A12" s="335">
        <v>7</v>
      </c>
      <c r="B12" s="345" t="s">
        <v>349</v>
      </c>
      <c r="C12" s="337"/>
      <c r="D12" s="331" t="e">
        <f>D10-D11</f>
        <v>#REF!</v>
      </c>
      <c r="E12" s="339"/>
      <c r="F12" s="344" t="e">
        <f>F10-F11</f>
        <v>#REF!</v>
      </c>
      <c r="G12" s="349"/>
    </row>
    <row r="13" spans="1:8" s="328" customFormat="1" ht="21.95" customHeight="1">
      <c r="A13" s="335">
        <v>8</v>
      </c>
      <c r="B13" s="336" t="s">
        <v>350</v>
      </c>
      <c r="C13" s="337"/>
      <c r="D13" s="338"/>
      <c r="E13" s="339"/>
      <c r="F13" s="340"/>
    </row>
    <row r="14" spans="1:8" s="328" customFormat="1" ht="21.95" customHeight="1">
      <c r="A14" s="335" t="s">
        <v>343</v>
      </c>
      <c r="B14" s="336" t="s">
        <v>351</v>
      </c>
      <c r="C14" s="350"/>
      <c r="D14" s="351" t="e">
        <f>'Sch-4 Dis'!D14:E14</f>
        <v>#REF!</v>
      </c>
      <c r="E14" s="352"/>
      <c r="F14" s="333">
        <f>F32</f>
        <v>0</v>
      </c>
      <c r="G14" s="341"/>
    </row>
    <row r="15" spans="1:8" s="328" customFormat="1" ht="21.95" customHeight="1">
      <c r="A15" s="335"/>
      <c r="B15" s="336" t="s">
        <v>352</v>
      </c>
      <c r="C15" s="337"/>
      <c r="D15" s="351" t="e">
        <f>'Sch-4 Dis'!D17:E17</f>
        <v>#REF!</v>
      </c>
      <c r="E15" s="353"/>
      <c r="F15" s="333" t="e">
        <f>F34</f>
        <v>#REF!</v>
      </c>
      <c r="G15" s="341"/>
    </row>
    <row r="16" spans="1:8" s="328" customFormat="1" ht="21.95" customHeight="1">
      <c r="A16" s="335"/>
      <c r="B16" s="336" t="s">
        <v>353</v>
      </c>
      <c r="C16" s="337"/>
      <c r="D16" s="351" t="e">
        <f>'Sch-4 Dis'!D22:E22</f>
        <v>#REF!</v>
      </c>
      <c r="E16" s="353"/>
      <c r="F16" s="333" t="e">
        <f>F35</f>
        <v>#REF!</v>
      </c>
      <c r="G16" s="341"/>
    </row>
    <row r="17" spans="1:12" s="328" customFormat="1" ht="21.95" customHeight="1">
      <c r="A17" s="335"/>
      <c r="B17" s="336" t="s">
        <v>354</v>
      </c>
      <c r="C17" s="337"/>
      <c r="D17" s="351">
        <f>SUM('Sch-4 Dis'!D27:E27,'Sch-4 Dis'!D30:E30)</f>
        <v>0</v>
      </c>
      <c r="E17" s="353"/>
      <c r="F17" s="333" t="e">
        <f>F38</f>
        <v>#REF!</v>
      </c>
      <c r="G17" s="341"/>
    </row>
    <row r="18" spans="1:12" s="328" customFormat="1" ht="21.95" customHeight="1">
      <c r="A18" s="335"/>
      <c r="B18" s="336" t="s">
        <v>355</v>
      </c>
      <c r="C18" s="337"/>
      <c r="D18" s="342" t="str">
        <f>'Sch-4'!D31</f>
        <v/>
      </c>
      <c r="E18" s="332"/>
      <c r="F18" s="333" t="str">
        <f>F36</f>
        <v/>
      </c>
    </row>
    <row r="19" spans="1:12" s="328" customFormat="1" ht="27" customHeight="1">
      <c r="A19" s="335"/>
      <c r="B19" s="336" t="s">
        <v>356</v>
      </c>
      <c r="C19" s="354"/>
      <c r="D19" s="355" t="e">
        <f>SUM(D14,D15,D16,D17,D18)</f>
        <v>#REF!</v>
      </c>
      <c r="E19" s="356"/>
      <c r="F19" s="354" t="e">
        <f>SUM(F14:F18)</f>
        <v>#REF!</v>
      </c>
      <c r="G19" s="341"/>
    </row>
    <row r="20" spans="1:12" s="328" customFormat="1" ht="33.75" customHeight="1">
      <c r="A20" s="335">
        <v>8</v>
      </c>
      <c r="B20" s="336" t="s">
        <v>357</v>
      </c>
      <c r="C20" s="337"/>
      <c r="D20" s="331" t="e">
        <f>D10+D19</f>
        <v>#REF!</v>
      </c>
      <c r="E20" s="357" t="s">
        <v>343</v>
      </c>
      <c r="F20" s="358" t="e">
        <f>F10+F19</f>
        <v>#REF!</v>
      </c>
      <c r="G20" s="341"/>
    </row>
    <row r="21" spans="1:12" s="328" customFormat="1" ht="51" customHeight="1">
      <c r="A21" s="335">
        <v>9</v>
      </c>
      <c r="B21" s="336" t="s">
        <v>358</v>
      </c>
      <c r="C21" s="337"/>
      <c r="D21" s="338" t="e">
        <f>'Sch-1'!#REF!</f>
        <v>#REF!</v>
      </c>
      <c r="E21" s="339"/>
      <c r="F21" s="340" t="e">
        <f>D21</f>
        <v>#REF!</v>
      </c>
    </row>
    <row r="22" spans="1:12" s="328" customFormat="1" ht="23.25" customHeight="1">
      <c r="A22" s="359" t="s">
        <v>343</v>
      </c>
      <c r="B22" s="360" t="s">
        <v>343</v>
      </c>
      <c r="C22" s="360"/>
      <c r="D22" s="361"/>
      <c r="E22" s="362"/>
      <c r="F22" s="363"/>
    </row>
    <row r="23" spans="1:12" s="328" customFormat="1" ht="18.75" customHeight="1">
      <c r="A23" s="364" t="s">
        <v>359</v>
      </c>
      <c r="B23" s="905" t="s">
        <v>360</v>
      </c>
      <c r="C23" s="905"/>
      <c r="D23" s="905"/>
      <c r="E23" s="905"/>
      <c r="F23" s="926"/>
    </row>
    <row r="24" spans="1:12" s="328" customFormat="1" ht="18.75" customHeight="1">
      <c r="A24" s="364"/>
      <c r="B24" s="909" t="e">
        <f>H24&amp;" "&amp;G24&amp;" "&amp;I24&amp;" "&amp;J24&amp;"%"&amp; " as"&amp;" "&amp;K24&amp; " "&amp;L24</f>
        <v>#REF!</v>
      </c>
      <c r="C24" s="910"/>
      <c r="D24" s="910"/>
      <c r="E24" s="910"/>
      <c r="F24" s="911"/>
      <c r="G24" s="366">
        <f>IF('Sch-4'!D15=0,"",'Sch-4'!D15)</f>
        <v>6.6600000000000034E-2</v>
      </c>
      <c r="H24" s="367" t="s">
        <v>361</v>
      </c>
      <c r="I24" s="367" t="e">
        <f>IF(J24="","","@")</f>
        <v>#REF!</v>
      </c>
      <c r="J24" s="368" t="e">
        <f>IF('Sch-4'!#REF!*100=0,"",'Sch-4'!#REF!*100)</f>
        <v>#REF!</v>
      </c>
      <c r="K24" s="369" t="e">
        <f>IF(OR(L24=0,L24=""),"","Rs.")</f>
        <v>#REF!</v>
      </c>
      <c r="L24" s="370" t="e">
        <f>IF(D14=0,"",D14)</f>
        <v>#REF!</v>
      </c>
    </row>
    <row r="25" spans="1:12" s="328" customFormat="1" ht="19.5" customHeight="1">
      <c r="B25" s="909" t="e">
        <f>H25&amp;" "&amp;G25&amp;" "&amp;I25&amp;" "&amp;J25&amp;"%"&amp; " as"&amp;" "&amp;K25&amp; " "&amp;L25</f>
        <v>#REF!</v>
      </c>
      <c r="C25" s="910"/>
      <c r="D25" s="910"/>
      <c r="E25" s="910"/>
      <c r="F25" s="911"/>
      <c r="G25" s="366">
        <f>IF('Sch-4'!D17=0,"",'Sch-4'!D17)</f>
        <v>4.6800000000000022E-2</v>
      </c>
      <c r="H25" s="367" t="s">
        <v>362</v>
      </c>
      <c r="I25" s="367" t="e">
        <f>IF(J25="","","@")</f>
        <v>#REF!</v>
      </c>
      <c r="J25" s="368" t="e">
        <f>IF('Sch-4'!#REF!*100=0,"",'Sch-4'!#REF!*100)</f>
        <v>#REF!</v>
      </c>
      <c r="K25" s="369" t="e">
        <f>IF(OR(L25=0,L25=""),"","Rs.")</f>
        <v>#REF!</v>
      </c>
      <c r="L25" s="370" t="e">
        <f>IF(D15=0,"",D15)</f>
        <v>#REF!</v>
      </c>
    </row>
    <row r="26" spans="1:12" s="328" customFormat="1" ht="19.5" customHeight="1">
      <c r="B26" s="909" t="e">
        <f>H26&amp;" "&amp;G26&amp;" "&amp;I26&amp;" "&amp;J26&amp;"%"&amp; " as"&amp;" "&amp;K26&amp; " "&amp;L26</f>
        <v>#REF!</v>
      </c>
      <c r="C26" s="910"/>
      <c r="D26" s="910"/>
      <c r="E26" s="910"/>
      <c r="F26" s="911"/>
      <c r="G26" s="366" t="str">
        <f>IF('Sch-4'!D21=0,"",'Sch-4'!D21)</f>
        <v/>
      </c>
      <c r="H26" s="367" t="s">
        <v>363</v>
      </c>
      <c r="I26" s="367" t="str">
        <f>IF(J26="","","@")</f>
        <v/>
      </c>
      <c r="J26" s="368" t="str">
        <f>IF('Sch-4'!C24*100=0,"",'Sch-4'!C24*100)</f>
        <v/>
      </c>
      <c r="K26" s="369" t="e">
        <f>IF(OR(L26=0,L26=""),"","Rs.")</f>
        <v>#REF!</v>
      </c>
      <c r="L26" s="370" t="e">
        <f>IF(D16=0,"",D16)</f>
        <v>#REF!</v>
      </c>
    </row>
    <row r="27" spans="1:12" s="328" customFormat="1" ht="19.5" customHeight="1">
      <c r="B27" s="909" t="str">
        <f>H27&amp;" "&amp;G27&amp;" "&amp;I27&amp;" "&amp;J27&amp; " as"&amp;" "&amp;K27&amp; " "&amp;L27</f>
        <v xml:space="preserve">Entry Tax/ Octroi NOT APPLICABLE   as  </v>
      </c>
      <c r="C27" s="910"/>
      <c r="D27" s="910"/>
      <c r="E27" s="910"/>
      <c r="F27" s="911"/>
      <c r="G27" s="366" t="str">
        <f>IF('Sch-4'!D29=0,"",'Sch-4'!D29)</f>
        <v>NOT APPLICABLE</v>
      </c>
      <c r="H27" s="367" t="s">
        <v>364</v>
      </c>
      <c r="I27" s="367"/>
      <c r="J27" s="371"/>
      <c r="K27" s="369" t="str">
        <f>IF(OR(L27=0,L27=""),"","Rs.")</f>
        <v/>
      </c>
      <c r="L27" s="370" t="str">
        <f>IF(D17=0,"",D17)</f>
        <v/>
      </c>
    </row>
    <row r="28" spans="1:12" s="328" customFormat="1" ht="19.5" customHeight="1">
      <c r="B28" s="909" t="str">
        <f>H28&amp;" "&amp;G28&amp;" "&amp;I28&amp;" "&amp;J28&amp; " as"&amp;" "&amp;K28&amp; " "&amp;L28</f>
        <v xml:space="preserve">Others     as  </v>
      </c>
      <c r="C28" s="910"/>
      <c r="D28" s="910"/>
      <c r="E28" s="910"/>
      <c r="F28" s="911"/>
      <c r="G28" s="366" t="str">
        <f>IF('Sch-4'!D32=0,"",'Sch-4'!D32)</f>
        <v/>
      </c>
      <c r="H28" s="365" t="s">
        <v>365</v>
      </c>
      <c r="I28" s="365"/>
      <c r="J28" s="365"/>
      <c r="K28" s="365" t="str">
        <f>IF(OR(L28=0,L28=""),"","Rs.")</f>
        <v/>
      </c>
      <c r="L28" s="372" t="str">
        <f>IF(D18=0,"",D18)</f>
        <v/>
      </c>
    </row>
    <row r="29" spans="1:12" s="328" customFormat="1" ht="19.5" customHeight="1">
      <c r="B29" s="920"/>
      <c r="C29" s="920"/>
      <c r="D29" s="920"/>
      <c r="E29" s="920"/>
      <c r="F29" s="921"/>
    </row>
    <row r="30" spans="1:12" ht="59.25" customHeight="1">
      <c r="A30" s="373" t="s">
        <v>366</v>
      </c>
      <c r="B30" s="912" t="s">
        <v>367</v>
      </c>
      <c r="C30" s="913"/>
      <c r="D30" s="913"/>
      <c r="E30" s="913"/>
      <c r="F30" s="914"/>
    </row>
    <row r="31" spans="1:12" s="328" customFormat="1" ht="19.5" customHeight="1">
      <c r="A31" s="374" t="s">
        <v>368</v>
      </c>
      <c r="B31" s="905" t="s">
        <v>369</v>
      </c>
      <c r="C31" s="905"/>
      <c r="D31" s="905"/>
      <c r="E31" s="365" t="s">
        <v>370</v>
      </c>
      <c r="F31" s="370">
        <f>'Sch-1'!M74</f>
        <v>0</v>
      </c>
    </row>
    <row r="32" spans="1:12" s="328" customFormat="1" ht="19.5" customHeight="1">
      <c r="A32" s="374" t="s">
        <v>371</v>
      </c>
      <c r="B32" s="367" t="s">
        <v>372</v>
      </c>
      <c r="C32" s="375"/>
      <c r="D32" s="376">
        <v>0.10299999999999999</v>
      </c>
      <c r="E32" s="365" t="s">
        <v>370</v>
      </c>
      <c r="F32" s="370">
        <f>ROUND(D32*F31,0)</f>
        <v>0</v>
      </c>
      <c r="H32" s="905"/>
      <c r="I32" s="905"/>
      <c r="J32" s="905"/>
    </row>
    <row r="33" spans="1:10" s="328" customFormat="1" ht="19.5" customHeight="1">
      <c r="A33" s="377" t="s">
        <v>373</v>
      </c>
      <c r="B33" s="367" t="s">
        <v>331</v>
      </c>
      <c r="C33" s="375"/>
      <c r="D33" s="378" t="e">
        <f>'Sch-4 Dis'!C19</f>
        <v>#REF!</v>
      </c>
      <c r="E33" s="365"/>
      <c r="F33" s="370" t="e">
        <f>D33</f>
        <v>#REF!</v>
      </c>
      <c r="H33" s="365"/>
      <c r="I33" s="365"/>
      <c r="J33" s="365"/>
    </row>
    <row r="34" spans="1:10" s="328" customFormat="1" ht="19.5" customHeight="1">
      <c r="A34" s="377" t="s">
        <v>374</v>
      </c>
      <c r="B34" s="367" t="s">
        <v>375</v>
      </c>
      <c r="D34" s="376">
        <v>0</v>
      </c>
      <c r="E34" s="365" t="s">
        <v>370</v>
      </c>
      <c r="F34" s="370" t="e">
        <f>ROUND((F33+(F33*D32))*D34,0)</f>
        <v>#REF!</v>
      </c>
    </row>
    <row r="35" spans="1:10" s="328" customFormat="1" ht="19.5" customHeight="1">
      <c r="A35" s="377" t="s">
        <v>376</v>
      </c>
      <c r="B35" s="367" t="s">
        <v>377</v>
      </c>
      <c r="C35" s="365"/>
      <c r="D35" s="376">
        <v>0</v>
      </c>
      <c r="E35" s="365"/>
      <c r="F35" s="370" t="e">
        <f>ROUND(((F31-F33)+((F31-F33)*D32))*D35,0)</f>
        <v>#REF!</v>
      </c>
    </row>
    <row r="36" spans="1:10" s="328" customFormat="1" ht="19.5" customHeight="1">
      <c r="A36" s="377" t="s">
        <v>378</v>
      </c>
      <c r="B36" s="369" t="s">
        <v>379</v>
      </c>
      <c r="C36" s="365"/>
      <c r="D36" s="365"/>
      <c r="E36" s="365" t="s">
        <v>370</v>
      </c>
      <c r="F36" s="379" t="str">
        <f>L28</f>
        <v/>
      </c>
    </row>
    <row r="37" spans="1:10" s="328" customFormat="1" ht="19.5" customHeight="1">
      <c r="A37" s="377" t="s">
        <v>380</v>
      </c>
      <c r="B37" s="905" t="s">
        <v>381</v>
      </c>
      <c r="C37" s="905"/>
      <c r="D37" s="905"/>
      <c r="E37" s="365" t="s">
        <v>370</v>
      </c>
      <c r="F37" s="380" t="e">
        <f>SUM(F31,F32,F34,F35,F36)</f>
        <v>#REF!</v>
      </c>
    </row>
    <row r="38" spans="1:10" s="328" customFormat="1" ht="19.5" customHeight="1">
      <c r="A38" s="377" t="s">
        <v>382</v>
      </c>
      <c r="B38" s="369" t="s">
        <v>383</v>
      </c>
      <c r="C38" s="365"/>
      <c r="D38" s="376"/>
      <c r="E38" s="365" t="s">
        <v>370</v>
      </c>
      <c r="F38" s="379" t="e">
        <f>ROUND(D38*F37,0)</f>
        <v>#REF!</v>
      </c>
    </row>
    <row r="39" spans="1:10" s="328" customFormat="1" ht="19.5" customHeight="1">
      <c r="A39" s="374"/>
      <c r="B39" s="365"/>
      <c r="C39" s="365"/>
      <c r="D39" s="365"/>
      <c r="E39" s="365"/>
      <c r="F39" s="381"/>
    </row>
    <row r="40" spans="1:10" s="328" customFormat="1" ht="15" customHeight="1">
      <c r="A40" s="374"/>
      <c r="B40" s="365"/>
      <c r="C40" s="365"/>
      <c r="D40" s="365"/>
      <c r="E40" s="365"/>
      <c r="F40" s="381"/>
    </row>
    <row r="41" spans="1:10" s="328" customFormat="1" ht="15" customHeight="1">
      <c r="A41" s="374"/>
      <c r="B41" s="365"/>
      <c r="C41" s="365"/>
      <c r="D41" s="365"/>
      <c r="E41" s="365"/>
      <c r="F41" s="381"/>
    </row>
    <row r="42" spans="1:10" s="328" customFormat="1" ht="19.5" customHeight="1">
      <c r="A42" s="374"/>
      <c r="B42" s="365"/>
      <c r="C42" s="365"/>
      <c r="D42" s="365"/>
      <c r="E42" s="365"/>
      <c r="F42" s="381"/>
    </row>
    <row r="43" spans="1:10" ht="49.5" customHeight="1">
      <c r="A43" s="906" t="str">
        <f>Cover!B2</f>
        <v>Supply &amp; Services contract for Diversion/Modification of 400kV S/C Rengali-Indravati Transmission Line near Bhawanipatna for Construction of NH Bypass Road (Deposit Work on Behalf of NHAI).</v>
      </c>
      <c r="B43" s="906"/>
      <c r="C43" s="906"/>
      <c r="D43" s="907" t="s">
        <v>384</v>
      </c>
      <c r="E43" s="908"/>
      <c r="F43" s="329" t="s">
        <v>385</v>
      </c>
    </row>
    <row r="46" spans="1:10">
      <c r="A46" s="382"/>
    </row>
  </sheetData>
  <sheetProtection selectLockedCells="1" selectUnlockedCells="1"/>
  <customSheetViews>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08A645C4-A23F-4400-B0CE-1685BC312A6F}"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7" fitToHeight="0" orientation="portrait" horizontalDpi="1200" verticalDpi="1200" r:id="rId6"/>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384" customWidth="1"/>
    <col min="4" max="4" width="34.625" customWidth="1"/>
    <col min="5" max="5" width="26.5" customWidth="1"/>
    <col min="7" max="7" width="15.25" customWidth="1"/>
    <col min="12" max="12" width="18.25" customWidth="1"/>
  </cols>
  <sheetData>
    <row r="1" spans="1:12" ht="33">
      <c r="G1" s="385">
        <f>'Q &amp; C'!G24</f>
        <v>6.6600000000000034E-2</v>
      </c>
      <c r="H1" s="367" t="str">
        <f>'Q &amp; C'!H24</f>
        <v xml:space="preserve">Excise Duty </v>
      </c>
      <c r="I1" s="367" t="e">
        <f>'Q &amp; C'!I24</f>
        <v>#REF!</v>
      </c>
      <c r="J1" s="371" t="e">
        <f>'Q &amp; C'!J24</f>
        <v>#REF!</v>
      </c>
      <c r="K1" s="365" t="e">
        <f>'Q &amp; C'!K24</f>
        <v>#REF!</v>
      </c>
      <c r="L1" s="370" t="e">
        <f>'Q &amp; C'!L24</f>
        <v>#REF!</v>
      </c>
    </row>
    <row r="2" spans="1:12">
      <c r="A2" s="386" t="s">
        <v>200</v>
      </c>
      <c r="B2" s="386" t="s">
        <v>386</v>
      </c>
      <c r="C2" s="387" t="s">
        <v>387</v>
      </c>
      <c r="D2" s="386" t="s">
        <v>388</v>
      </c>
      <c r="E2" s="386" t="s">
        <v>389</v>
      </c>
      <c r="G2" s="388">
        <f>'Q &amp; C'!G25</f>
        <v>4.6800000000000022E-2</v>
      </c>
      <c r="H2" s="388" t="str">
        <f>'Q &amp; C'!H25</f>
        <v xml:space="preserve">CST </v>
      </c>
      <c r="I2" s="388" t="e">
        <f>'Q &amp; C'!I25</f>
        <v>#REF!</v>
      </c>
      <c r="J2" s="388" t="e">
        <f>'Q &amp; C'!J25</f>
        <v>#REF!</v>
      </c>
      <c r="K2" s="388" t="e">
        <f>'Q &amp; C'!K25</f>
        <v>#REF!</v>
      </c>
      <c r="L2" s="388" t="e">
        <f>'Q &amp; C'!L25</f>
        <v>#REF!</v>
      </c>
    </row>
    <row r="3" spans="1:12" ht="23.25" customHeight="1">
      <c r="A3" s="389">
        <v>1</v>
      </c>
      <c r="B3" s="390" t="s">
        <v>390</v>
      </c>
      <c r="C3" s="391" t="s">
        <v>391</v>
      </c>
      <c r="D3" s="392"/>
      <c r="E3" s="392"/>
      <c r="G3" s="388" t="str">
        <f>'Q &amp; C'!G26</f>
        <v/>
      </c>
      <c r="H3" s="388" t="str">
        <f>'Q &amp; C'!H26</f>
        <v xml:space="preserve">VAT </v>
      </c>
      <c r="I3" s="388" t="str">
        <f>'Q &amp; C'!I26</f>
        <v/>
      </c>
      <c r="J3" s="388" t="str">
        <f>'Q &amp; C'!J26</f>
        <v/>
      </c>
      <c r="K3" s="388" t="e">
        <f>'Q &amp; C'!K26</f>
        <v>#REF!</v>
      </c>
      <c r="L3" s="388" t="e">
        <f>'Q &amp; C'!L26</f>
        <v>#REF!</v>
      </c>
    </row>
    <row r="4" spans="1:12" ht="30" customHeight="1">
      <c r="A4" s="392"/>
      <c r="B4" s="392"/>
      <c r="C4" s="393" t="s">
        <v>392</v>
      </c>
      <c r="D4" s="390" t="e">
        <f>H1&amp;" "&amp;G1&amp;" "&amp;I1&amp;" "&amp;J1&amp;"%"&amp; " as"&amp;" "&amp;K1&amp; " "&amp;L1</f>
        <v>#REF!</v>
      </c>
      <c r="E4" s="390"/>
      <c r="G4" s="388" t="str">
        <f>'Q &amp; C'!G27</f>
        <v>NOT APPLICABLE</v>
      </c>
      <c r="H4" s="388" t="str">
        <f>'Q &amp; C'!H27</f>
        <v>Entry Tax/ Octroi</v>
      </c>
      <c r="K4" s="388" t="str">
        <f>'Q &amp; C'!K27</f>
        <v/>
      </c>
      <c r="L4" s="388" t="str">
        <f>'Q &amp; C'!L27</f>
        <v/>
      </c>
    </row>
    <row r="5" spans="1:12" ht="40.5" customHeight="1">
      <c r="A5" s="392"/>
      <c r="B5" s="392"/>
      <c r="C5" s="393" t="s">
        <v>393</v>
      </c>
      <c r="D5" s="390" t="e">
        <f>H2&amp;" "&amp;G2&amp;" "&amp;I2&amp;" "&amp;J2&amp;"%"&amp; " as"&amp;" "&amp;K2&amp; " "&amp;L2</f>
        <v>#REF!</v>
      </c>
      <c r="E5" s="390"/>
      <c r="G5" s="388" t="str">
        <f>'Q &amp; C'!G28</f>
        <v/>
      </c>
      <c r="H5" s="388" t="str">
        <f>'Q &amp; C'!H28</f>
        <v xml:space="preserve">Others </v>
      </c>
      <c r="K5" s="388" t="str">
        <f>'Q &amp; C'!K28</f>
        <v/>
      </c>
      <c r="L5" s="388" t="str">
        <f>'Q &amp; C'!L28</f>
        <v/>
      </c>
    </row>
    <row r="6" spans="1:12" ht="42" customHeight="1">
      <c r="A6" s="392"/>
      <c r="B6" s="392"/>
      <c r="C6" s="393" t="s">
        <v>394</v>
      </c>
      <c r="D6" s="390" t="e">
        <f>H3&amp;" "&amp;G3&amp;" "&amp;I3&amp;" "&amp;J3&amp;"%"&amp; " as"&amp;" "&amp;K3&amp; " "&amp;L3</f>
        <v>#REF!</v>
      </c>
      <c r="E6" s="390"/>
      <c r="G6" s="388"/>
      <c r="H6" s="388"/>
      <c r="I6" s="388"/>
      <c r="J6" s="388"/>
      <c r="K6" s="388"/>
      <c r="L6" s="388"/>
    </row>
    <row r="7" spans="1:12" ht="59.25" customHeight="1">
      <c r="A7" s="392"/>
      <c r="B7" s="392"/>
      <c r="C7" s="393" t="s">
        <v>395</v>
      </c>
      <c r="D7" s="390" t="str">
        <f>H4&amp;" "&amp;G4&amp;" "&amp;I4&amp;" "&amp;J4&amp; " as"&amp;" "&amp;K4&amp; " "&amp;L4</f>
        <v xml:space="preserve">Entry Tax/ Octroi NOT APPLICABLE   as  </v>
      </c>
      <c r="E7" s="390"/>
    </row>
    <row r="8" spans="1:12" ht="27">
      <c r="A8" s="392"/>
      <c r="B8" s="392"/>
      <c r="C8" s="393" t="s">
        <v>396</v>
      </c>
      <c r="D8" s="390" t="str">
        <f>H5&amp;" "&amp;G5&amp;" "&amp;I5&amp;" "&amp;J5&amp; " as"&amp;" "&amp;K5&amp; " "&amp;L5</f>
        <v xml:space="preserve">Others     as  </v>
      </c>
      <c r="E8" s="390"/>
    </row>
    <row r="9" spans="1:12" ht="40.5">
      <c r="A9" s="392"/>
      <c r="B9" s="392"/>
      <c r="C9" s="393" t="s">
        <v>397</v>
      </c>
      <c r="D9" s="390"/>
      <c r="E9" s="390"/>
    </row>
    <row r="10" spans="1:12" ht="94.5">
      <c r="A10" s="392"/>
      <c r="B10" s="392"/>
      <c r="C10" s="393" t="s">
        <v>398</v>
      </c>
      <c r="D10" s="390"/>
      <c r="E10" s="390"/>
    </row>
    <row r="11" spans="1:12" ht="67.5">
      <c r="A11" s="392"/>
      <c r="B11" s="392"/>
      <c r="C11" s="393" t="s">
        <v>399</v>
      </c>
      <c r="D11" s="390"/>
      <c r="E11" s="390"/>
    </row>
    <row r="12" spans="1:12" ht="99">
      <c r="A12" s="394">
        <v>2</v>
      </c>
      <c r="B12" s="395" t="s">
        <v>400</v>
      </c>
      <c r="C12" s="396" t="s">
        <v>401</v>
      </c>
      <c r="D12" s="395"/>
      <c r="E12" s="395"/>
    </row>
    <row r="13" spans="1:12">
      <c r="C13" s="397"/>
      <c r="D13" s="397"/>
      <c r="E13" s="397"/>
    </row>
    <row r="14" spans="1:12">
      <c r="C14" s="397"/>
      <c r="D14" s="397"/>
      <c r="E14" s="397"/>
    </row>
    <row r="15" spans="1:12">
      <c r="C15" s="397"/>
      <c r="D15" s="397"/>
      <c r="E15" s="397"/>
    </row>
    <row r="16" spans="1:12">
      <c r="C16" s="397"/>
      <c r="D16" s="397"/>
      <c r="E16" s="397"/>
    </row>
    <row r="17" spans="3:5">
      <c r="C17" s="397"/>
      <c r="D17" s="397"/>
      <c r="E17" s="398"/>
    </row>
    <row r="18" spans="3:5">
      <c r="C18" s="397"/>
      <c r="D18" s="397"/>
      <c r="E18" s="397"/>
    </row>
    <row r="19" spans="3:5">
      <c r="C19" s="397"/>
      <c r="D19" s="397"/>
      <c r="E19" s="397"/>
    </row>
    <row r="20" spans="3:5">
      <c r="C20" s="397"/>
      <c r="D20" s="397"/>
      <c r="E20" s="397"/>
    </row>
    <row r="21" spans="3:5">
      <c r="C21" s="397"/>
      <c r="D21" s="397"/>
      <c r="E21" s="397"/>
    </row>
    <row r="22" spans="3:5">
      <c r="C22" s="397"/>
      <c r="D22" s="397"/>
      <c r="E22" s="397"/>
    </row>
    <row r="23" spans="3:5">
      <c r="C23" s="397"/>
      <c r="D23" s="397"/>
      <c r="E23" s="397"/>
    </row>
    <row r="24" spans="3:5">
      <c r="C24" s="397"/>
      <c r="D24" s="397"/>
      <c r="E24" s="397"/>
    </row>
    <row r="25" spans="3:5">
      <c r="C25" s="397"/>
      <c r="D25" s="397"/>
      <c r="E25" s="397"/>
    </row>
    <row r="26" spans="3:5">
      <c r="C26" s="397"/>
      <c r="D26" s="397"/>
      <c r="E26" s="397"/>
    </row>
  </sheetData>
  <customSheetViews>
    <customSheetView guid="{9CA44E70-650F-49CD-967F-298619682CA2}" scale="80" showPageBreaks="1" printArea="1" state="hidden" view="pageBreakPreview" topLeftCell="B7">
      <selection activeCell="I10" sqref="I10"/>
      <pageMargins left="0.7" right="0.7" top="0.75" bottom="0.75" header="0.3" footer="0.3"/>
      <pageSetup scale="99" orientation="landscape" r:id="rId1"/>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2"/>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3"/>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4"/>
    </customSheetView>
    <customSheetView guid="{08A645C4-A23F-4400-B0CE-1685BC312A6F}" scale="80" showPageBreaks="1" printArea="1" state="hidden" view="pageBreakPreview" topLeftCell="B7">
      <selection activeCell="I10" sqref="I10"/>
      <pageMargins left="0.7" right="0.7" top="0.75" bottom="0.75" header="0.3" footer="0.3"/>
      <pageSetup scale="99" orientation="landscape" r:id="rId5"/>
    </customSheetView>
  </customSheetViews>
  <phoneticPr fontId="30" type="noConversion"/>
  <pageMargins left="0.7" right="0.7" top="0.75" bottom="0.75" header="0.3" footer="0.3"/>
  <pageSetup scale="99" orientation="landscape"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133" customWidth="1"/>
    <col min="2" max="2" width="10.375" style="133" customWidth="1"/>
    <col min="3" max="16384" width="8" style="133"/>
  </cols>
  <sheetData>
    <row r="1" spans="1:4" s="131" customFormat="1" ht="30" customHeight="1">
      <c r="A1" s="927">
        <f>'Bid Form 2nd Envelope'!AB17</f>
        <v>0</v>
      </c>
      <c r="B1" s="927"/>
    </row>
    <row r="2" spans="1:4" s="131" customFormat="1" ht="30" customHeight="1">
      <c r="A2" s="132"/>
    </row>
    <row r="3" spans="1:4">
      <c r="A3" s="132"/>
    </row>
    <row r="4" spans="1:4">
      <c r="A4" s="130" t="str">
        <f>IF(OR((A1&gt;9999999999),(A1&lt;0)),"Invalid Entry - More than 1000 crore OR -ve value",IF(A1=0, "Rs. Zero Only ",+CONCATENATE("Rs. ", B11,D11,B10,D10,B9,D9,B8,D8,B7,D7,B6," Only")))</f>
        <v xml:space="preserve">Rs. Zero Only </v>
      </c>
    </row>
    <row r="5" spans="1:4">
      <c r="A5" s="132"/>
    </row>
    <row r="6" spans="1:4">
      <c r="A6" s="129">
        <f>-INT(A1/100)*100+ROUND(A1,0)</f>
        <v>0</v>
      </c>
      <c r="B6" s="133" t="str">
        <f t="shared" ref="B6:B11" si="0">IF(A6=0,"",LOOKUP(A6,$A$13:$A$112,$B$13:$B$112))</f>
        <v/>
      </c>
      <c r="D6" s="130"/>
    </row>
    <row r="7" spans="1:4">
      <c r="A7" s="129">
        <f>-INT(A1/1000)*10+INT(A1/100)</f>
        <v>0</v>
      </c>
      <c r="B7" s="133" t="str">
        <f t="shared" si="0"/>
        <v/>
      </c>
      <c r="D7" s="130" t="str">
        <f>+IF(B7="",""," Hundred ")</f>
        <v/>
      </c>
    </row>
    <row r="8" spans="1:4">
      <c r="A8" s="129">
        <f>-INT(A1/100000)*100+INT(A1/1000)</f>
        <v>0</v>
      </c>
      <c r="B8" s="133" t="str">
        <f t="shared" si="0"/>
        <v/>
      </c>
      <c r="D8" s="130" t="str">
        <f>IF((B8=""),IF(C8="",""," Thousand ")," Thousand ")</f>
        <v/>
      </c>
    </row>
    <row r="9" spans="1:4">
      <c r="A9" s="129">
        <f>-INT(A1/10000000)*100+INT(A1/100000)</f>
        <v>0</v>
      </c>
      <c r="B9" s="133" t="str">
        <f t="shared" si="0"/>
        <v/>
      </c>
      <c r="D9" s="130" t="str">
        <f>IF((B9=""),IF(C9="",""," Lac ")," Lac ")</f>
        <v/>
      </c>
    </row>
    <row r="10" spans="1:4">
      <c r="A10" s="129">
        <f>-INT(A1/1000000000)*100+INT(A1/10000000)</f>
        <v>0</v>
      </c>
      <c r="B10" s="134" t="str">
        <f t="shared" si="0"/>
        <v/>
      </c>
      <c r="D10" s="130" t="str">
        <f>IF((B10=""),IF(C10="",""," Crore ")," Crore ")</f>
        <v/>
      </c>
    </row>
    <row r="11" spans="1:4">
      <c r="A11" s="135">
        <f>-INT(A1/10000000000)*1000+INT(A1/1000000000)</f>
        <v>0</v>
      </c>
      <c r="B11" s="134" t="str">
        <f t="shared" si="0"/>
        <v/>
      </c>
      <c r="D11" s="130" t="str">
        <f>IF((B11=""),IF(C11="",""," Hundred ")," Hundred ")</f>
        <v/>
      </c>
    </row>
    <row r="13" spans="1:4">
      <c r="A13" s="136">
        <v>1</v>
      </c>
      <c r="B13" s="137" t="s">
        <v>17</v>
      </c>
    </row>
    <row r="14" spans="1:4">
      <c r="A14" s="136">
        <v>2</v>
      </c>
      <c r="B14" s="137" t="s">
        <v>18</v>
      </c>
    </row>
    <row r="15" spans="1:4">
      <c r="A15" s="136">
        <v>3</v>
      </c>
      <c r="B15" s="137" t="s">
        <v>19</v>
      </c>
    </row>
    <row r="16" spans="1:4">
      <c r="A16" s="136">
        <v>4</v>
      </c>
      <c r="B16" s="137" t="s">
        <v>20</v>
      </c>
    </row>
    <row r="17" spans="1:2">
      <c r="A17" s="136">
        <v>5</v>
      </c>
      <c r="B17" s="137" t="s">
        <v>21</v>
      </c>
    </row>
    <row r="18" spans="1:2">
      <c r="A18" s="136">
        <v>6</v>
      </c>
      <c r="B18" s="137" t="s">
        <v>22</v>
      </c>
    </row>
    <row r="19" spans="1:2">
      <c r="A19" s="136">
        <v>7</v>
      </c>
      <c r="B19" s="137" t="s">
        <v>23</v>
      </c>
    </row>
    <row r="20" spans="1:2">
      <c r="A20" s="136">
        <v>8</v>
      </c>
      <c r="B20" s="137" t="s">
        <v>24</v>
      </c>
    </row>
    <row r="21" spans="1:2">
      <c r="A21" s="136">
        <v>9</v>
      </c>
      <c r="B21" s="137" t="s">
        <v>25</v>
      </c>
    </row>
    <row r="22" spans="1:2">
      <c r="A22" s="136">
        <v>10</v>
      </c>
      <c r="B22" s="137" t="s">
        <v>26</v>
      </c>
    </row>
    <row r="23" spans="1:2">
      <c r="A23" s="136">
        <v>11</v>
      </c>
      <c r="B23" s="137" t="s">
        <v>27</v>
      </c>
    </row>
    <row r="24" spans="1:2">
      <c r="A24" s="136">
        <v>12</v>
      </c>
      <c r="B24" s="137" t="s">
        <v>28</v>
      </c>
    </row>
    <row r="25" spans="1:2">
      <c r="A25" s="136">
        <v>13</v>
      </c>
      <c r="B25" s="137" t="s">
        <v>29</v>
      </c>
    </row>
    <row r="26" spans="1:2">
      <c r="A26" s="136">
        <v>14</v>
      </c>
      <c r="B26" s="137" t="s">
        <v>30</v>
      </c>
    </row>
    <row r="27" spans="1:2">
      <c r="A27" s="136">
        <v>15</v>
      </c>
      <c r="B27" s="137" t="s">
        <v>31</v>
      </c>
    </row>
    <row r="28" spans="1:2">
      <c r="A28" s="136">
        <v>16</v>
      </c>
      <c r="B28" s="137" t="s">
        <v>32</v>
      </c>
    </row>
    <row r="29" spans="1:2">
      <c r="A29" s="136">
        <v>17</v>
      </c>
      <c r="B29" s="137" t="s">
        <v>33</v>
      </c>
    </row>
    <row r="30" spans="1:2">
      <c r="A30" s="136">
        <v>18</v>
      </c>
      <c r="B30" s="137" t="s">
        <v>34</v>
      </c>
    </row>
    <row r="31" spans="1:2">
      <c r="A31" s="136">
        <v>19</v>
      </c>
      <c r="B31" s="137" t="s">
        <v>35</v>
      </c>
    </row>
    <row r="32" spans="1:2">
      <c r="A32" s="136">
        <v>20</v>
      </c>
      <c r="B32" s="137" t="s">
        <v>36</v>
      </c>
    </row>
    <row r="33" spans="1:2">
      <c r="A33" s="136">
        <v>21</v>
      </c>
      <c r="B33" s="137" t="s">
        <v>38</v>
      </c>
    </row>
    <row r="34" spans="1:2">
      <c r="A34" s="136">
        <v>22</v>
      </c>
      <c r="B34" s="137" t="s">
        <v>37</v>
      </c>
    </row>
    <row r="35" spans="1:2">
      <c r="A35" s="136">
        <v>23</v>
      </c>
      <c r="B35" s="137" t="s">
        <v>39</v>
      </c>
    </row>
    <row r="36" spans="1:2">
      <c r="A36" s="136">
        <v>24</v>
      </c>
      <c r="B36" s="137" t="s">
        <v>40</v>
      </c>
    </row>
    <row r="37" spans="1:2">
      <c r="A37" s="136">
        <v>25</v>
      </c>
      <c r="B37" s="137" t="s">
        <v>42</v>
      </c>
    </row>
    <row r="38" spans="1:2">
      <c r="A38" s="136">
        <v>26</v>
      </c>
      <c r="B38" s="137" t="s">
        <v>41</v>
      </c>
    </row>
    <row r="39" spans="1:2">
      <c r="A39" s="136">
        <v>27</v>
      </c>
      <c r="B39" s="137" t="s">
        <v>43</v>
      </c>
    </row>
    <row r="40" spans="1:2">
      <c r="A40" s="136">
        <v>28</v>
      </c>
      <c r="B40" s="137" t="s">
        <v>44</v>
      </c>
    </row>
    <row r="41" spans="1:2">
      <c r="A41" s="136">
        <v>29</v>
      </c>
      <c r="B41" s="137" t="s">
        <v>45</v>
      </c>
    </row>
    <row r="42" spans="1:2">
      <c r="A42" s="136">
        <v>30</v>
      </c>
      <c r="B42" s="137" t="s">
        <v>46</v>
      </c>
    </row>
    <row r="43" spans="1:2">
      <c r="A43" s="136">
        <v>31</v>
      </c>
      <c r="B43" s="137" t="s">
        <v>47</v>
      </c>
    </row>
    <row r="44" spans="1:2">
      <c r="A44" s="136">
        <v>32</v>
      </c>
      <c r="B44" s="137" t="s">
        <v>48</v>
      </c>
    </row>
    <row r="45" spans="1:2">
      <c r="A45" s="136">
        <v>33</v>
      </c>
      <c r="B45" s="137" t="s">
        <v>49</v>
      </c>
    </row>
    <row r="46" spans="1:2">
      <c r="A46" s="136">
        <v>34</v>
      </c>
      <c r="B46" s="137" t="s">
        <v>50</v>
      </c>
    </row>
    <row r="47" spans="1:2">
      <c r="A47" s="136">
        <v>35</v>
      </c>
      <c r="B47" s="137" t="s">
        <v>51</v>
      </c>
    </row>
    <row r="48" spans="1:2">
      <c r="A48" s="136">
        <v>36</v>
      </c>
      <c r="B48" s="137" t="s">
        <v>52</v>
      </c>
    </row>
    <row r="49" spans="1:2">
      <c r="A49" s="136">
        <v>37</v>
      </c>
      <c r="B49" s="137" t="s">
        <v>53</v>
      </c>
    </row>
    <row r="50" spans="1:2">
      <c r="A50" s="136">
        <v>38</v>
      </c>
      <c r="B50" s="137" t="s">
        <v>54</v>
      </c>
    </row>
    <row r="51" spans="1:2">
      <c r="A51" s="136">
        <v>39</v>
      </c>
      <c r="B51" s="137" t="s">
        <v>55</v>
      </c>
    </row>
    <row r="52" spans="1:2">
      <c r="A52" s="136">
        <v>40</v>
      </c>
      <c r="B52" s="137" t="s">
        <v>56</v>
      </c>
    </row>
    <row r="53" spans="1:2">
      <c r="A53" s="136">
        <v>41</v>
      </c>
      <c r="B53" s="137" t="s">
        <v>57</v>
      </c>
    </row>
    <row r="54" spans="1:2">
      <c r="A54" s="136">
        <v>42</v>
      </c>
      <c r="B54" s="137" t="s">
        <v>58</v>
      </c>
    </row>
    <row r="55" spans="1:2">
      <c r="A55" s="136">
        <v>43</v>
      </c>
      <c r="B55" s="137" t="s">
        <v>59</v>
      </c>
    </row>
    <row r="56" spans="1:2">
      <c r="A56" s="136">
        <v>44</v>
      </c>
      <c r="B56" s="137" t="s">
        <v>60</v>
      </c>
    </row>
    <row r="57" spans="1:2">
      <c r="A57" s="136">
        <v>45</v>
      </c>
      <c r="B57" s="137" t="s">
        <v>61</v>
      </c>
    </row>
    <row r="58" spans="1:2">
      <c r="A58" s="136">
        <v>46</v>
      </c>
      <c r="B58" s="137" t="s">
        <v>62</v>
      </c>
    </row>
    <row r="59" spans="1:2">
      <c r="A59" s="136">
        <v>47</v>
      </c>
      <c r="B59" s="137" t="s">
        <v>63</v>
      </c>
    </row>
    <row r="60" spans="1:2">
      <c r="A60" s="136">
        <v>48</v>
      </c>
      <c r="B60" s="137" t="s">
        <v>64</v>
      </c>
    </row>
    <row r="61" spans="1:2">
      <c r="A61" s="136">
        <v>49</v>
      </c>
      <c r="B61" s="137" t="s">
        <v>65</v>
      </c>
    </row>
    <row r="62" spans="1:2">
      <c r="A62" s="136">
        <v>50</v>
      </c>
      <c r="B62" s="137" t="s">
        <v>66</v>
      </c>
    </row>
    <row r="63" spans="1:2">
      <c r="A63" s="136">
        <v>51</v>
      </c>
      <c r="B63" s="137" t="s">
        <v>67</v>
      </c>
    </row>
    <row r="64" spans="1:2">
      <c r="A64" s="136">
        <v>52</v>
      </c>
      <c r="B64" s="137" t="s">
        <v>68</v>
      </c>
    </row>
    <row r="65" spans="1:2">
      <c r="A65" s="136">
        <v>53</v>
      </c>
      <c r="B65" s="137" t="s">
        <v>69</v>
      </c>
    </row>
    <row r="66" spans="1:2">
      <c r="A66" s="136">
        <v>54</v>
      </c>
      <c r="B66" s="137" t="s">
        <v>70</v>
      </c>
    </row>
    <row r="67" spans="1:2">
      <c r="A67" s="136">
        <v>55</v>
      </c>
      <c r="B67" s="137" t="s">
        <v>71</v>
      </c>
    </row>
    <row r="68" spans="1:2">
      <c r="A68" s="136">
        <v>56</v>
      </c>
      <c r="B68" s="137" t="s">
        <v>72</v>
      </c>
    </row>
    <row r="69" spans="1:2">
      <c r="A69" s="136">
        <v>57</v>
      </c>
      <c r="B69" s="137" t="s">
        <v>73</v>
      </c>
    </row>
    <row r="70" spans="1:2">
      <c r="A70" s="136">
        <v>58</v>
      </c>
      <c r="B70" s="137" t="s">
        <v>74</v>
      </c>
    </row>
    <row r="71" spans="1:2">
      <c r="A71" s="136">
        <v>59</v>
      </c>
      <c r="B71" s="137" t="s">
        <v>75</v>
      </c>
    </row>
    <row r="72" spans="1:2">
      <c r="A72" s="136">
        <v>60</v>
      </c>
      <c r="B72" s="137" t="s">
        <v>76</v>
      </c>
    </row>
    <row r="73" spans="1:2">
      <c r="A73" s="136">
        <v>61</v>
      </c>
      <c r="B73" s="137" t="s">
        <v>77</v>
      </c>
    </row>
    <row r="74" spans="1:2">
      <c r="A74" s="136">
        <v>62</v>
      </c>
      <c r="B74" s="137" t="s">
        <v>78</v>
      </c>
    </row>
    <row r="75" spans="1:2">
      <c r="A75" s="136">
        <v>63</v>
      </c>
      <c r="B75" s="137" t="s">
        <v>79</v>
      </c>
    </row>
    <row r="76" spans="1:2">
      <c r="A76" s="136">
        <v>64</v>
      </c>
      <c r="B76" s="137" t="s">
        <v>80</v>
      </c>
    </row>
    <row r="77" spans="1:2">
      <c r="A77" s="136">
        <v>65</v>
      </c>
      <c r="B77" s="137" t="s">
        <v>81</v>
      </c>
    </row>
    <row r="78" spans="1:2">
      <c r="A78" s="136">
        <v>66</v>
      </c>
      <c r="B78" s="137" t="s">
        <v>82</v>
      </c>
    </row>
    <row r="79" spans="1:2">
      <c r="A79" s="136">
        <v>67</v>
      </c>
      <c r="B79" s="137" t="s">
        <v>83</v>
      </c>
    </row>
    <row r="80" spans="1:2">
      <c r="A80" s="136">
        <v>68</v>
      </c>
      <c r="B80" s="137" t="s">
        <v>84</v>
      </c>
    </row>
    <row r="81" spans="1:2">
      <c r="A81" s="136">
        <v>69</v>
      </c>
      <c r="B81" s="137" t="s">
        <v>85</v>
      </c>
    </row>
    <row r="82" spans="1:2">
      <c r="A82" s="136">
        <v>70</v>
      </c>
      <c r="B82" s="137" t="s">
        <v>86</v>
      </c>
    </row>
    <row r="83" spans="1:2">
      <c r="A83" s="136">
        <v>71</v>
      </c>
      <c r="B83" s="137" t="s">
        <v>87</v>
      </c>
    </row>
    <row r="84" spans="1:2">
      <c r="A84" s="136">
        <v>72</v>
      </c>
      <c r="B84" s="137" t="s">
        <v>88</v>
      </c>
    </row>
    <row r="85" spans="1:2">
      <c r="A85" s="136">
        <v>73</v>
      </c>
      <c r="B85" s="137" t="s">
        <v>89</v>
      </c>
    </row>
    <row r="86" spans="1:2">
      <c r="A86" s="136">
        <v>74</v>
      </c>
      <c r="B86" s="137" t="s">
        <v>90</v>
      </c>
    </row>
    <row r="87" spans="1:2">
      <c r="A87" s="136">
        <v>75</v>
      </c>
      <c r="B87" s="137" t="s">
        <v>91</v>
      </c>
    </row>
    <row r="88" spans="1:2">
      <c r="A88" s="136">
        <v>76</v>
      </c>
      <c r="B88" s="137" t="s">
        <v>92</v>
      </c>
    </row>
    <row r="89" spans="1:2">
      <c r="A89" s="136">
        <v>77</v>
      </c>
      <c r="B89" s="137" t="s">
        <v>93</v>
      </c>
    </row>
    <row r="90" spans="1:2">
      <c r="A90" s="136">
        <v>78</v>
      </c>
      <c r="B90" s="137" t="s">
        <v>94</v>
      </c>
    </row>
    <row r="91" spans="1:2">
      <c r="A91" s="136">
        <v>79</v>
      </c>
      <c r="B91" s="137" t="s">
        <v>95</v>
      </c>
    </row>
    <row r="92" spans="1:2">
      <c r="A92" s="136">
        <v>80</v>
      </c>
      <c r="B92" s="137" t="s">
        <v>96</v>
      </c>
    </row>
    <row r="93" spans="1:2">
      <c r="A93" s="136">
        <v>81</v>
      </c>
      <c r="B93" s="137" t="s">
        <v>97</v>
      </c>
    </row>
    <row r="94" spans="1:2">
      <c r="A94" s="136">
        <v>82</v>
      </c>
      <c r="B94" s="137" t="s">
        <v>98</v>
      </c>
    </row>
    <row r="95" spans="1:2">
      <c r="A95" s="136">
        <v>83</v>
      </c>
      <c r="B95" s="137" t="s">
        <v>99</v>
      </c>
    </row>
    <row r="96" spans="1:2">
      <c r="A96" s="136">
        <v>84</v>
      </c>
      <c r="B96" s="137" t="s">
        <v>100</v>
      </c>
    </row>
    <row r="97" spans="1:2">
      <c r="A97" s="136">
        <v>85</v>
      </c>
      <c r="B97" s="137" t="s">
        <v>101</v>
      </c>
    </row>
    <row r="98" spans="1:2">
      <c r="A98" s="136">
        <v>86</v>
      </c>
      <c r="B98" s="137" t="s">
        <v>102</v>
      </c>
    </row>
    <row r="99" spans="1:2">
      <c r="A99" s="136">
        <v>87</v>
      </c>
      <c r="B99" s="137" t="s">
        <v>103</v>
      </c>
    </row>
    <row r="100" spans="1:2">
      <c r="A100" s="136">
        <v>88</v>
      </c>
      <c r="B100" s="137" t="s">
        <v>104</v>
      </c>
    </row>
    <row r="101" spans="1:2">
      <c r="A101" s="136">
        <v>89</v>
      </c>
      <c r="B101" s="137" t="s">
        <v>105</v>
      </c>
    </row>
    <row r="102" spans="1:2">
      <c r="A102" s="136">
        <v>90</v>
      </c>
      <c r="B102" s="137" t="s">
        <v>106</v>
      </c>
    </row>
    <row r="103" spans="1:2">
      <c r="A103" s="136">
        <v>91</v>
      </c>
      <c r="B103" s="137" t="s">
        <v>107</v>
      </c>
    </row>
    <row r="104" spans="1:2">
      <c r="A104" s="136">
        <v>92</v>
      </c>
      <c r="B104" s="137" t="s">
        <v>108</v>
      </c>
    </row>
    <row r="105" spans="1:2">
      <c r="A105" s="136">
        <v>93</v>
      </c>
      <c r="B105" s="137" t="s">
        <v>109</v>
      </c>
    </row>
    <row r="106" spans="1:2">
      <c r="A106" s="136">
        <v>94</v>
      </c>
      <c r="B106" s="137" t="s">
        <v>110</v>
      </c>
    </row>
    <row r="107" spans="1:2">
      <c r="A107" s="136">
        <v>95</v>
      </c>
      <c r="B107" s="137" t="s">
        <v>111</v>
      </c>
    </row>
    <row r="108" spans="1:2">
      <c r="A108" s="136">
        <v>96</v>
      </c>
      <c r="B108" s="137" t="s">
        <v>112</v>
      </c>
    </row>
    <row r="109" spans="1:2">
      <c r="A109" s="136">
        <v>97</v>
      </c>
      <c r="B109" s="137" t="s">
        <v>113</v>
      </c>
    </row>
    <row r="110" spans="1:2">
      <c r="A110" s="136">
        <v>98</v>
      </c>
      <c r="B110" s="137" t="s">
        <v>114</v>
      </c>
    </row>
    <row r="111" spans="1:2">
      <c r="A111" s="136">
        <v>99</v>
      </c>
      <c r="B111" s="137" t="s">
        <v>115</v>
      </c>
    </row>
    <row r="112" spans="1:2">
      <c r="A112" s="136">
        <v>100</v>
      </c>
      <c r="B112" s="137" t="s">
        <v>116</v>
      </c>
    </row>
  </sheetData>
  <sheetProtection password="E848" sheet="1" objects="1" selectLockedCells="1" selectUnlockedCells="1"/>
  <customSheetViews>
    <customSheetView guid="{9CA44E70-650F-49CD-967F-298619682CA2}" state="hidden">
      <selection activeCell="E8" sqref="E8"/>
      <pageMargins left="0.75" right="0.75" top="1" bottom="1" header="0.5" footer="0.5"/>
      <pageSetup orientation="portrait" r:id="rId1"/>
      <headerFooter alignWithMargins="0"/>
    </customSheetView>
    <customSheetView guid="{C39F923C-6CD3-45D8-86F8-6C4D806DDD7E}" state="hidden">
      <selection activeCell="E8" sqref="E8"/>
      <pageMargins left="0.75" right="0.75" top="1" bottom="1" header="0.5" footer="0.5"/>
      <pageSetup orientation="portrait" r:id="rId2"/>
      <headerFooter alignWithMargins="0"/>
    </customSheetView>
    <customSheetView guid="{B1277D53-29D6-4226-81E2-084FB62977B6}" state="hidden">
      <selection activeCell="E8" sqref="E8"/>
      <pageMargins left="0.75" right="0.75" top="1" bottom="1" header="0.5" footer="0.5"/>
      <pageSetup orientation="portrait" r:id="rId3"/>
      <headerFooter alignWithMargins="0"/>
    </customSheetView>
    <customSheetView guid="{58D82F59-8CF6-455F-B9F4-081499FDF243}" state="hidden">
      <selection activeCell="E8" sqref="E8"/>
      <pageMargins left="0.75" right="0.75" top="1" bottom="1" header="0.5" footer="0.5"/>
      <pageSetup orientation="portrait" r:id="rId4"/>
      <headerFooter alignWithMargins="0"/>
    </customSheetView>
    <customSheetView guid="{696D9240-6693-44E8-B9A4-2BFADD101EE2}" state="hidden">
      <selection activeCell="E8" sqref="E8"/>
      <pageMargins left="0.75" right="0.75" top="1" bottom="1" header="0.5" footer="0.5"/>
      <pageSetup orientation="portrait" r:id="rId5"/>
      <headerFooter alignWithMargins="0"/>
    </customSheetView>
    <customSheetView guid="{B0EE7D76-5806-4718-BDAD-3A3EA691E5E4}" state="hidden">
      <selection activeCell="E8" sqref="E8"/>
      <pageMargins left="0.75" right="0.75" top="1" bottom="1" header="0.5" footer="0.5"/>
      <pageSetup orientation="portrait" r:id="rId6"/>
      <headerFooter alignWithMargins="0"/>
    </customSheetView>
    <customSheetView guid="{E95B21C1-D936-4435-AF6F-90CF0B6A7506}" state="hidden">
      <selection activeCell="E8" sqref="E8"/>
      <pageMargins left="0.75" right="0.75" top="1" bottom="1" header="0.5" footer="0.5"/>
      <pageSetup orientation="portrait" r:id="rId7"/>
      <headerFooter alignWithMargins="0"/>
    </customSheetView>
    <customSheetView guid="{08A645C4-A23F-4400-B0CE-1685BC312A6F}" state="hidden">
      <selection activeCell="E8" sqref="E8"/>
      <pageMargins left="0.75" right="0.75" top="1" bottom="1" header="0.5" footer="0.5"/>
      <pageSetup orientation="portrait" r:id="rId8"/>
      <headerFooter alignWithMargins="0"/>
    </customSheetView>
  </customSheetViews>
  <mergeCells count="1">
    <mergeCell ref="A1:B1"/>
  </mergeCells>
  <phoneticPr fontId="3" type="noConversion"/>
  <pageMargins left="0.75" right="0.75" top="1" bottom="1" header="0.5" footer="0.5"/>
  <pageSetup orientation="portrait"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29</vt:i4>
      </vt:variant>
    </vt:vector>
  </HeadingPairs>
  <TitlesOfParts>
    <vt:vector size="51" baseType="lpstr">
      <vt:lpstr>Basic Data</vt:lpstr>
      <vt:lpstr>Cover</vt:lpstr>
      <vt:lpstr>Instructions</vt:lpstr>
      <vt:lpstr>Names of Bidder</vt:lpstr>
      <vt:lpstr>Sch-1</vt:lpstr>
      <vt:lpstr>Sch-1 Dis</vt:lpstr>
      <vt:lpstr>Sch-2</vt:lpstr>
      <vt:lpstr>Sch-2 Dis</vt:lpstr>
      <vt:lpstr>Sch-3 </vt:lpstr>
      <vt:lpstr>Sch-4</vt:lpstr>
      <vt:lpstr>Sch-4 Dis</vt:lpstr>
      <vt:lpstr>Sch-5</vt:lpstr>
      <vt:lpstr>Sch-5 After Discount</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Instructions!Print_Area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Udugundla Harish {उदुगुन्ड्ला हरीश}</cp:lastModifiedBy>
  <cp:lastPrinted>2021-04-16T07:22:27Z</cp:lastPrinted>
  <dcterms:created xsi:type="dcterms:W3CDTF">2001-07-26T10:23:15Z</dcterms:created>
  <dcterms:modified xsi:type="dcterms:W3CDTF">2023-12-26T06:27:34Z</dcterms:modified>
</cp:coreProperties>
</file>