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updateLinks="never" codeName="ThisWorkbook" defaultThemeVersion="124226"/>
  <mc:AlternateContent xmlns:mc="http://schemas.openxmlformats.org/markup-compatibility/2006">
    <mc:Choice Requires="x15">
      <x15ac:absPath xmlns:x15ac="http://schemas.microsoft.com/office/spreadsheetml/2010/11/ac" url="https://powergrid1989-my.sharepoint.com/personal/nr2_powergrid_in/Documents/RHQ/NR2-C&amp;M/Others/PACKAGES ALL/2025 CS/CS-105(25) Augmentation Samba/Extension/Ext 2/"/>
    </mc:Choice>
  </mc:AlternateContent>
  <xr:revisionPtr revIDLastSave="592" documentId="10_ncr:80_{E521EC56-D4F0-4BFC-94DC-76DC1D841A84}" xr6:coauthVersionLast="47" xr6:coauthVersionMax="47" xr10:uidLastSave="{333EF7BD-3798-4773-AFD5-1754D20EFB87}"/>
  <workbookProtection workbookAlgorithmName="SHA-512" workbookHashValue="M/VwvZN4hjOTrAfheF+XUnC5Lc3QGvyh7RaAROYQGy4+q/KcH/DxkLTXBgdatMxvX9ZnSXvTAI/v+6dsLUZ54Q==" workbookSaltValue="VuDfvnv6AuAS4ef2he1qEw==" workbookSpinCount="100000" lockStructure="1"/>
  <bookViews>
    <workbookView xWindow="-120" yWindow="-120" windowWidth="29040" windowHeight="15720" tabRatio="664" firstSheet="1" activeTab="5"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'Sch-1'!$A$18:$IV$72</definedName>
    <definedName name="_xlnm._FilterDatabase" localSheetId="5" hidden="1">'Sch-2'!$A$16:$AF$72</definedName>
    <definedName name="_xlnm._FilterDatabase" localSheetId="6" hidden="1">'Sch-3'!$A$17:$IN$17</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'Sch-1'!$A$1:$N$81</definedName>
    <definedName name="_xlnm.Print_Area" localSheetId="5">'Sch-2'!$A$1:$J$78</definedName>
    <definedName name="_xlnm.Print_Area" localSheetId="6">'Sch-3'!$A$1:$P$95</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'Sch-1'!$A$18:$IV$72</definedName>
    <definedName name="Z_1211E1B9_FC37_4364_9CF0_0FFC01866726_.wvu.FilterData" localSheetId="5" hidden="1">'Sch-2'!$A$16:$AF$72</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'Sch-1'!$A$1:$N$81</definedName>
    <definedName name="Z_1211E1B9_FC37_4364_9CF0_0FFC01866726_.wvu.PrintArea" localSheetId="5" hidden="1">'Sch-2'!$A$1:$J$78</definedName>
    <definedName name="Z_1211E1B9_FC37_4364_9CF0_0FFC01866726_.wvu.PrintArea" localSheetId="6" hidden="1">'Sch-3'!$A$1:$P$95</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'Sch-1'!$16:$77</definedName>
    <definedName name="Z_18EA11B4_BD82_47BF_99FA_7AB19BF74D0B_.wvu.FilterData" localSheetId="5" hidden="1">'Sch-2'!$A$16:$AF$75</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'Sch-1'!$A$1:$N$81</definedName>
    <definedName name="Z_18EA11B4_BD82_47BF_99FA_7AB19BF74D0B_.wvu.PrintArea" localSheetId="5" hidden="1">'Sch-2'!$A$1:$J$78</definedName>
    <definedName name="Z_18EA11B4_BD82_47BF_99FA_7AB19BF74D0B_.wvu.PrintArea" localSheetId="6" hidden="1">'Sch-3'!$A$1:$P$95</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'Sch-1'!$C$1:$C$77</definedName>
    <definedName name="Z_357C9841_BEC3_434B_AC63_C04FB4321BA3_.wvu.FilterData" localSheetId="5" hidden="1">'Sch-2'!$C$1:$C$80</definedName>
    <definedName name="Z_357C9841_BEC3_434B_AC63_C04FB4321BA3_.wvu.FilterData" localSheetId="6" hidden="1">'Sch-3'!$C$1:$C$97</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'Sch-1'!$A$1:$N$81</definedName>
    <definedName name="Z_357C9841_BEC3_434B_AC63_C04FB4321BA3_.wvu.PrintArea" localSheetId="5" hidden="1">'Sch-2'!$A$1:$J$80</definedName>
    <definedName name="Z_357C9841_BEC3_434B_AC63_C04FB4321BA3_.wvu.PrintArea" localSheetId="6" hidden="1">'Sch-3'!$A$1:$P$97</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'Sch-1'!$C$1:$C$77</definedName>
    <definedName name="Z_3C00DDA0_7DDE_4169_A739_550DAF5DCF8D_.wvu.FilterData" localSheetId="5" hidden="1">'Sch-2'!$C$1:$C$80</definedName>
    <definedName name="Z_3C00DDA0_7DDE_4169_A739_550DAF5DCF8D_.wvu.FilterData" localSheetId="6" hidden="1">'Sch-3'!$C$1:$C$97</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'Sch-1'!$A$1:$N$81</definedName>
    <definedName name="Z_3C00DDA0_7DDE_4169_A739_550DAF5DCF8D_.wvu.PrintArea" localSheetId="5" hidden="1">'Sch-2'!$A$1:$J$80</definedName>
    <definedName name="Z_3C00DDA0_7DDE_4169_A739_550DAF5DCF8D_.wvu.PrintArea" localSheetId="6" hidden="1">'Sch-3'!$A$1:$P$97</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'Sch-1'!$C$1:$C$77</definedName>
    <definedName name="Z_63D51328_7CBC_4A1E_B96D_BAE91416501B_.wvu.FilterData" localSheetId="5" hidden="1">'Sch-2'!$C$1:$C$80</definedName>
    <definedName name="Z_63D51328_7CBC_4A1E_B96D_BAE91416501B_.wvu.FilterData" localSheetId="6" hidden="1">'Sch-3'!$C$1:$C$97</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'Sch-1'!$A$1:$N$81</definedName>
    <definedName name="Z_63D51328_7CBC_4A1E_B96D_BAE91416501B_.wvu.PrintArea" localSheetId="5" hidden="1">'Sch-2'!$A$1:$J$80</definedName>
    <definedName name="Z_63D51328_7CBC_4A1E_B96D_BAE91416501B_.wvu.PrintArea" localSheetId="6" hidden="1">'Sch-3'!$A$1:$P$97</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Bidder'!$I:$N</definedName>
    <definedName name="Z_889C3D82_0A24_4765_A688_A80A782F5056_.wvu.Cols" localSheetId="21" hidden="1">'N-W (Cr.)'!$A:$O,'N-W (Cr.)'!$T:$DL</definedName>
    <definedName name="Z_889C3D82_0A24_4765_A688_A80A782F5056_.wvu.Cols" localSheetId="4" hidden="1">'Sch-1'!$O:$T,'Sch-1'!$V:$AM</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'Sch-1'!$A$18:$IV$72</definedName>
    <definedName name="Z_889C3D82_0A24_4765_A688_A80A782F5056_.wvu.FilterData" localSheetId="5" hidden="1">'Sch-2'!$A$16:$AF$72</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'Sch-1'!$A$1:$N$81</definedName>
    <definedName name="Z_889C3D82_0A24_4765_A688_A80A782F5056_.wvu.PrintArea" localSheetId="5" hidden="1">'Sch-2'!$A$1:$J$78</definedName>
    <definedName name="Z_889C3D82_0A24_4765_A688_A80A782F5056_.wvu.PrintArea" localSheetId="6" hidden="1">'Sch-3'!$A$1:$P$95</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'Sch-1'!$A$18:$IV$77</definedName>
    <definedName name="Z_89CB4E6A_722E_4E39_885D_E2A6D0D08321_.wvu.FilterData" localSheetId="5" hidden="1">'Sch-2'!$A$16:$AF$72</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'Sch-1'!$A$1:$N$81</definedName>
    <definedName name="Z_89CB4E6A_722E_4E39_885D_E2A6D0D08321_.wvu.PrintArea" localSheetId="5" hidden="1">'Sch-2'!$A$1:$J$78</definedName>
    <definedName name="Z_89CB4E6A_722E_4E39_885D_E2A6D0D08321_.wvu.PrintArea" localSheetId="6" hidden="1">'Sch-3'!$A$1:$P$95</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'Sch-1'!$16:$77</definedName>
    <definedName name="Z_915C64AD_BD67_44F0_9117_5B9D998BA799_.wvu.FilterData" localSheetId="5" hidden="1">'Sch-2'!$A$16:$AF$75</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'Sch-1'!$A$1:$N$81</definedName>
    <definedName name="Z_915C64AD_BD67_44F0_9117_5B9D998BA799_.wvu.PrintArea" localSheetId="5" hidden="1">'Sch-2'!$A$1:$J$78</definedName>
    <definedName name="Z_915C64AD_BD67_44F0_9117_5B9D998BA799_.wvu.PrintArea" localSheetId="6" hidden="1">'Sch-3'!$A$1:$P$95</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'Sch-1'!$16:$77</definedName>
    <definedName name="Z_99CA2F10_F926_46DC_8609_4EAE5B9F3585_.wvu.FilterData" localSheetId="5" hidden="1">'Sch-2'!$A$16:$AF$75</definedName>
    <definedName name="Z_99CA2F10_F926_46DC_8609_4EAE5B9F3585_.wvu.FilterData" localSheetId="6" hidden="1">'Sch-3'!$A$16:$AE$89</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'Sch-1'!$A$1:$N$81</definedName>
    <definedName name="Z_99CA2F10_F926_46DC_8609_4EAE5B9F3585_.wvu.PrintArea" localSheetId="5" hidden="1">'Sch-2'!$A$1:$J$78</definedName>
    <definedName name="Z_99CA2F10_F926_46DC_8609_4EAE5B9F3585_.wvu.PrintArea" localSheetId="6" hidden="1">'Sch-3'!$A$1:$P$95</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'Sch-1'!$16:$77</definedName>
    <definedName name="Z_A58DB4DF_40C7_4BEB_B85E_6BD6F54941CF_.wvu.FilterData" localSheetId="5" hidden="1">'Sch-2'!$A$16:$AF$75</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'Sch-1'!$A$1:$N$81</definedName>
    <definedName name="Z_A58DB4DF_40C7_4BEB_B85E_6BD6F54941CF_.wvu.PrintArea" localSheetId="5" hidden="1">'Sch-2'!$A$1:$J$78</definedName>
    <definedName name="Z_A58DB4DF_40C7_4BEB_B85E_6BD6F54941CF_.wvu.PrintArea" localSheetId="6" hidden="1">'Sch-3'!$A$1:$P$95</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'Sch-1'!$C$1:$C$77</definedName>
    <definedName name="Z_B96E710B_6DD7_4DE1_95AB_C9EE060CD030_.wvu.FilterData" localSheetId="5" hidden="1">'Sch-2'!$C$1:$C$80</definedName>
    <definedName name="Z_B96E710B_6DD7_4DE1_95AB_C9EE060CD030_.wvu.FilterData" localSheetId="6" hidden="1">'Sch-3'!$C$1:$C$97</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'Sch-1'!$A$1:$N$81</definedName>
    <definedName name="Z_B96E710B_6DD7_4DE1_95AB_C9EE060CD030_.wvu.PrintArea" localSheetId="5" hidden="1">'Sch-2'!$A$1:$J$80</definedName>
    <definedName name="Z_B96E710B_6DD7_4DE1_95AB_C9EE060CD030_.wvu.PrintArea" localSheetId="6" hidden="1">'Sch-3'!$A$1:$P$97</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497F4E0_7D3E_4065_935D_7086BE9276FE_.wvu.Cols" localSheetId="0" hidden="1">Basic!$I:$I</definedName>
    <definedName name="Z_C497F4E0_7D3E_4065_935D_7086BE9276FE_.wvu.Cols" localSheetId="18" hidden="1">'Bid Form 2nd Envelope'!$H:$AO</definedName>
    <definedName name="Z_C497F4E0_7D3E_4065_935D_7086BE9276FE_.wvu.Cols" localSheetId="14" hidden="1">Discount!$H:$L</definedName>
    <definedName name="Z_C497F4E0_7D3E_4065_935D_7086BE9276FE_.wvu.Cols" localSheetId="3" hidden="1">'Names of Bidder'!$G:$G,'Names of Bidder'!$I:$N</definedName>
    <definedName name="Z_C497F4E0_7D3E_4065_935D_7086BE9276FE_.wvu.Cols" localSheetId="21" hidden="1">'N-W (Cr.)'!$A:$O,'N-W (Cr.)'!$T:$DL</definedName>
    <definedName name="Z_C497F4E0_7D3E_4065_935D_7086BE9276FE_.wvu.Cols" localSheetId="4" hidden="1">'Sch-1'!$O:$T,'Sch-1'!$V:$AM</definedName>
    <definedName name="Z_C497F4E0_7D3E_4065_935D_7086BE9276FE_.wvu.Cols" localSheetId="6" hidden="1">'Sch-3'!$Q:$AB</definedName>
    <definedName name="Z_C497F4E0_7D3E_4065_935D_7086BE9276FE_.wvu.Cols" localSheetId="8" hidden="1">'Sch-5'!$F:$T</definedName>
    <definedName name="Z_C497F4E0_7D3E_4065_935D_7086BE9276FE_.wvu.Cols" localSheetId="12" hidden="1">'Sch-6 (After Discount)'!$E:$F</definedName>
    <definedName name="Z_C497F4E0_7D3E_4065_935D_7086BE9276FE_.wvu.Cols" localSheetId="13" hidden="1">'Sch-7'!$AA:$AG</definedName>
    <definedName name="Z_C497F4E0_7D3E_4065_935D_7086BE9276FE_.wvu.FilterData" localSheetId="4" hidden="1">'Sch-1'!$A$18:$IV$72</definedName>
    <definedName name="Z_C497F4E0_7D3E_4065_935D_7086BE9276FE_.wvu.FilterData" localSheetId="5" hidden="1">'Sch-2'!$A$16:$AF$72</definedName>
    <definedName name="Z_C497F4E0_7D3E_4065_935D_7086BE9276FE_.wvu.PrintArea" localSheetId="18" hidden="1">'Bid Form 2nd Envelope'!$A$1:$F$60</definedName>
    <definedName name="Z_C497F4E0_7D3E_4065_935D_7086BE9276FE_.wvu.PrintArea" localSheetId="1" hidden="1">Cover!$A$1:$F$15</definedName>
    <definedName name="Z_C497F4E0_7D3E_4065_935D_7086BE9276FE_.wvu.PrintArea" localSheetId="14" hidden="1">Discount!$A$2:$G$40</definedName>
    <definedName name="Z_C497F4E0_7D3E_4065_935D_7086BE9276FE_.wvu.PrintArea" localSheetId="16" hidden="1">'Entry Tax'!$A$1:$E$16</definedName>
    <definedName name="Z_C497F4E0_7D3E_4065_935D_7086BE9276FE_.wvu.PrintArea" localSheetId="2" hidden="1">Instructions!$A$1:$C$65</definedName>
    <definedName name="Z_C497F4E0_7D3E_4065_935D_7086BE9276FE_.wvu.PrintArea" localSheetId="3" hidden="1">'Names of Bidder'!$A$1:$F$23</definedName>
    <definedName name="Z_C497F4E0_7D3E_4065_935D_7086BE9276FE_.wvu.PrintArea" localSheetId="15" hidden="1">Octroi!$A$1:$E$16</definedName>
    <definedName name="Z_C497F4E0_7D3E_4065_935D_7086BE9276FE_.wvu.PrintArea" localSheetId="17" hidden="1">'Other Taxes &amp; Duties'!$A$1:$F$16</definedName>
    <definedName name="Z_C497F4E0_7D3E_4065_935D_7086BE9276FE_.wvu.PrintArea" localSheetId="4" hidden="1">'Sch-1'!$A$1:$N$81</definedName>
    <definedName name="Z_C497F4E0_7D3E_4065_935D_7086BE9276FE_.wvu.PrintArea" localSheetId="5" hidden="1">'Sch-2'!$A$1:$J$78</definedName>
    <definedName name="Z_C497F4E0_7D3E_4065_935D_7086BE9276FE_.wvu.PrintArea" localSheetId="6" hidden="1">'Sch-3'!$A$1:$P$95</definedName>
    <definedName name="Z_C497F4E0_7D3E_4065_935D_7086BE9276FE_.wvu.PrintArea" localSheetId="7" hidden="1">'Sch-4'!$A$1:$P$24</definedName>
    <definedName name="Z_C497F4E0_7D3E_4065_935D_7086BE9276FE_.wvu.PrintArea" localSheetId="8" hidden="1">'Sch-5'!$A$1:$E$23</definedName>
    <definedName name="Z_C497F4E0_7D3E_4065_935D_7086BE9276FE_.wvu.PrintArea" localSheetId="9" hidden="1">'Sch-5 after discount'!$A$1:$E$23</definedName>
    <definedName name="Z_C497F4E0_7D3E_4065_935D_7086BE9276FE_.wvu.PrintArea" localSheetId="10" hidden="1">'Sch-6'!$A$1:$D$32</definedName>
    <definedName name="Z_C497F4E0_7D3E_4065_935D_7086BE9276FE_.wvu.PrintArea" localSheetId="12" hidden="1">'Sch-6 (After Discount)'!$A$1:$D$32</definedName>
    <definedName name="Z_C497F4E0_7D3E_4065_935D_7086BE9276FE_.wvu.PrintArea" localSheetId="11" hidden="1">'Sch-6 After Discount'!$A$1:$D$31</definedName>
    <definedName name="Z_C497F4E0_7D3E_4065_935D_7086BE9276FE_.wvu.PrintArea" localSheetId="13" hidden="1">'Sch-7'!$A$1:$M$22</definedName>
    <definedName name="Z_C497F4E0_7D3E_4065_935D_7086BE9276FE_.wvu.PrintTitles" localSheetId="4" hidden="1">'Sch-1'!$15:$16</definedName>
    <definedName name="Z_C497F4E0_7D3E_4065_935D_7086BE9276FE_.wvu.PrintTitles" localSheetId="5" hidden="1">'Sch-2'!$15:$16</definedName>
    <definedName name="Z_C497F4E0_7D3E_4065_935D_7086BE9276FE_.wvu.PrintTitles" localSheetId="6" hidden="1">'Sch-3'!$15:$16</definedName>
    <definedName name="Z_C497F4E0_7D3E_4065_935D_7086BE9276FE_.wvu.PrintTitles" localSheetId="8" hidden="1">'Sch-5'!$3:$14</definedName>
    <definedName name="Z_C497F4E0_7D3E_4065_935D_7086BE9276FE_.wvu.PrintTitles" localSheetId="9" hidden="1">'Sch-5 after discount'!$3:$14</definedName>
    <definedName name="Z_C497F4E0_7D3E_4065_935D_7086BE9276FE_.wvu.PrintTitles" localSheetId="10" hidden="1">'Sch-6'!$3:$14</definedName>
    <definedName name="Z_C497F4E0_7D3E_4065_935D_7086BE9276FE_.wvu.PrintTitles" localSheetId="12" hidden="1">'Sch-6 (After Discount)'!$3:$14</definedName>
    <definedName name="Z_C497F4E0_7D3E_4065_935D_7086BE9276FE_.wvu.PrintTitles" localSheetId="11" hidden="1">'Sch-6 After Discount'!$3:$13</definedName>
    <definedName name="Z_C497F4E0_7D3E_4065_935D_7086BE9276FE_.wvu.Rows" localSheetId="1" hidden="1">Cover!$7:$7</definedName>
    <definedName name="Z_C497F4E0_7D3E_4065_935D_7086BE9276FE_.wvu.Rows" localSheetId="14" hidden="1">Discount!$21:$22,Discount!$27:$32</definedName>
    <definedName name="Z_C497F4E0_7D3E_4065_935D_7086BE9276FE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'Sch-1'!$16:$77</definedName>
    <definedName name="Z_CCA37BAE_906F_43D5_9FD9_B13563E4B9D7_.wvu.FilterData" localSheetId="5" hidden="1">'Sch-2'!$A$16:$AF$75</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'Sch-1'!$A$1:$N$81</definedName>
    <definedName name="Z_CCA37BAE_906F_43D5_9FD9_B13563E4B9D7_.wvu.PrintArea" localSheetId="5" hidden="1">'Sch-2'!$A$1:$J$78</definedName>
    <definedName name="Z_CCA37BAE_906F_43D5_9FD9_B13563E4B9D7_.wvu.PrintArea" localSheetId="6" hidden="1">'Sch-3'!$A$1:$P$95</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Jasminder Singh Bhatia {जसमिंदर सिंह} - Personal View" guid="{1211E1B9-FC37-4364-9CF0-0FFC01866726}" mergeInterval="0" personalView="1" maximized="1" xWindow="-8" yWindow="-8" windowWidth="1936" windowHeight="1056" tabRatio="607" activeSheetId="2"/>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सम्राट जैन} - Personal View" guid="{C497F4E0-7D3E-4065-935D-7086BE9276FE}" mergeInterval="0" personalView="1" maximized="1" xWindow="-8" yWindow="-8" windowWidth="1936" windowHeight="1048" tabRatio="607"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6" l="1"/>
  <c r="N60" i="7"/>
  <c r="N59" i="7"/>
  <c r="N58" i="7"/>
  <c r="B3" i="2"/>
  <c r="A10" i="15" l="1"/>
  <c r="A9" i="15"/>
  <c r="A8" i="15"/>
  <c r="K13" i="14"/>
  <c r="K12" i="14"/>
  <c r="K11" i="14"/>
  <c r="D12" i="9"/>
  <c r="D11" i="9"/>
  <c r="D10" i="9"/>
  <c r="H12" i="6"/>
  <c r="H11" i="6"/>
  <c r="H10" i="6"/>
  <c r="B2" i="2" l="1"/>
  <c r="B17" i="7"/>
  <c r="B17" i="6" l="1"/>
  <c r="Z10" i="5" l="1"/>
  <c r="Z9" i="5"/>
  <c r="A17" i="7" l="1"/>
  <c r="A17" i="6"/>
  <c r="V88" i="7" l="1"/>
  <c r="V87" i="7"/>
  <c r="V86" i="7"/>
  <c r="V85" i="7"/>
  <c r="V84" i="7"/>
  <c r="V83" i="7"/>
  <c r="V82" i="7"/>
  <c r="V81" i="7"/>
  <c r="V80" i="7"/>
  <c r="V79" i="7"/>
  <c r="V78" i="7"/>
  <c r="V77" i="7"/>
  <c r="V76" i="7"/>
  <c r="V75" i="7"/>
  <c r="V74" i="7"/>
  <c r="V73" i="7"/>
  <c r="V72" i="7"/>
  <c r="V71" i="7"/>
  <c r="V70" i="7"/>
  <c r="V69" i="7"/>
  <c r="V68" i="7"/>
  <c r="V67" i="7"/>
  <c r="V66" i="7"/>
  <c r="V65" i="7"/>
  <c r="V64" i="7"/>
  <c r="V63" i="7"/>
  <c r="Q88" i="7"/>
  <c r="P87" i="7"/>
  <c r="R87" i="7" s="1"/>
  <c r="P86" i="7"/>
  <c r="Q86" i="7" s="1"/>
  <c r="P85" i="7"/>
  <c r="R85" i="7" s="1"/>
  <c r="P84" i="7"/>
  <c r="R84" i="7" s="1"/>
  <c r="P83" i="7"/>
  <c r="R83" i="7" s="1"/>
  <c r="P82" i="7"/>
  <c r="Q82" i="7" s="1"/>
  <c r="P81" i="7"/>
  <c r="R81" i="7" s="1"/>
  <c r="P80" i="7"/>
  <c r="R80" i="7" s="1"/>
  <c r="P79" i="7"/>
  <c r="R79" i="7" s="1"/>
  <c r="P78" i="7"/>
  <c r="Q78" i="7" s="1"/>
  <c r="P77" i="7"/>
  <c r="R77" i="7" s="1"/>
  <c r="P76" i="7"/>
  <c r="R76" i="7" s="1"/>
  <c r="P75" i="7"/>
  <c r="R75" i="7" s="1"/>
  <c r="P74" i="7"/>
  <c r="Q74" i="7" s="1"/>
  <c r="P73" i="7"/>
  <c r="R73" i="7" s="1"/>
  <c r="P72" i="7"/>
  <c r="R72" i="7" s="1"/>
  <c r="P71" i="7"/>
  <c r="R71" i="7" s="1"/>
  <c r="P70" i="7"/>
  <c r="Q70" i="7" s="1"/>
  <c r="P69" i="7"/>
  <c r="R69" i="7" s="1"/>
  <c r="P68" i="7"/>
  <c r="R68" i="7" s="1"/>
  <c r="P67" i="7"/>
  <c r="R67" i="7" s="1"/>
  <c r="P66" i="7"/>
  <c r="Q66" i="7" s="1"/>
  <c r="P65" i="7"/>
  <c r="R65" i="7" s="1"/>
  <c r="P64" i="7"/>
  <c r="R64" i="7" s="1"/>
  <c r="P63" i="7"/>
  <c r="R63" i="7" s="1"/>
  <c r="Q65" i="7" l="1"/>
  <c r="R66" i="7"/>
  <c r="Q69" i="7"/>
  <c r="R70" i="7"/>
  <c r="Q73" i="7"/>
  <c r="R74" i="7"/>
  <c r="Q77" i="7"/>
  <c r="R78" i="7"/>
  <c r="Q81" i="7"/>
  <c r="R82" i="7"/>
  <c r="Q85" i="7"/>
  <c r="R86" i="7"/>
  <c r="R88" i="7"/>
  <c r="Q64" i="7"/>
  <c r="Q68" i="7"/>
  <c r="Q72" i="7"/>
  <c r="Q76" i="7"/>
  <c r="Q80" i="7"/>
  <c r="Q84" i="7"/>
  <c r="Q63" i="7"/>
  <c r="Q67" i="7"/>
  <c r="Q71" i="7"/>
  <c r="Q75" i="7"/>
  <c r="Q79" i="7"/>
  <c r="Q83" i="7"/>
  <c r="Q87"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18" i="5"/>
  <c r="P62" i="7"/>
  <c r="Q62" i="7" s="1"/>
  <c r="P61" i="7"/>
  <c r="R61" i="7" s="1"/>
  <c r="P60" i="7"/>
  <c r="Q60" i="7" s="1"/>
  <c r="P59" i="7"/>
  <c r="Q59" i="7" s="1"/>
  <c r="P58" i="7"/>
  <c r="Q58" i="7" s="1"/>
  <c r="P57" i="7"/>
  <c r="R57" i="7" s="1"/>
  <c r="J71" i="6"/>
  <c r="J70" i="6"/>
  <c r="J69" i="6"/>
  <c r="J68" i="6"/>
  <c r="J67" i="6"/>
  <c r="J66" i="6"/>
  <c r="J65" i="6"/>
  <c r="J64" i="6"/>
  <c r="N72" i="5"/>
  <c r="O72"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52" i="7"/>
  <c r="R52" i="7" s="1"/>
  <c r="P53" i="7"/>
  <c r="R53" i="7" s="1"/>
  <c r="P54" i="7"/>
  <c r="Q54" i="7" s="1"/>
  <c r="P55" i="7"/>
  <c r="Q55" i="7" s="1"/>
  <c r="P56" i="7"/>
  <c r="R56"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A1" i="5"/>
  <c r="Z8" i="5"/>
  <c r="C9" i="5"/>
  <c r="B8" i="12" s="1"/>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60" i="5"/>
  <c r="O60" i="5" s="1"/>
  <c r="N61" i="5"/>
  <c r="O61" i="5" s="1"/>
  <c r="N62" i="5"/>
  <c r="O62" i="5" s="1"/>
  <c r="N63" i="5"/>
  <c r="O63" i="5" s="1"/>
  <c r="N64" i="5"/>
  <c r="O64" i="5" s="1"/>
  <c r="N65" i="5"/>
  <c r="O65" i="5" s="1"/>
  <c r="N66" i="5"/>
  <c r="O66" i="5" s="1"/>
  <c r="N67" i="5"/>
  <c r="O67" i="5" s="1"/>
  <c r="N68" i="5"/>
  <c r="P68" i="5" s="1"/>
  <c r="N69" i="5"/>
  <c r="P69" i="5" s="1"/>
  <c r="N70" i="5"/>
  <c r="O70" i="5" s="1"/>
  <c r="N71" i="5"/>
  <c r="P71" i="5" s="1"/>
  <c r="N75" i="5"/>
  <c r="C79" i="5"/>
  <c r="C77" i="6" s="1"/>
  <c r="K79" i="5"/>
  <c r="O94" i="7" s="1"/>
  <c r="N22" i="8" s="1"/>
  <c r="C80" i="5"/>
  <c r="C95" i="7" s="1"/>
  <c r="C22" i="8" s="1"/>
  <c r="K80" i="5"/>
  <c r="O95" i="7" s="1"/>
  <c r="N23" i="8" s="1"/>
  <c r="J6" i="4"/>
  <c r="Z7" i="5" s="1"/>
  <c r="A7" i="5" s="1"/>
  <c r="M6" i="4"/>
  <c r="A7" i="4"/>
  <c r="A9" i="4"/>
  <c r="A8" i="6" s="1"/>
  <c r="A10" i="4"/>
  <c r="G22" i="4"/>
  <c r="F22" i="4" s="1"/>
  <c r="A3" i="13"/>
  <c r="A1" i="7"/>
  <c r="P89" i="7" l="1"/>
  <c r="J8" i="15" s="1"/>
  <c r="J26" i="15" s="1"/>
  <c r="R30" i="7"/>
  <c r="V89" i="7"/>
  <c r="Q18" i="7"/>
  <c r="J74" i="6"/>
  <c r="J7" i="15" s="1"/>
  <c r="I25" i="15" s="1"/>
  <c r="O18" i="5"/>
  <c r="N74" i="5"/>
  <c r="T74" i="5"/>
  <c r="B9" i="12"/>
  <c r="P31" i="5"/>
  <c r="A3" i="10"/>
  <c r="A3" i="12"/>
  <c r="R42" i="7"/>
  <c r="R26" i="7"/>
  <c r="Q56" i="7"/>
  <c r="Q36" i="7"/>
  <c r="Q32" i="7"/>
  <c r="R28" i="7"/>
  <c r="R20" i="7"/>
  <c r="P45" i="5"/>
  <c r="O42" i="5"/>
  <c r="P38" i="5"/>
  <c r="P26" i="5"/>
  <c r="Q33" i="7"/>
  <c r="R38" i="7"/>
  <c r="R34" i="7"/>
  <c r="R41" i="7"/>
  <c r="R22" i="7"/>
  <c r="R50" i="7"/>
  <c r="R21" i="7"/>
  <c r="R29" i="7"/>
  <c r="Q45" i="7"/>
  <c r="Q37" i="7"/>
  <c r="Q52" i="7"/>
  <c r="Q53" i="7"/>
  <c r="O19" i="5"/>
  <c r="O23" i="5"/>
  <c r="P43" i="5"/>
  <c r="C12" i="14"/>
  <c r="P20" i="5"/>
  <c r="P72" i="5"/>
  <c r="O56" i="5"/>
  <c r="O68" i="5"/>
  <c r="P37" i="5"/>
  <c r="O27" i="5"/>
  <c r="P46" i="5"/>
  <c r="P64" i="5"/>
  <c r="P44" i="5"/>
  <c r="P39" i="5"/>
  <c r="I78" i="6"/>
  <c r="O51" i="5"/>
  <c r="A8" i="8"/>
  <c r="A8" i="10"/>
  <c r="A3" i="7"/>
  <c r="A3" i="8"/>
  <c r="C12" i="15"/>
  <c r="A3" i="6"/>
  <c r="P29" i="5"/>
  <c r="P21" i="5"/>
  <c r="E16" i="17"/>
  <c r="F16" i="18"/>
  <c r="C11" i="14"/>
  <c r="O47" i="5"/>
  <c r="P25" i="5"/>
  <c r="P50" i="5"/>
  <c r="R18" i="7"/>
  <c r="R31" i="7"/>
  <c r="A7" i="9"/>
  <c r="E16" i="16"/>
  <c r="A8" i="11"/>
  <c r="A8" i="13"/>
  <c r="A3" i="9"/>
  <c r="A3" i="11"/>
  <c r="A3" i="5"/>
  <c r="A1" i="13"/>
  <c r="C15" i="19"/>
  <c r="A1" i="4"/>
  <c r="A3" i="14"/>
  <c r="A64" i="14" s="1"/>
  <c r="A1" i="11"/>
  <c r="A2" i="15"/>
  <c r="C22" i="14"/>
  <c r="C40" i="15" s="1"/>
  <c r="B46" i="19" s="1"/>
  <c r="B32" i="13"/>
  <c r="C9" i="14"/>
  <c r="R19" i="7"/>
  <c r="A2" i="4"/>
  <c r="A1" i="10"/>
  <c r="A1" i="14"/>
  <c r="A62" i="14" s="1"/>
  <c r="R39" i="7"/>
  <c r="A8" i="7"/>
  <c r="I77" i="6"/>
  <c r="A8" i="9"/>
  <c r="P52" i="5"/>
  <c r="A1" i="9"/>
  <c r="A1" i="12"/>
  <c r="AG7" i="19"/>
  <c r="AG8" i="19" s="1"/>
  <c r="C94" i="7"/>
  <c r="C21" i="8" s="1"/>
  <c r="O40" i="5"/>
  <c r="O32" i="5"/>
  <c r="R35" i="7"/>
  <c r="A1" i="19"/>
  <c r="P62" i="5"/>
  <c r="C78" i="6"/>
  <c r="O35" i="5"/>
  <c r="O24" i="5"/>
  <c r="P18" i="5"/>
  <c r="R27" i="7"/>
  <c r="A1" i="8"/>
  <c r="P65" i="5"/>
  <c r="O34" i="5"/>
  <c r="P60" i="5"/>
  <c r="A8" i="5"/>
  <c r="AG9" i="19"/>
  <c r="O54" i="5"/>
  <c r="R59" i="7"/>
  <c r="R62" i="7"/>
  <c r="Q61" i="7"/>
  <c r="R55" i="7"/>
  <c r="Q48" i="7"/>
  <c r="R47" i="7"/>
  <c r="R44" i="7"/>
  <c r="Q43" i="7"/>
  <c r="Q40" i="7"/>
  <c r="R51" i="7"/>
  <c r="R46" i="7"/>
  <c r="R54" i="7"/>
  <c r="Q49" i="7"/>
  <c r="R58" i="7"/>
  <c r="R60" i="7"/>
  <c r="Q57" i="7"/>
  <c r="R25" i="7"/>
  <c r="Q24" i="7"/>
  <c r="R23" i="7"/>
  <c r="O71" i="5"/>
  <c r="P70" i="5"/>
  <c r="O69" i="5"/>
  <c r="P67" i="5"/>
  <c r="P66" i="5"/>
  <c r="P63" i="5"/>
  <c r="P61" i="5"/>
  <c r="O57" i="5"/>
  <c r="P59" i="5"/>
  <c r="P58" i="5"/>
  <c r="P55" i="5"/>
  <c r="P53" i="5"/>
  <c r="P49" i="5"/>
  <c r="O48" i="5"/>
  <c r="P41" i="5"/>
  <c r="P36" i="5"/>
  <c r="O33" i="5"/>
  <c r="P30" i="5"/>
  <c r="P28" i="5"/>
  <c r="P22" i="5"/>
  <c r="R89" i="7" l="1"/>
  <c r="D17" i="9" s="1"/>
  <c r="P74" i="5"/>
  <c r="D15" i="9" s="1"/>
  <c r="A7" i="11"/>
  <c r="A7" i="10"/>
  <c r="B7" i="14"/>
  <c r="A7" i="8"/>
  <c r="A7" i="13"/>
  <c r="A7" i="6"/>
  <c r="A7" i="7"/>
  <c r="B40" i="19"/>
  <c r="B8" i="14"/>
  <c r="A7" i="12"/>
  <c r="I16" i="15"/>
  <c r="D17" i="11"/>
  <c r="E17" i="13" s="1"/>
  <c r="D19" i="11"/>
  <c r="E19" i="13" s="1"/>
  <c r="J16" i="15"/>
  <c r="P99" i="7"/>
  <c r="N76" i="5"/>
  <c r="J6" i="15"/>
  <c r="D15" i="11"/>
  <c r="E15" i="13" s="1"/>
  <c r="D19" i="9" l="1"/>
  <c r="D23" i="11" s="1"/>
  <c r="D28" i="11" s="1"/>
  <c r="H16" i="15"/>
  <c r="J9" i="15"/>
  <c r="J15" i="15" s="1"/>
  <c r="H24" i="15"/>
  <c r="J31" i="15" l="1"/>
  <c r="J32" i="15" s="1"/>
  <c r="J35" i="15"/>
  <c r="J36" i="15" s="1"/>
  <c r="H15" i="15"/>
  <c r="H31" i="15" s="1"/>
  <c r="H32" i="15" s="1"/>
  <c r="I15" i="15"/>
  <c r="S87" i="7" l="1"/>
  <c r="T87" i="7" s="1"/>
  <c r="U87" i="7" s="1"/>
  <c r="S79" i="7"/>
  <c r="T79" i="7" s="1"/>
  <c r="U79" i="7" s="1"/>
  <c r="S71" i="7"/>
  <c r="T71" i="7" s="1"/>
  <c r="U71" i="7" s="1"/>
  <c r="S63" i="7"/>
  <c r="T63" i="7" s="1"/>
  <c r="U63" i="7" s="1"/>
  <c r="S86" i="7"/>
  <c r="T86" i="7" s="1"/>
  <c r="U86" i="7" s="1"/>
  <c r="S85" i="7"/>
  <c r="T85" i="7" s="1"/>
  <c r="U85" i="7" s="1"/>
  <c r="S84" i="7"/>
  <c r="T84" i="7" s="1"/>
  <c r="U84" i="7" s="1"/>
  <c r="S78" i="7"/>
  <c r="T78" i="7" s="1"/>
  <c r="U78" i="7" s="1"/>
  <c r="S77" i="7"/>
  <c r="T77" i="7" s="1"/>
  <c r="U77" i="7" s="1"/>
  <c r="S76" i="7"/>
  <c r="T76" i="7" s="1"/>
  <c r="U76" i="7" s="1"/>
  <c r="S70" i="7"/>
  <c r="T70" i="7" s="1"/>
  <c r="U70" i="7" s="1"/>
  <c r="S69" i="7"/>
  <c r="T69" i="7" s="1"/>
  <c r="U69" i="7" s="1"/>
  <c r="S68" i="7"/>
  <c r="T68" i="7" s="1"/>
  <c r="U68" i="7" s="1"/>
  <c r="S67" i="7"/>
  <c r="T67" i="7" s="1"/>
  <c r="U67" i="7" s="1"/>
  <c r="S88" i="7"/>
  <c r="T88" i="7" s="1"/>
  <c r="U88" i="7" s="1"/>
  <c r="S74" i="7"/>
  <c r="T74" i="7" s="1"/>
  <c r="U74" i="7" s="1"/>
  <c r="S73" i="7"/>
  <c r="T73" i="7" s="1"/>
  <c r="U73" i="7" s="1"/>
  <c r="S72" i="7"/>
  <c r="T72" i="7" s="1"/>
  <c r="U72" i="7" s="1"/>
  <c r="S66" i="7"/>
  <c r="T66" i="7" s="1"/>
  <c r="U66" i="7" s="1"/>
  <c r="S65" i="7"/>
  <c r="T65" i="7" s="1"/>
  <c r="U65" i="7" s="1"/>
  <c r="S83" i="7"/>
  <c r="T83" i="7" s="1"/>
  <c r="U83" i="7" s="1"/>
  <c r="S64" i="7"/>
  <c r="T64" i="7" s="1"/>
  <c r="U64" i="7" s="1"/>
  <c r="S75" i="7"/>
  <c r="T75" i="7" s="1"/>
  <c r="U75" i="7" s="1"/>
  <c r="S82" i="7"/>
  <c r="T82" i="7" s="1"/>
  <c r="U82" i="7" s="1"/>
  <c r="S81" i="7"/>
  <c r="T81" i="7" s="1"/>
  <c r="U81" i="7" s="1"/>
  <c r="S80" i="7"/>
  <c r="T80" i="7" s="1"/>
  <c r="U80"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52" i="7"/>
  <c r="T52" i="7" s="1"/>
  <c r="U52" i="7" s="1"/>
  <c r="S44" i="7"/>
  <c r="T44" i="7" s="1"/>
  <c r="U44" i="7" s="1"/>
  <c r="S43" i="7"/>
  <c r="T43" i="7" s="1"/>
  <c r="U43" i="7" s="1"/>
  <c r="S59" i="7"/>
  <c r="T59" i="7" s="1"/>
  <c r="U5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56" i="7"/>
  <c r="T56" i="7" s="1"/>
  <c r="U56" i="7" s="1"/>
  <c r="S50" i="7"/>
  <c r="T50" i="7" s="1"/>
  <c r="U50" i="7" s="1"/>
  <c r="S28" i="7"/>
  <c r="T28" i="7" s="1"/>
  <c r="U28" i="7" s="1"/>
  <c r="S24" i="7"/>
  <c r="T24" i="7" s="1"/>
  <c r="U24" i="7" s="1"/>
  <c r="S49" i="7"/>
  <c r="T49" i="7" s="1"/>
  <c r="U49" i="7" s="1"/>
  <c r="S55" i="7"/>
  <c r="T55" i="7" s="1"/>
  <c r="U55" i="7" s="1"/>
  <c r="S31" i="7"/>
  <c r="T31" i="7" s="1"/>
  <c r="U31" i="7" s="1"/>
  <c r="S36" i="7"/>
  <c r="T36" i="7" s="1"/>
  <c r="U36" i="7" s="1"/>
  <c r="S58" i="7"/>
  <c r="T58" i="7" s="1"/>
  <c r="U58" i="7" s="1"/>
  <c r="S48" i="7"/>
  <c r="T48" i="7" s="1"/>
  <c r="U48" i="7" s="1"/>
  <c r="S53" i="7"/>
  <c r="T53" i="7" s="1"/>
  <c r="U53" i="7" s="1"/>
  <c r="S35" i="7"/>
  <c r="T35" i="7" s="1"/>
  <c r="U35" i="7" s="1"/>
  <c r="S18" i="7"/>
  <c r="T18" i="7" s="1"/>
  <c r="U18" i="7" s="1"/>
  <c r="S51" i="7"/>
  <c r="T51" i="7" s="1"/>
  <c r="U51" i="7" s="1"/>
  <c r="S41" i="7"/>
  <c r="T41" i="7" s="1"/>
  <c r="U41" i="7" s="1"/>
  <c r="S54" i="7"/>
  <c r="T54" i="7" s="1"/>
  <c r="U54" i="7" s="1"/>
  <c r="S21" i="7"/>
  <c r="T21" i="7" s="1"/>
  <c r="U21" i="7" s="1"/>
  <c r="S42" i="7"/>
  <c r="T42" i="7" s="1"/>
  <c r="U42" i="7" s="1"/>
  <c r="S47" i="7"/>
  <c r="T47" i="7" s="1"/>
  <c r="U47" i="7" s="1"/>
  <c r="S25" i="7"/>
  <c r="T25" i="7" s="1"/>
  <c r="U25" i="7" s="1"/>
  <c r="S60" i="7"/>
  <c r="T60" i="7" s="1"/>
  <c r="U60" i="7" s="1"/>
  <c r="S57" i="7"/>
  <c r="T57" i="7" s="1"/>
  <c r="U57" i="7" s="1"/>
  <c r="S62" i="7"/>
  <c r="T62" i="7" s="1"/>
  <c r="U62" i="7" s="1"/>
  <c r="S26" i="7"/>
  <c r="T26" i="7" s="1"/>
  <c r="U26" i="7" s="1"/>
  <c r="S61" i="7"/>
  <c r="T61" i="7" s="1"/>
  <c r="U61" i="7" s="1"/>
  <c r="I35" i="15"/>
  <c r="I36" i="15" s="1"/>
  <c r="F17" i="13" s="1"/>
  <c r="D17" i="13" s="1"/>
  <c r="I31" i="15"/>
  <c r="I32" i="15" s="1"/>
  <c r="H35" i="15"/>
  <c r="H36" i="15" s="1"/>
  <c r="U89" i="7" l="1"/>
  <c r="D17" i="10" s="1"/>
  <c r="Q54" i="5"/>
  <c r="R54" i="5" s="1"/>
  <c r="S54" i="5" s="1"/>
  <c r="Q57" i="5"/>
  <c r="R57" i="5" s="1"/>
  <c r="S57" i="5" s="1"/>
  <c r="Q23" i="5"/>
  <c r="R23" i="5" s="1"/>
  <c r="S23" i="5" s="1"/>
  <c r="Q66" i="5"/>
  <c r="R66" i="5" s="1"/>
  <c r="S66" i="5" s="1"/>
  <c r="Q30" i="5"/>
  <c r="R30" i="5" s="1"/>
  <c r="S30" i="5" s="1"/>
  <c r="F15" i="13"/>
  <c r="D15" i="13" s="1"/>
  <c r="Q40" i="5"/>
  <c r="R40" i="5" s="1"/>
  <c r="S40" i="5" s="1"/>
  <c r="Q26" i="5"/>
  <c r="R26" i="5" s="1"/>
  <c r="S26" i="5" s="1"/>
  <c r="Q56" i="5"/>
  <c r="R56" i="5" s="1"/>
  <c r="S56" i="5" s="1"/>
  <c r="Q47" i="5"/>
  <c r="R47" i="5" s="1"/>
  <c r="S47" i="5" s="1"/>
  <c r="Q33" i="5"/>
  <c r="R33" i="5" s="1"/>
  <c r="S33" i="5" s="1"/>
  <c r="Q24" i="5"/>
  <c r="R24" i="5" s="1"/>
  <c r="S24" i="5" s="1"/>
  <c r="Q68" i="5"/>
  <c r="R68" i="5" s="1"/>
  <c r="S68" i="5" s="1"/>
  <c r="Q22" i="5"/>
  <c r="R22" i="5" s="1"/>
  <c r="S22" i="5" s="1"/>
  <c r="Q42" i="5"/>
  <c r="R42" i="5" s="1"/>
  <c r="S42" i="5" s="1"/>
  <c r="Q25" i="5"/>
  <c r="R25" i="5" s="1"/>
  <c r="S25" i="5" s="1"/>
  <c r="Q59" i="5"/>
  <c r="R59" i="5" s="1"/>
  <c r="S59" i="5" s="1"/>
  <c r="Q65" i="5"/>
  <c r="R65" i="5" s="1"/>
  <c r="S65" i="5" s="1"/>
  <c r="Q64" i="5"/>
  <c r="R64" i="5" s="1"/>
  <c r="S64" i="5" s="1"/>
  <c r="Q60" i="5"/>
  <c r="R60" i="5" s="1"/>
  <c r="S60" i="5" s="1"/>
  <c r="Q61" i="5"/>
  <c r="R61" i="5" s="1"/>
  <c r="S61" i="5" s="1"/>
  <c r="Q20" i="5"/>
  <c r="R20" i="5" s="1"/>
  <c r="S20" i="5" s="1"/>
  <c r="Q70" i="5"/>
  <c r="R70" i="5" s="1"/>
  <c r="S7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35" i="5"/>
  <c r="R35" i="5" s="1"/>
  <c r="S35" i="5" s="1"/>
  <c r="Q49" i="5"/>
  <c r="R49" i="5" s="1"/>
  <c r="S49" i="5" s="1"/>
  <c r="Q28" i="5"/>
  <c r="R28" i="5" s="1"/>
  <c r="S28" i="5" s="1"/>
  <c r="Q51" i="5"/>
  <c r="R51" i="5" s="1"/>
  <c r="S51" i="5" s="1"/>
  <c r="Q72" i="5"/>
  <c r="R72" i="5" s="1"/>
  <c r="S72" i="5" s="1"/>
  <c r="Q45" i="5"/>
  <c r="R45" i="5" s="1"/>
  <c r="S45" i="5" s="1"/>
  <c r="Q67" i="5"/>
  <c r="R67" i="5" s="1"/>
  <c r="S67" i="5" s="1"/>
  <c r="Q50" i="5"/>
  <c r="R50" i="5" s="1"/>
  <c r="S50" i="5" s="1"/>
  <c r="Q39" i="5"/>
  <c r="R39" i="5" s="1"/>
  <c r="S39" i="5" s="1"/>
  <c r="Q62" i="5"/>
  <c r="R62" i="5" s="1"/>
  <c r="S62" i="5" s="1"/>
  <c r="Q43" i="5"/>
  <c r="R43" i="5" s="1"/>
  <c r="S43" i="5" s="1"/>
  <c r="Q38" i="5"/>
  <c r="R38" i="5" s="1"/>
  <c r="S38" i="5" s="1"/>
  <c r="Q71" i="5"/>
  <c r="R71" i="5" s="1"/>
  <c r="S71" i="5" s="1"/>
  <c r="Q32" i="5"/>
  <c r="R32" i="5" s="1"/>
  <c r="S32" i="5" s="1"/>
  <c r="Q69" i="5"/>
  <c r="R69" i="5" s="1"/>
  <c r="S69" i="5" s="1"/>
  <c r="Q36" i="5"/>
  <c r="R36" i="5" s="1"/>
  <c r="S36" i="5" s="1"/>
  <c r="Q63" i="5"/>
  <c r="R63" i="5" s="1"/>
  <c r="S63" i="5" s="1"/>
  <c r="Q37" i="5"/>
  <c r="R37" i="5" s="1"/>
  <c r="S37" i="5" s="1"/>
  <c r="Q44" i="5"/>
  <c r="R44" i="5" s="1"/>
  <c r="S44" i="5" s="1"/>
  <c r="Q21" i="5"/>
  <c r="R21" i="5" s="1"/>
  <c r="S21" i="5" s="1"/>
  <c r="Q27" i="5"/>
  <c r="R27" i="5" s="1"/>
  <c r="S27" i="5" s="1"/>
  <c r="Q46" i="5"/>
  <c r="R46" i="5" s="1"/>
  <c r="S46" i="5" s="1"/>
  <c r="Q58" i="5"/>
  <c r="R58" i="5" s="1"/>
  <c r="S58" i="5" s="1"/>
  <c r="Q48" i="5"/>
  <c r="R48" i="5" s="1"/>
  <c r="S48" i="5" s="1"/>
  <c r="Q52" i="5"/>
  <c r="R52" i="5" s="1"/>
  <c r="S52" i="5" s="1"/>
  <c r="S18" i="5" l="1"/>
  <c r="S74" i="5" s="1"/>
  <c r="D15" i="10" s="1"/>
  <c r="D19" i="10" s="1"/>
  <c r="D23" i="13" s="1"/>
  <c r="D28" i="13" s="1"/>
  <c r="H18" i="19" s="1"/>
  <c r="R74"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<sst xmlns="http://schemas.openxmlformats.org/spreadsheetml/2006/main" count="1728" uniqueCount="617">
  <si>
    <t>(SCHEDULE OF RATES AND PRICES)</t>
  </si>
  <si>
    <t>To:</t>
  </si>
  <si>
    <t>Contract Services</t>
  </si>
  <si>
    <t>Power Grid Corporation of India Ltd.,</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</si>
  <si>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</si>
  <si>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</si>
  <si>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</si>
  <si>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</si>
  <si>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</si>
  <si>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</si>
  <si>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</si>
  <si>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</si>
  <si>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</si>
  <si>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</si>
  <si>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</si>
  <si>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</si>
  <si>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</si>
  <si>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</si>
  <si>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</si>
  <si>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</si>
  <si>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</si>
  <si>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</si>
  <si>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</si>
  <si>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</si>
  <si>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</si>
  <si>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</si>
  <si>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</si>
  <si>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</si>
  <si>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</si>
  <si>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</si>
  <si>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</si>
  <si>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</si>
  <si>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</si>
  <si>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</si>
  <si>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</si>
  <si>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</si>
  <si>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</si>
  <si>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</si>
  <si>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</si>
  <si>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</si>
  <si>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</si>
  <si>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</si>
  <si>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</si>
  <si>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</si>
  <si>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</si>
  <si>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</si>
  <si>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</si>
  <si>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</si>
  <si>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</si>
  <si>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</si>
  <si>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</si>
  <si>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</si>
  <si>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</si>
  <si>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</si>
  <si>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</si>
  <si>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</si>
  <si>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</si>
  <si>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</si>
  <si>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</si>
  <si>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</si>
  <si>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</si>
  <si>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</si>
  <si>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</si>
  <si>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</si>
  <si>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</si>
  <si>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</si>
  <si>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</si>
  <si>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</si>
  <si>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</si>
  <si>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</si>
  <si>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</si>
  <si>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</si>
  <si>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</si>
  <si>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</si>
  <si>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</si>
  <si>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</si>
  <si>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</si>
  <si>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</si>
  <si>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</si>
  <si>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</si>
  <si>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</si>
  <si>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</si>
  <si>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</si>
  <si>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</si>
  <si>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</si>
  <si>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</si>
  <si>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</si>
  <si>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</si>
  <si>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</si>
  <si>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</si>
  <si>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</si>
  <si>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</si>
  <si>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</si>
  <si>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</si>
  <si>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</si>
  <si>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</si>
  <si>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</si>
  <si>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</si>
  <si>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</si>
  <si>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</si>
  <si>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</si>
  <si>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</si>
  <si>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</si>
  <si>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</si>
  <si>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</si>
  <si>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</si>
  <si>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</si>
  <si>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</si>
  <si>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</si>
  <si>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</si>
  <si>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</si>
  <si>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</si>
  <si>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</si>
  <si>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</si>
  <si>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</si>
  <si>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</si>
  <si>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</si>
  <si>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</si>
  <si>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</si>
  <si>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</si>
  <si>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</si>
  <si>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</si>
  <si>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</si>
  <si>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</si>
  <si>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</si>
  <si>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</si>
  <si>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</si>
  <si>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</si>
  <si>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</si>
  <si>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</si>
  <si>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</si>
  <si>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</si>
  <si>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</si>
  <si>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</si>
  <si>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</si>
  <si>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</si>
  <si>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</si>
  <si>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</si>
  <si>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</si>
  <si>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</si>
  <si>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</si>
  <si>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</si>
  <si>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</si>
  <si>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</si>
  <si>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</si>
  <si>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</si>
  <si>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</si>
  <si>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</si>
  <si>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</si>
  <si>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</si>
  <si>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</si>
  <si>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</si>
  <si>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</si>
  <si>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</si>
  <si>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</si>
  <si>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</si>
  <si>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</si>
  <si>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</si>
  <si>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</si>
  <si>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</si>
  <si>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</si>
  <si>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</si>
  <si>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</si>
  <si>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</si>
  <si>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</si>
  <si>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</si>
  <si>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</si>
  <si>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</si>
  <si>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</si>
  <si>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</si>
  <si>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</si>
  <si>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</si>
  <si>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</si>
  <si>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</si>
  <si>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</si>
  <si>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</si>
  <si>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</si>
  <si>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</si>
  <si>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</si>
  <si>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</si>
  <si>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</si>
  <si>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</si>
  <si>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</si>
  <si>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</si>
  <si>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</si>
  <si>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</si>
  <si>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</si>
  <si>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</si>
  <si>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</si>
  <si>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</si>
  <si>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</si>
  <si>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</si>
  <si>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</si>
  <si>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</si>
  <si>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</si>
  <si>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</si>
  <si>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</si>
  <si>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</si>
  <si>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</si>
  <si>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</si>
  <si>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</si>
  <si>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</si>
  <si>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</si>
  <si>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</si>
  <si>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</si>
  <si>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</si>
  <si>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</si>
  <si>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</si>
  <si>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</si>
  <si>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</si>
  <si>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</si>
  <si>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</si>
  <si>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</si>
  <si>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</si>
  <si>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</si>
  <si>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</si>
  <si>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</si>
  <si>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</si>
  <si>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</si>
  <si>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</si>
  <si>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</si>
  <si>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</si>
  <si>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</si>
  <si>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</si>
  <si>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</si>
  <si>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</si>
  <si>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</si>
  <si>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</si>
  <si>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</si>
  <si>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</si>
  <si>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</si>
  <si>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</si>
  <si>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</si>
  <si>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</si>
  <si>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</si>
  <si>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</si>
  <si>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</si>
  <si>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</si>
  <si>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</si>
  <si>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</si>
  <si>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</si>
  <si>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</si>
  <si>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</si>
  <si>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</si>
  <si>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</si>
  <si>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</si>
  <si>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</si>
  <si>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</si>
  <si>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</si>
  <si>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</si>
  <si>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</si>
  <si>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</si>
  <si>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</si>
  <si>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</si>
  <si>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</si>
  <si>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</si>
  <si>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</si>
  <si>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</si>
  <si>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</si>
  <si>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</si>
  <si>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</si>
  <si>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</si>
  <si>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</si>
  <si>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</si>
  <si>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</si>
  <si>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</si>
  <si>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</si>
  <si>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</si>
  <si>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</si>
  <si>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</si>
  <si>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</si>
  <si>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</si>
  <si>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</si>
  <si>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</si>
  <si>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</si>
  <si>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</si>
  <si>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</si>
  <si>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</si>
  <si>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</si>
  <si>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</si>
  <si>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</si>
  <si>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</si>
  <si>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</si>
  <si>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</si>
  <si>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</si>
  <si>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</si>
  <si>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</si>
  <si>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</si>
  <si>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</si>
  <si>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</si>
  <si>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</si>
  <si>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</si>
  <si>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</si>
  <si>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</si>
  <si>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</si>
  <si>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</si>
  <si>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</si>
  <si>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</si>
  <si>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</si>
  <si>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</si>
  <si>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</si>
  <si>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</si>
  <si>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</si>
  <si>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</si>
  <si>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</si>
  <si>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</si>
  <si>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</si>
  <si>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</si>
  <si>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</si>
  <si>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</si>
  <si>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</si>
  <si>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</si>
  <si>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</si>
  <si>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</si>
  <si>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</si>
  <si>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</si>
  <si>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</si>
  <si>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</si>
  <si>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</si>
  <si>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</si>
  <si>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</si>
  <si>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</si>
  <si>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</si>
  <si>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</si>
  <si>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</si>
  <si>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</si>
  <si>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</si>
  <si>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</si>
  <si>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</si>
  <si>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</si>
  <si>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</si>
  <si>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</si>
  <si>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</si>
  <si>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</si>
  <si>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</si>
  <si>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</si>
  <si>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</si>
  <si>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</si>
  <si>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</si>
  <si>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</si>
  <si>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</si>
  <si>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</si>
  <si>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</si>
  <si>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</si>
  <si>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</si>
  <si>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</si>
  <si>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</si>
  <si>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</si>
  <si>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</si>
  <si>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</si>
  <si>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</si>
  <si>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</si>
  <si>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</si>
  <si>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</si>
  <si>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</si>
  <si>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</si>
  <si>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</si>
  <si>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</si>
  <si>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</si>
  <si>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</si>
  <si>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</si>
  <si>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</si>
  <si>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</si>
  <si>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</si>
  <si>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</si>
  <si>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</si>
  <si>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</si>
  <si>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</si>
  <si>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</si>
  <si>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</si>
  <si>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</si>
  <si>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</si>
  <si>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</si>
  <si>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</si>
  <si>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</si>
  <si>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</si>
  <si>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</si>
  <si>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</si>
  <si>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</si>
  <si>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</si>
  <si>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</si>
  <si>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</si>
  <si>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</si>
  <si>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</si>
  <si>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</si>
  <si>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</si>
  <si>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</si>
  <si>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</si>
  <si>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</si>
  <si>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</si>
  <si>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</si>
  <si>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</si>
  <si>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</si>
  <si>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</si>
  <si>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</si>
  <si>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</si>
  <si>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</si>
  <si>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</si>
  <si>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</si>
  <si>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</si>
  <si>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</si>
  <si>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</si>
  <si>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</si>
  <si>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</si>
  <si>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</si>
  <si>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</si>
  <si>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</si>
  <si>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</si>
  <si>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</si>
  <si>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</si>
  <si>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</si>
  <si>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</si>
  <si>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</si>
  <si>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</si>
  <si>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</si>
  <si>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</si>
  <si>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</si>
  <si>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</si>
  <si>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</si>
  <si>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</si>
  <si>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</si>
  <si>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</si>
  <si>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</si>
  <si>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</si>
  <si>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</si>
  <si>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</si>
  <si>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</si>
  <si>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</si>
  <si>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</si>
  <si>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</si>
  <si>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</si>
  <si>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</si>
  <si>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</si>
  <si>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</si>
  <si>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</si>
  <si>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</si>
  <si>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</si>
  <si>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</si>
  <si>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</si>
  <si>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</si>
  <si>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</si>
  <si>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</si>
  <si>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</si>
  <si>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</si>
  <si>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</si>
  <si>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</si>
  <si>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</si>
  <si>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</si>
  <si>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</si>
  <si>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</si>
  <si>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</si>
  <si>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</si>
  <si>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</si>
  <si>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</si>
  <si>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</si>
  <si>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</si>
  <si>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</si>
  <si>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</si>
  <si>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</si>
  <si>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</si>
  <si>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</si>
  <si>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</si>
  <si>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</si>
  <si>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</si>
  <si>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SET</t>
  </si>
  <si>
    <t>Controlled Switching Device for 420 kV, 3-ph Circuit Breaker</t>
  </si>
  <si>
    <t>420 kV, 3000A, 63KA, 1-Phase CurrentTransformer with 120% extended currentrating</t>
  </si>
  <si>
    <t>420kV, 3150A, 63KA,  Isolator (3-phase)(Double Break) with one E/S</t>
  </si>
  <si>
    <t>336kV Surge Arrester (1-phase)</t>
  </si>
  <si>
    <t>216kV Surge Arrester (1-phase)</t>
  </si>
  <si>
    <t>245 kV, 1 phase Bus Post Insulator (except for Line Traps)</t>
  </si>
  <si>
    <t>Lighting Panel type ACP-2 as per technical specification</t>
  </si>
  <si>
    <t>Outdoor Power Receptacle for oilfiltration unit (250A)</t>
  </si>
  <si>
    <t>Spares for 420kV Circuit Breaker</t>
  </si>
  <si>
    <t>Spares for 420kV Double break Isolator</t>
  </si>
  <si>
    <t>Spare-420kV CT 1</t>
  </si>
  <si>
    <t>Relay &amp; protection Panels (with automation)</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</si>
  <si>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</si>
  <si>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</si>
  <si>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</si>
  <si>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ORIGINAL</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</si>
  <si>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</si>
  <si>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TOTAL for Local Transportation, In-transit Insurance, Loading and Unloading</t>
  </si>
  <si>
    <t xml:space="preserve">Total of Installation Charges </t>
  </si>
  <si>
    <t>Erection of  Lattice Structures (MS Steel), to be designed during detailed engineering, for towers, beams and equipment supportstructure  including pack plates / packwashers and gusset plates excluding fasteners and foundation bolts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</si>
  <si>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</si>
  <si>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</si>
  <si>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Providing and laying of Plain Cement Concrete (PCC) (1:4:8)</t>
  </si>
  <si>
    <t>Steel Reinforcement</t>
  </si>
  <si>
    <t>Stone filling (40 mm size) for transformer/Reactor foundation</t>
  </si>
  <si>
    <t>Antiweed treatment</t>
  </si>
  <si>
    <t>Augmentation of existing 400kV bus bar protection scheme.(No. of bays as per specification)-(with Automation)</t>
  </si>
  <si>
    <t>Lighting Fixture LED Luminaires type FL-1 as per tech. specifications</t>
  </si>
  <si>
    <t>Lighting Fixture LED Luminaires type FL2 as per tech. specifications</t>
  </si>
  <si>
    <t>Fire Wall Mounted LED Luminarie Type FL-2 (250W)</t>
  </si>
  <si>
    <t>1.1kV grade Power Cables (PVCinsulated)along withlugs,glands,straight joints &amp;accessories,etc.</t>
  </si>
  <si>
    <t>1.1kV grade Control Cables (PVCinsulated) along withlugs,glands,straight joints &amp;accessories,etc.</t>
  </si>
  <si>
    <t>1.1kV grade Power Cables (XLPEinsulated) along withlugs,glands,straight joints &amp;accessories,etc.</t>
  </si>
  <si>
    <t>40 mm MS rod for Main Earthmat</t>
  </si>
  <si>
    <t>Augmentation of existing 220kV bus bar protection scheme.(No. of bays as per specification)-(with Automation)</t>
  </si>
  <si>
    <t>400kV Transformer Protection Panel (For both HV &amp; MV side)-(with Automation)</t>
  </si>
  <si>
    <t>General Instruction to the Bidders for filling up this workbook of Price Schedules</t>
  </si>
  <si>
    <t>245 kV, 1600A, 50KA, 1-Phase CurrentTransformer with 120% extended currentrating</t>
  </si>
  <si>
    <t>Spare-245kV Circuit Breaker</t>
  </si>
  <si>
    <t>Spare-245kV Isolator</t>
  </si>
  <si>
    <t>Spare-245kV CT</t>
  </si>
  <si>
    <t>Erection Hardware for 220kV layout (Double Main and Transfer Scheme as per SLD)-Transformer Bay as per specification</t>
  </si>
  <si>
    <t>63A, 415V : Interlocked switch socket outdoor Receptacle (type RP) as per technical specifications</t>
  </si>
  <si>
    <t>Package Number</t>
  </si>
  <si>
    <t>Substation Extension Package (AIS) for Augmentation of Transformation Capacity at 400/220kV New Wanpoh (PG) S/s</t>
  </si>
  <si>
    <t>Northern Region Transmission System-II</t>
  </si>
  <si>
    <t>Regional Head Quarters, Grid Bhawan, OB-26</t>
  </si>
  <si>
    <t>Rail Head Complex, Jammu-180 012 (J&amp;K)</t>
  </si>
  <si>
    <t>420kV, 63kA AIS Equipment</t>
  </si>
  <si>
    <t>245kV, 50kA AIS Equipment</t>
  </si>
  <si>
    <t>Earthmat</t>
  </si>
  <si>
    <t>CRP for 420kV Bays with SAS</t>
  </si>
  <si>
    <t>CRP for 220kV Bays with SAS</t>
  </si>
  <si>
    <t>SAS-AUG</t>
  </si>
  <si>
    <t>VMS</t>
  </si>
  <si>
    <t>Power &amp; Control Cable</t>
  </si>
  <si>
    <t>Fire Fighting System</t>
  </si>
  <si>
    <t>Illumination System</t>
  </si>
  <si>
    <t>Mandatory Spares-LOT</t>
  </si>
  <si>
    <t>245KV, 1600 A, 50KA, 3-Phase, Double Break Tandem Isolator without E/S</t>
  </si>
  <si>
    <t>Erection Hardware for 400kV I type layout-Any feeder Extn. on existing half dia. as per technical specification</t>
  </si>
  <si>
    <t>40 mm MS rod for main earthmat</t>
  </si>
  <si>
    <t>Colour IP Camera with Pan, Tilt and Zoom facilities alongwith all required items, accessories, line interface units, fiber patch cords, power supply units, junction boxes, cables, fiber optic cables, etc. and including integration in existing hardware and software for augmentation of visual monitoring system as per technical specification.</t>
  </si>
  <si>
    <t>1.1KV Grade 3.5CX300 SQMM (XLPE) Power Cable</t>
  </si>
  <si>
    <t>1.1KV Grade 4CX16 SQMM (PVC) Power Cable</t>
  </si>
  <si>
    <t>1.1KV Grade 4CX6 SQMM (PVC) Power Cable</t>
  </si>
  <si>
    <t>1.1KV Grade 2CX6 SQMM (PVC) Power Cable</t>
  </si>
  <si>
    <t>1.1KV Grade 5CX2.5 SQMM Control Cable</t>
  </si>
  <si>
    <t>1.1KV Grade 10CX2.5 SQMM Control Cable</t>
  </si>
  <si>
    <t>1.1KV Grade 19CX1.5 SQMM Control Cable</t>
  </si>
  <si>
    <t>1.1KV Grade 27CX1.5 SQMM Control Cable</t>
  </si>
  <si>
    <t>4 Pair, 0.5SQMM Screened Cable</t>
  </si>
  <si>
    <t>Spares for 336kV Surge Arrester</t>
  </si>
  <si>
    <t xml:space="preserve">Spares for 216kV Surge Arrester </t>
  </si>
  <si>
    <t>Spares for fire protection system</t>
  </si>
  <si>
    <t>EA</t>
  </si>
  <si>
    <t>KM</t>
  </si>
  <si>
    <t>LS</t>
  </si>
  <si>
    <t>MT</t>
  </si>
  <si>
    <t>Civil Works</t>
  </si>
  <si>
    <t>Erection Hardware for 400kV I type layout-Any feeder Extn. on existing half dia. as per specification</t>
  </si>
  <si>
    <t>Outdoor Power Receptacle for oil filtration unit (250A)</t>
  </si>
  <si>
    <t>M3</t>
  </si>
  <si>
    <t>M2</t>
  </si>
  <si>
    <t>M</t>
  </si>
  <si>
    <t>Supplying and erecting dewatering pumps- 2 HP</t>
  </si>
  <si>
    <t xml:space="preserve"> Substation extension package (AIS) for augmentation of transformation capacity at 400/220kV Samba (PG) Substation in Jammu &amp; Kashmir by 1x500MVA 400/220kV ICT (4th).</t>
  </si>
  <si>
    <t>N2JM/C&amp;M/CS/105(25)</t>
  </si>
  <si>
    <t>Erection Hardware for 420kV I Type S/Y</t>
  </si>
  <si>
    <t>Erection Hardware for 220kV DMT Type S/Y</t>
  </si>
  <si>
    <t>Gantry and Equipment Support Structure</t>
  </si>
  <si>
    <t>420kV, 3150A, 63kA Circuit Breaker (3-Phase) without closing resistor and with Support Structure</t>
  </si>
  <si>
    <t>420kV, 3150A, 63KA, Isolator (3-phase) (Double Break) with one E/S</t>
  </si>
  <si>
    <t>420 kV, 3000A, 63KA, 1-Phase Current Transformer with 120% extended
current rating</t>
  </si>
  <si>
    <t>420 kV, 1 phase Bus Post Insulator (except for Line Traps)</t>
  </si>
  <si>
    <t>336 KV Surge Arrester (1-phase)</t>
  </si>
  <si>
    <t>245kV, 1600A, 50KA Circuit Breaker (3-Phase) with support structure</t>
  </si>
  <si>
    <t>245kV, 1600A, 50 KA, 3-phase Double Break Isolator with one E/S</t>
  </si>
  <si>
    <t>245kV, 1600A, 50 KA, 3-phase Double Break Isolator with two E/S</t>
  </si>
  <si>
    <t>Erection Hardware for 220kV layout (Double Main and Transfer Scheme)- Transformer Bay as per technical specification</t>
  </si>
  <si>
    <t>400kV Circuit Breaker Relay Panel with Auto Reclose (with Automation)</t>
  </si>
  <si>
    <t>220kV Circuit Breaker Relay Panel without Auto Reclose (with Automation)</t>
  </si>
  <si>
    <t>Augmentation of Substation automation System for 400kV Main bay as per Technical Specification</t>
  </si>
  <si>
    <t>Augmentation of Substation automation System for 220kV bay as perTechnical
Specification</t>
  </si>
  <si>
    <t>1.1KV Grade 3.5CX70 SQMM (PVC) Power Cable</t>
  </si>
  <si>
    <t>1.1KV Grade 3CX2.5 SQMM Control Cable</t>
  </si>
  <si>
    <t>HVW spray system, Hydrant system and complete U/G &amp; O/G piping and accessories etc. out side the pump house for 500MVA ,400KV/220/33 kV, 3- phase Autotransformer</t>
  </si>
  <si>
    <t>Fire Wall Mounted Led Luminarie Type FL-2 (250W)</t>
  </si>
  <si>
    <t>Led Flood Light Luminariestype FL-1 (150W) As Per Technicalspecification</t>
  </si>
  <si>
    <t>Lighting Fixture Led Luminaires Type FL-2 As Per Tech. Specifications</t>
  </si>
  <si>
    <t>Spares-Substation Automation System</t>
  </si>
  <si>
    <t>ICT(4th) Augmentation at Samba substation</t>
  </si>
  <si>
    <t>420kV, 3150A, 63kA Circuit Breaker(3-Phase) without closing resistor(with support structure)</t>
  </si>
  <si>
    <t>420 kV, 1 phase Bus Post Insulator</t>
  </si>
  <si>
    <t>245 kV 1600A, 50KA Circuit Breakers (3-Phase) with support structure</t>
  </si>
  <si>
    <t>245 kV, 1600A, 50KA, 1-Phase Current Transformer with 120% extended currentrating</t>
  </si>
  <si>
    <t>245kV, 1600A, 50 KA, 3-phase Double Break Tandem Isolator without E/S</t>
  </si>
  <si>
    <t>245 kV,1 phase Bus Post Insulator (except for Line Traps)</t>
  </si>
  <si>
    <t>400kV Circuit Breaker Relay Panel without Auto Reclose (with Automation)</t>
  </si>
  <si>
    <t>Augmentation of   Substation automation System for 400kV Main bay as per Technical Specification</t>
  </si>
  <si>
    <t>Augmentation of   Substation automation System for 220kV bay as per Technical Specification</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</si>
  <si>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</si>
  <si>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HVW spray system, Hydrant system and complete U/G &amp; O/G piping and accessories etc. out side the pump house  for 500MVA ,400KV/220/33 kV, 3-phase  Autotransformer</t>
  </si>
  <si>
    <t>Excavation in all kind of soil including  rock  for all leads and lifts, backfilling, disposal of surplus earth within a lead up to 2Km as per technical specification. The surplus earth shall be roughly graded.</t>
  </si>
  <si>
    <t>Excavation in hard rock which require blasting (including chemical blasting and rock excavated using specialized tools) for all foundation works including stacking, measuring, disposal etc. for all leads and lifts as per technical specification.</t>
  </si>
  <si>
    <t>Providing and laying of Plain Cement Concrete (PCC) (1:2:4)</t>
  </si>
  <si>
    <t>Providing and laying of Reinforced Cement Concrete M25 mix including pre cast, shuttering, Grouting of pockets &amp; underpinning but excluding steel reinforcement</t>
  </si>
  <si>
    <t>Misc. Structural steel including rails, embedments, edge protection angles, gratings etc. but excluding the reinforcement steel and steel for lattice and pipe structures.</t>
  </si>
  <si>
    <t>Stone spreading in switchyard excluding PCC</t>
  </si>
  <si>
    <t>Removing, cleaning and washing of existing stones and respreading of stones in switchyard excluding PCC</t>
  </si>
  <si>
    <t>Providing &amp; laying non-woven Geo-synthetics fabric of minimum 200 GSM  in separation layer between sub garde and stone spreading in switchyard as per Technical Specification and direction of Engineer-in-Charge.</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</si>
  <si>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</si>
  <si>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</si>
  <si>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</si>
  <si>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Cable Trench including all types of crossings, all metallic works and sump pit including concrete and reinforcement steel Section 2A-2A</t>
  </si>
  <si>
    <t>Cable Trench including all types of crossings, all metallic works and sump pit including concrete and reinforcement steel Section 2-2</t>
  </si>
  <si>
    <t>Cable Trench including all types of crossings, all metallic works and sump pit including concrete and reinforcement steel Section 3-3</t>
  </si>
  <si>
    <t>Cable Trench including all types of crossings, all metallic works and sump pit including concrete and reinforcement steel Section 4-4</t>
  </si>
  <si>
    <t>Concrete road (including all crossings) as per drawing except reinforcement &amp; concrete
3.75m wide Concrete road (including all crossings) as per drawing except reinforcement &amp; concrete in Switchyard</t>
  </si>
  <si>
    <t>5.5m wide Concrete road (including all crossings) as per drawing except reinforcement
&amp; concrete in switchyard</t>
  </si>
  <si>
    <t>All civil works for Drains construction of Section A-A including crossings if any as per technical specification and tender drawings complete in all respect with all labour and materials.</t>
  </si>
  <si>
    <t>All civil works for Drains construction of Section B-B including crossings if any as per technical specification and tender drawings complete in all respect with all labour and materials.</t>
  </si>
  <si>
    <t>All civil works for Drains construction of Section C-C including crossings if any as per technical specification and tender drawings complete in all respect with all labour and materials.</t>
  </si>
  <si>
    <t>All civil works for Drains construction of Section D-D including crossings if any as per technical specification and tender drawings complete in all respect with all labour and materials.</t>
  </si>
  <si>
    <t>Dry stone pitching 22.5 cm thick including supply of stones and preparing surface complete including construction of 600 mm high and 230 mm wide cement concrete (1:3:6) (1 cement : 3 coarse sand (zone-III) : 6 graded stone aggregate 20 mm nominal size) toe wall at the lowest portion of stone pitching area etc. completed as per the instruction of Engineer-In-Charge. .</t>
  </si>
  <si>
    <t>Earthwork in excavation &amp; filling in all types of soil and soft/disintegrated rock in open areas/nallas/channels, to the required slopes, shapes, levels, elevations and profile, including trimming of bottom and slopes of excavation, bailing out rain (dewatering), pumping, removal of slush, preparing embankments/marginal banks, loosening, dressing, spreading material in layers not exceeding 200mm, as per direction of Engineer-in-Charge, water flooding, compacting to achieve 95% consolidation at optimum moisture content, finishing etc. all complete, for all leads and lifts within leveling boundary, including disposal of surplus earth and 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</si>
  <si>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</si>
  <si>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Earthwork in excavation in Hard rocks in open areas/nallas/ channels, to the required slopes, shapes, levels, elevations and profile, including trimming of bottom and slopes of excavation and stacking and disposal of rock for a lead up to 2.0 KM beyond leveling boundary and all lifts , with all labour, material, tools, tackles and equipment, safeguards and incidentals, Royalty, taxes etc.  as per directions of the Engineer-in-Charge. Serviceable material if available shall be stacked at site as identified by Engineer-in-Charge. (50% void deduction from stack measurement)</t>
  </si>
  <si>
    <t>Supplying, filling and compacting stone boulders mixed with sand under foundations, roads, cable trenches, drains etc in layers not exceeding 250mm thickness including ramming, watering compacting</t>
  </si>
  <si>
    <t>Demolishing RCC work including stacking of steel bars and disposal of unserviceable material.</t>
  </si>
  <si>
    <t>Construction of rail cum road as per drawing including all item such as excavation,compactions, rolling watering, WBM etc. but excluding concrete reinforcement and structural steel-Section having four rails for auto transformer.</t>
  </si>
  <si>
    <t>NR2/NT/W-MISC/DOM/J01/25/07157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</si>
</sst>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3">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4"/>
      <color indexed="10"/>
      <name val="Book Antiqua"/>
      <family val="1"/>
    </font>
    <font>
      <b/>
      <sz val="18"/>
      <color indexed="10"/>
      <name val="Book Antiqua"/>
      <family val="1"/>
    </font>
    <font>
      <b/>
      <sz val="16"/>
      <name val="Book Antiqua"/>
      <family val="1"/>
    </font>
  </fonts>
  <fills count="17">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29"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3"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3"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4"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5"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5"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6" fillId="0" borderId="0" xfId="11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horizontal="center" vertical="top"/>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6" fillId="0" borderId="0" xfId="113" applyNumberFormat="1" applyFont="1" applyFill="1" applyBorder="1" applyAlignment="1" applyProtection="1">
      <alignment vertical="center"/>
      <protection hidden="1"/>
    </xf>
    <xf numFmtId="0" fontId="40" fillId="0" borderId="0" xfId="113" applyNumberFormat="1" applyFont="1" applyFill="1" applyBorder="1" applyAlignment="1" applyProtection="1">
      <alignment vertical="center"/>
      <protection hidden="1"/>
    </xf>
    <xf numFmtId="0" fontId="40" fillId="0" borderId="0" xfId="113" applyNumberFormat="1" applyFont="1" applyFill="1" applyBorder="1" applyAlignment="1" applyProtection="1">
      <alignment vertical="top"/>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0"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4"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6" fillId="0" borderId="0" xfId="113" applyNumberFormat="1" applyFont="1" applyFill="1" applyBorder="1" applyAlignment="1" applyProtection="1">
      <alignment vertical="top"/>
      <protection hidden="1"/>
    </xf>
    <xf numFmtId="0" fontId="45"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6"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6"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6" applyFont="1" applyAlignment="1">
      <alignment horizontal="justify" vertical="center"/>
    </xf>
    <xf numFmtId="0" fontId="4" fillId="0" borderId="0" xfId="106" applyFont="1" applyAlignment="1">
      <alignment vertical="top"/>
    </xf>
    <xf numFmtId="165" fontId="4" fillId="0" borderId="0" xfId="106" applyNumberFormat="1" applyFont="1" applyAlignment="1">
      <alignment horizontal="center" vertical="top"/>
    </xf>
    <xf numFmtId="0" fontId="69"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0"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1"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3" fillId="0" borderId="0" xfId="115" applyFont="1" applyAlignment="1" applyProtection="1">
      <alignment horizontal="justify" vertical="center" wrapText="1"/>
      <protection hidden="1"/>
    </xf>
    <xf numFmtId="0" fontId="33"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0" fillId="0" borderId="0" xfId="114" applyFont="1" applyAlignment="1" applyProtection="1">
      <alignment vertical="top"/>
      <protection hidden="1"/>
    </xf>
    <xf numFmtId="0" fontId="71" fillId="0" borderId="0" xfId="114" applyFont="1" applyAlignment="1" applyProtection="1">
      <alignment vertical="top"/>
      <protection hidden="1"/>
    </xf>
    <xf numFmtId="2" fontId="71" fillId="0" borderId="0" xfId="114" applyNumberFormat="1" applyFont="1" applyAlignment="1" applyProtection="1">
      <alignment vertical="top"/>
      <protection hidden="1"/>
    </xf>
    <xf numFmtId="174" fontId="70" fillId="0" borderId="0" xfId="114" applyNumberFormat="1" applyFont="1" applyAlignment="1" applyProtection="1">
      <alignment vertical="top"/>
      <protection hidden="1"/>
    </xf>
    <xf numFmtId="0" fontId="4" fillId="0" borderId="0" xfId="114" applyFont="1" applyAlignment="1">
      <alignment horizontal="left" vertical="top" wrapText="1"/>
    </xf>
    <xf numFmtId="0" fontId="4" fillId="0" borderId="0" xfId="73" applyAlignment="1">
      <alignment horizontal="left"/>
    </xf>
    <xf numFmtId="0" fontId="2" fillId="0" borderId="0" xfId="115" applyFont="1" applyAlignment="1">
      <alignment horizontal="center" vertical="center"/>
    </xf>
    <xf numFmtId="0" fontId="1" fillId="0" borderId="0" xfId="0" applyFont="1" applyAlignment="1">
      <alignment vertical="center" wrapText="1"/>
    </xf>
    <xf numFmtId="0" fontId="44"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6" fillId="0" borderId="0" xfId="113" applyNumberFormat="1" applyFont="1" applyFill="1" applyBorder="1" applyAlignment="1" applyProtection="1">
      <alignment vertical="center"/>
      <protection hidden="1"/>
    </xf>
    <xf numFmtId="0" fontId="54" fillId="0" borderId="0" xfId="113" applyNumberFormat="1" applyFont="1" applyFill="1" applyBorder="1" applyAlignment="1" applyProtection="1">
      <alignment vertical="center"/>
      <protection hidden="1"/>
    </xf>
    <xf numFmtId="164" fontId="40"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6"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4" fillId="0" borderId="0" xfId="114" applyFont="1" applyAlignment="1" applyProtection="1">
      <alignment horizontal="left" vertical="top"/>
      <protection locked="0"/>
    </xf>
    <xf numFmtId="0" fontId="4" fillId="0" borderId="0" xfId="114" applyFont="1" applyAlignment="1">
      <alignment horizontal="left" vertical="top"/>
    </xf>
    <xf numFmtId="0" fontId="2" fillId="0" borderId="0" xfId="0" applyFont="1" applyAlignment="1" applyProtection="1">
      <alignment horizontal="left" vertical="center" indent="1"/>
      <protection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 fillId="0" borderId="0" xfId="113" applyFont="1" applyAlignment="1" applyProtection="1">
      <alignment vertical="top"/>
      <protection hidden="1"/>
    </xf>
    <xf numFmtId="10" fontId="2" fillId="0" borderId="18" xfId="111" applyNumberFormat="1" applyFont="1" applyFill="1" applyBorder="1" applyAlignment="1" applyProtection="1">
      <alignment horizontal="center" vertical="top" wrapText="1"/>
      <protection locked="0" hidden="1"/>
    </xf>
    <xf numFmtId="43" fontId="72" fillId="3" borderId="18" xfId="8" applyFont="1" applyFill="1" applyBorder="1" applyAlignment="1" applyProtection="1">
      <alignment horizontal="right" vertical="top" wrapText="1"/>
      <protection locked="0"/>
    </xf>
    <xf numFmtId="43" fontId="72"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2"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3"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0"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1"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2" fillId="0" borderId="0" xfId="0" applyFont="1" applyAlignment="1">
      <alignment vertical="center" wrapText="1"/>
    </xf>
    <xf numFmtId="0" fontId="7" fillId="0" borderId="0" xfId="106" applyFont="1" applyAlignment="1">
      <alignment vertical="top"/>
    </xf>
    <xf numFmtId="165" fontId="7" fillId="0" borderId="0" xfId="106" applyNumberFormat="1" applyFont="1" applyAlignment="1">
      <alignment horizontal="center" vertical="top"/>
    </xf>
    <xf numFmtId="0" fontId="78" fillId="11" borderId="9" xfId="0" applyFont="1" applyFill="1" applyBorder="1" applyAlignment="1">
      <alignment horizontal="center" vertical="top" wrapText="1"/>
    </xf>
    <xf numFmtId="0" fontId="62" fillId="0" borderId="0" xfId="112" applyNumberFormat="1" applyFont="1" applyFill="1" applyBorder="1" applyAlignment="1" applyProtection="1">
      <alignment horizontal="center" vertical="top"/>
      <protection hidden="1"/>
    </xf>
    <xf numFmtId="0" fontId="63" fillId="0" borderId="0" xfId="113" applyNumberFormat="1" applyFont="1" applyFill="1" applyBorder="1" applyAlignment="1" applyProtection="1">
      <alignment vertical="top"/>
      <protection hidden="1"/>
    </xf>
    <xf numFmtId="0" fontId="57" fillId="0" borderId="6" xfId="114" applyFont="1" applyBorder="1" applyAlignment="1" applyProtection="1">
      <alignment horizontal="center" vertical="top"/>
      <protection hidden="1"/>
    </xf>
    <xf numFmtId="0" fontId="57"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69" fillId="0" borderId="43" xfId="114" applyFont="1" applyBorder="1" applyAlignment="1" applyProtection="1">
      <alignment horizontal="justify" vertical="top"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6" fillId="0" borderId="18" xfId="8" applyFont="1" applyBorder="1" applyAlignment="1" applyProtection="1">
      <alignment horizontal="right" vertical="top" wrapText="1"/>
      <protection hidden="1"/>
    </xf>
    <xf numFmtId="43" fontId="56" fillId="0" borderId="14" xfId="8" applyFont="1" applyBorder="1" applyAlignment="1" applyProtection="1">
      <alignment horizontal="right" vertical="top" wrapText="1"/>
      <protection hidden="1"/>
    </xf>
    <xf numFmtId="43" fontId="56" fillId="0" borderId="9" xfId="8" applyFont="1" applyBorder="1" applyAlignment="1" applyProtection="1">
      <alignment horizontal="right" vertical="top" wrapText="1"/>
      <protection hidden="1"/>
    </xf>
    <xf numFmtId="43" fontId="56" fillId="0" borderId="24" xfId="8" applyFont="1" applyBorder="1" applyAlignment="1" applyProtection="1">
      <alignment horizontal="right" vertical="top" wrapText="1"/>
      <protection hidden="1"/>
    </xf>
    <xf numFmtId="43" fontId="56" fillId="0" borderId="35" xfId="8" applyFont="1" applyBorder="1" applyAlignment="1" applyProtection="1">
      <alignment horizontal="right" vertical="top" wrapText="1"/>
      <protection hidden="1"/>
    </xf>
    <xf numFmtId="43" fontId="56" fillId="0" borderId="16" xfId="8" applyFont="1" applyBorder="1" applyAlignment="1" applyProtection="1">
      <alignment horizontal="right" vertical="top" wrapText="1"/>
      <protection hidden="1"/>
    </xf>
    <xf numFmtId="43" fontId="56" fillId="0" borderId="12" xfId="8" applyFont="1" applyBorder="1" applyAlignment="1" applyProtection="1">
      <alignment horizontal="right" vertical="top" wrapText="1"/>
      <protection hidden="1"/>
    </xf>
    <xf numFmtId="43" fontId="56" fillId="0" borderId="55" xfId="8" applyFont="1" applyBorder="1" applyAlignment="1" applyProtection="1">
      <alignment horizontal="right" vertical="top" wrapText="1"/>
      <protection hidden="1"/>
    </xf>
    <xf numFmtId="43" fontId="56" fillId="0" borderId="25" xfId="8" applyFont="1" applyBorder="1" applyAlignment="1" applyProtection="1">
      <alignment horizontal="right" vertical="top" wrapText="1"/>
      <protection hidden="1"/>
    </xf>
    <xf numFmtId="43" fontId="56" fillId="0" borderId="56" xfId="8" applyFont="1" applyBorder="1" applyAlignment="1" applyProtection="1">
      <alignment horizontal="right" vertical="top" wrapText="1"/>
      <protection hidden="1"/>
    </xf>
    <xf numFmtId="43" fontId="56" fillId="0" borderId="0" xfId="8" applyFont="1" applyBorder="1" applyAlignment="1" applyProtection="1">
      <alignment horizontal="right" vertical="top" wrapText="1"/>
      <protection hidden="1"/>
    </xf>
    <xf numFmtId="43" fontId="56" fillId="0" borderId="9" xfId="8" applyFont="1" applyBorder="1" applyAlignment="1" applyProtection="1">
      <alignment horizontal="center" vertical="top" wrapText="1"/>
      <protection hidden="1"/>
    </xf>
    <xf numFmtId="43" fontId="56" fillId="0" borderId="0" xfId="8" applyFont="1" applyBorder="1" applyAlignment="1" applyProtection="1">
      <alignment vertical="top" wrapText="1"/>
      <protection hidden="1"/>
    </xf>
    <xf numFmtId="43" fontId="55" fillId="0" borderId="17" xfId="8" applyFont="1" applyBorder="1" applyAlignment="1" applyProtection="1">
      <alignment vertical="top" wrapText="1"/>
      <protection hidden="1"/>
    </xf>
    <xf numFmtId="43" fontId="56" fillId="0" borderId="36" xfId="8" applyFont="1" applyBorder="1" applyAlignment="1" applyProtection="1">
      <alignment vertical="top" wrapText="1"/>
      <protection hidden="1"/>
    </xf>
    <xf numFmtId="43" fontId="56" fillId="0" borderId="57" xfId="8" applyFont="1" applyBorder="1" applyAlignment="1" applyProtection="1">
      <alignment vertical="top" wrapText="1"/>
      <protection hidden="1"/>
    </xf>
    <xf numFmtId="43" fontId="36" fillId="0" borderId="0" xfId="8" applyFont="1" applyFill="1" applyBorder="1" applyAlignment="1" applyProtection="1">
      <alignment vertical="top" wrapText="1"/>
      <protection hidden="1"/>
    </xf>
    <xf numFmtId="43" fontId="55" fillId="0" borderId="38" xfId="8" applyFont="1" applyBorder="1" applyAlignment="1" applyProtection="1">
      <alignment vertical="top" wrapText="1"/>
      <protection hidden="1"/>
    </xf>
    <xf numFmtId="43" fontId="55" fillId="0" borderId="58" xfId="8" applyFont="1" applyBorder="1" applyAlignment="1" applyProtection="1">
      <alignment vertical="top" wrapText="1"/>
      <protection hidden="1"/>
    </xf>
    <xf numFmtId="43" fontId="55" fillId="0" borderId="39" xfId="8" applyFont="1" applyBorder="1" applyAlignment="1" applyProtection="1">
      <alignment vertical="top" wrapText="1"/>
      <protection hidden="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0"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2" fillId="3" borderId="18" xfId="8" applyFont="1" applyFill="1" applyBorder="1" applyAlignment="1" applyProtection="1">
      <alignment horizontal="center" vertical="top" wrapText="1"/>
      <protection locked="0"/>
    </xf>
    <xf numFmtId="0" fontId="72"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7" fillId="0" borderId="9" xfId="0" applyFont="1" applyBorder="1" applyAlignment="1">
      <alignment horizontal="center" vertical="top" wrapText="1"/>
    </xf>
    <xf numFmtId="0" fontId="61" fillId="0" borderId="0" xfId="0" applyFont="1" applyAlignment="1">
      <alignment vertical="top" wrapText="1"/>
    </xf>
    <xf numFmtId="0" fontId="60"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72"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2" fillId="0" borderId="0" xfId="0" applyFont="1" applyAlignment="1">
      <alignment horizontal="center" vertical="top"/>
    </xf>
    <xf numFmtId="0" fontId="72" fillId="0" borderId="0" xfId="0" applyFont="1" applyAlignment="1">
      <alignment horizontal="left" vertical="top"/>
    </xf>
    <xf numFmtId="0" fontId="72"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2"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2" fillId="0" borderId="9" xfId="0" applyFont="1" applyBorder="1" applyAlignment="1">
      <alignment horizontal="center" vertical="top"/>
    </xf>
    <xf numFmtId="0" fontId="70" fillId="0" borderId="0" xfId="0" applyFont="1" applyAlignment="1">
      <alignment horizontal="center" vertical="top"/>
    </xf>
    <xf numFmtId="0" fontId="75"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7" fillId="0" borderId="9" xfId="0" applyFont="1" applyBorder="1" applyAlignment="1">
      <alignment horizontal="center" vertical="top"/>
    </xf>
    <xf numFmtId="0" fontId="57" fillId="0" borderId="24" xfId="0" applyFont="1" applyBorder="1" applyAlignment="1">
      <alignment horizontal="center" vertical="top"/>
    </xf>
    <xf numFmtId="0" fontId="57" fillId="0" borderId="25" xfId="0" applyFont="1" applyBorder="1" applyAlignment="1">
      <alignment horizontal="center" vertical="top"/>
    </xf>
    <xf numFmtId="0" fontId="77" fillId="0" borderId="0" xfId="0" applyFont="1" applyAlignment="1">
      <alignment horizontal="center" vertical="top"/>
    </xf>
    <xf numFmtId="0" fontId="32" fillId="15" borderId="9" xfId="0" applyFont="1" applyFill="1" applyBorder="1" applyAlignment="1">
      <alignment horizontal="center" vertical="top"/>
    </xf>
    <xf numFmtId="0" fontId="32" fillId="15" borderId="24" xfId="0" applyFont="1" applyFill="1" applyBorder="1" applyAlignment="1">
      <alignment vertical="top"/>
    </xf>
    <xf numFmtId="0" fontId="32" fillId="15" borderId="3" xfId="0" applyFont="1" applyFill="1" applyBorder="1" applyAlignment="1">
      <alignment vertical="top"/>
    </xf>
    <xf numFmtId="0" fontId="32" fillId="15" borderId="25" xfId="0" applyFont="1" applyFill="1" applyBorder="1" applyAlignment="1">
      <alignment vertical="top"/>
    </xf>
    <xf numFmtId="0" fontId="32" fillId="15" borderId="9" xfId="0" applyFont="1" applyFill="1" applyBorder="1" applyAlignment="1">
      <alignment vertical="top"/>
    </xf>
    <xf numFmtId="0" fontId="2" fillId="0" borderId="18" xfId="0" applyFont="1" applyBorder="1" applyAlignment="1">
      <alignment horizontal="center" vertical="top"/>
    </xf>
    <xf numFmtId="0" fontId="72" fillId="0" borderId="9" xfId="0" applyFont="1" applyBorder="1" applyAlignment="1" applyProtection="1">
      <alignment horizontal="right" vertical="top"/>
      <protection locked="0"/>
    </xf>
    <xf numFmtId="2" fontId="72" fillId="0" borderId="9" xfId="0" applyNumberFormat="1" applyFont="1" applyBorder="1" applyAlignment="1" applyProtection="1">
      <alignment horizontal="right" vertical="top"/>
      <protection locked="0"/>
    </xf>
    <xf numFmtId="164" fontId="72"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2" fillId="0" borderId="9" xfId="8" applyFont="1" applyBorder="1" applyAlignment="1">
      <alignment horizontal="right" vertical="top"/>
    </xf>
    <xf numFmtId="43" fontId="75" fillId="0" borderId="9" xfId="8" applyFont="1" applyBorder="1" applyAlignment="1">
      <alignment horizontal="right" vertical="top"/>
    </xf>
    <xf numFmtId="43" fontId="72" fillId="0" borderId="9" xfId="8" applyFont="1" applyBorder="1" applyAlignment="1" applyProtection="1">
      <alignment horizontal="right" vertical="top"/>
      <protection locked="0"/>
    </xf>
    <xf numFmtId="4" fontId="75" fillId="0" borderId="9" xfId="8" applyNumberFormat="1" applyFont="1" applyBorder="1" applyAlignment="1" applyProtection="1">
      <alignment horizontal="right" vertical="top"/>
      <protection locked="0"/>
    </xf>
    <xf numFmtId="43" fontId="75" fillId="0" borderId="9" xfId="8" applyFont="1" applyBorder="1" applyAlignment="1" applyProtection="1">
      <alignment horizontal="right" vertical="top"/>
      <protection locked="0"/>
    </xf>
    <xf numFmtId="0" fontId="72" fillId="0" borderId="0" xfId="0" applyFont="1" applyAlignment="1" applyProtection="1">
      <alignment horizontal="center" vertical="top"/>
      <protection locked="0"/>
    </xf>
    <xf numFmtId="0" fontId="72"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8" fillId="8" borderId="9" xfId="0" applyFont="1" applyFill="1" applyBorder="1" applyAlignment="1" applyProtection="1">
      <alignment horizontal="center" vertical="top" wrapText="1"/>
      <protection locked="0"/>
    </xf>
    <xf numFmtId="0" fontId="58"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2" fillId="0" borderId="16" xfId="0" applyFont="1" applyBorder="1" applyAlignment="1">
      <alignment vertical="top"/>
    </xf>
    <xf numFmtId="0" fontId="73" fillId="0" borderId="16" xfId="0" applyFont="1" applyBorder="1" applyAlignment="1">
      <alignment vertical="top"/>
    </xf>
    <xf numFmtId="0" fontId="73" fillId="0" borderId="0" xfId="0" applyFont="1" applyAlignment="1">
      <alignment vertical="top"/>
    </xf>
    <xf numFmtId="0" fontId="73" fillId="0" borderId="0" xfId="0" applyFont="1" applyAlignment="1">
      <alignment horizontal="center" vertical="top"/>
    </xf>
    <xf numFmtId="0" fontId="74" fillId="0" borderId="0" xfId="0" applyFont="1" applyAlignment="1">
      <alignment horizontal="center" vertical="top"/>
    </xf>
    <xf numFmtId="0" fontId="74" fillId="0" borderId="0" xfId="0" applyFont="1" applyAlignment="1">
      <alignment vertical="top"/>
    </xf>
    <xf numFmtId="0" fontId="74"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8" fillId="0" borderId="41" xfId="114" applyNumberFormat="1" applyFont="1" applyBorder="1" applyAlignment="1" applyProtection="1">
      <alignment vertical="top" wrapText="1"/>
      <protection hidden="1"/>
    </xf>
    <xf numFmtId="4" fontId="58"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165" fontId="1" fillId="12" borderId="5" xfId="115" applyNumberFormat="1" applyFont="1" applyFill="1" applyBorder="1" applyAlignment="1" applyProtection="1">
      <alignment vertical="top"/>
      <protection hidden="1"/>
    </xf>
    <xf numFmtId="0" fontId="2" fillId="12" borderId="9" xfId="111" applyNumberFormat="1" applyFont="1" applyFill="1" applyBorder="1" applyAlignment="1" applyProtection="1">
      <alignment horizontal="center" vertical="top" wrapText="1"/>
      <protection locked="0"/>
    </xf>
    <xf numFmtId="0" fontId="72" fillId="12" borderId="9" xfId="0" applyFont="1" applyFill="1" applyBorder="1" applyAlignment="1">
      <alignment vertical="top" wrapText="1"/>
    </xf>
    <xf numFmtId="4" fontId="75" fillId="12" borderId="9" xfId="8" applyNumberFormat="1" applyFont="1" applyFill="1" applyBorder="1" applyAlignment="1" applyProtection="1">
      <alignment horizontal="right" vertical="top" wrapText="1"/>
    </xf>
    <xf numFmtId="0" fontId="72" fillId="12" borderId="0" xfId="0" applyFont="1" applyFill="1" applyAlignment="1">
      <alignment vertical="top" wrapText="1"/>
    </xf>
    <xf numFmtId="0" fontId="5" fillId="12" borderId="0" xfId="0" applyFont="1" applyFill="1" applyAlignment="1">
      <alignment vertical="top" wrapText="1"/>
    </xf>
    <xf numFmtId="0" fontId="2" fillId="12" borderId="0" xfId="0" applyFont="1" applyFill="1" applyAlignment="1">
      <alignment vertical="top" wrapText="1"/>
    </xf>
    <xf numFmtId="165" fontId="32" fillId="12" borderId="18" xfId="111" applyNumberFormat="1" applyFont="1" applyFill="1" applyBorder="1" applyAlignment="1" applyProtection="1">
      <alignment vertical="top" wrapText="1"/>
      <protection locked="0"/>
    </xf>
    <xf numFmtId="2" fontId="32" fillId="12" borderId="18" xfId="0" applyNumberFormat="1" applyFont="1" applyFill="1" applyBorder="1" applyAlignment="1">
      <alignment horizontal="right" vertical="top" wrapText="1"/>
    </xf>
    <xf numFmtId="2" fontId="32" fillId="12" borderId="18" xfId="0" applyNumberFormat="1" applyFont="1" applyFill="1" applyBorder="1" applyAlignment="1">
      <alignment horizontal="center" vertical="top" wrapText="1"/>
    </xf>
    <xf numFmtId="39" fontId="32" fillId="12" borderId="18" xfId="8" applyNumberFormat="1" applyFont="1" applyFill="1" applyBorder="1" applyAlignment="1" applyProtection="1">
      <alignment horizontal="right" vertical="top" wrapText="1"/>
    </xf>
    <xf numFmtId="0" fontId="72" fillId="12" borderId="0" xfId="0" applyFont="1" applyFill="1" applyAlignment="1">
      <alignment vertical="top"/>
    </xf>
    <xf numFmtId="43" fontId="1" fillId="12" borderId="0" xfId="8" applyFont="1" applyFill="1" applyAlignment="1" applyProtection="1">
      <alignment vertical="top"/>
      <protection locked="0"/>
    </xf>
    <xf numFmtId="0" fontId="2" fillId="12" borderId="0" xfId="0" applyFont="1" applyFill="1" applyAlignment="1" applyProtection="1">
      <alignment vertical="top"/>
      <protection locked="0"/>
    </xf>
    <xf numFmtId="0" fontId="2" fillId="12" borderId="0" xfId="0" applyFont="1" applyFill="1" applyAlignment="1" applyProtection="1">
      <alignment horizontal="center" vertical="top"/>
      <protection locked="0"/>
    </xf>
    <xf numFmtId="164" fontId="5" fillId="12" borderId="0" xfId="0" applyNumberFormat="1" applyFont="1" applyFill="1" applyAlignment="1" applyProtection="1">
      <alignment vertical="top"/>
      <protection locked="0"/>
    </xf>
    <xf numFmtId="0" fontId="5" fillId="12" borderId="0" xfId="0" applyFont="1" applyFill="1" applyAlignment="1" applyProtection="1">
      <alignment vertical="top"/>
      <protection locked="0"/>
    </xf>
    <xf numFmtId="0" fontId="5" fillId="12" borderId="0" xfId="0" applyFont="1" applyFill="1" applyAlignment="1">
      <alignment vertical="top"/>
    </xf>
    <xf numFmtId="0" fontId="2" fillId="12" borderId="0" xfId="0" applyFont="1" applyFill="1" applyAlignment="1">
      <alignment vertical="top"/>
    </xf>
    <xf numFmtId="0" fontId="1" fillId="10" borderId="0" xfId="73" applyFont="1" applyFill="1" applyAlignment="1" applyProtection="1">
      <alignment horizontal="left" vertical="top" wrapText="1"/>
      <protection hidden="1"/>
    </xf>
    <xf numFmtId="0" fontId="9" fillId="0" borderId="9" xfId="114" quotePrefix="1" applyFont="1" applyBorder="1" applyAlignment="1" applyProtection="1">
      <alignment horizontal="left" vertical="top"/>
      <protection hidden="1"/>
    </xf>
    <xf numFmtId="0" fontId="14" fillId="0" borderId="9" xfId="114" applyFont="1" applyBorder="1" applyAlignment="1" applyProtection="1">
      <alignment vertical="top"/>
      <protection hidden="1"/>
    </xf>
    <xf numFmtId="0" fontId="79" fillId="0" borderId="0" xfId="114" applyFont="1" applyAlignment="1" applyProtection="1">
      <alignment vertical="top"/>
      <protection hidden="1"/>
    </xf>
    <xf numFmtId="22" fontId="20" fillId="0" borderId="0" xfId="114" applyNumberFormat="1" applyFont="1" applyAlignment="1" applyProtection="1">
      <alignment vertical="top"/>
      <protection hidden="1"/>
    </xf>
    <xf numFmtId="0" fontId="20" fillId="0" borderId="0" xfId="114" applyFont="1" applyAlignment="1" applyProtection="1">
      <alignment vertical="top"/>
      <protection hidden="1"/>
    </xf>
    <xf numFmtId="0" fontId="6" fillId="0" borderId="0" xfId="114" applyAlignment="1" applyProtection="1">
      <alignment vertical="top"/>
      <protection hidden="1"/>
    </xf>
    <xf numFmtId="0" fontId="23" fillId="0" borderId="11" xfId="114" applyFont="1" applyBorder="1" applyAlignment="1" applyProtection="1">
      <alignment horizontal="center" vertical="top"/>
      <protection hidden="1"/>
    </xf>
    <xf numFmtId="0" fontId="6" fillId="0" borderId="0" xfId="114" applyAlignment="1">
      <alignment vertical="top"/>
    </xf>
    <xf numFmtId="0" fontId="6" fillId="0" borderId="0" xfId="114" quotePrefix="1" applyAlignment="1">
      <alignment horizontal="left" vertical="top"/>
    </xf>
    <xf numFmtId="0" fontId="2" fillId="0" borderId="12" xfId="114" applyFont="1" applyBorder="1" applyAlignment="1" applyProtection="1">
      <alignment vertical="top"/>
      <protection hidden="1"/>
    </xf>
    <xf numFmtId="0" fontId="2" fillId="0" borderId="13" xfId="114" applyFont="1" applyBorder="1" applyAlignment="1" applyProtection="1">
      <alignment vertical="top"/>
      <protection hidden="1"/>
    </xf>
    <xf numFmtId="0" fontId="2" fillId="0" borderId="14" xfId="114" applyFont="1" applyBorder="1" applyAlignment="1" applyProtection="1">
      <alignment vertical="top"/>
      <protection hidden="1"/>
    </xf>
    <xf numFmtId="0" fontId="2" fillId="0" borderId="5" xfId="114" applyFont="1" applyBorder="1" applyAlignment="1" applyProtection="1">
      <alignment vertical="top"/>
      <protection hidden="1"/>
    </xf>
    <xf numFmtId="0" fontId="2" fillId="0" borderId="15" xfId="114" applyFont="1" applyBorder="1" applyAlignment="1" applyProtection="1">
      <alignment vertical="top"/>
      <protection hidden="1"/>
    </xf>
    <xf numFmtId="0" fontId="25" fillId="0" borderId="13" xfId="114" applyFont="1" applyBorder="1" applyAlignment="1" applyProtection="1">
      <alignment vertical="top"/>
      <protection hidden="1"/>
    </xf>
    <xf numFmtId="0" fontId="9" fillId="0" borderId="13" xfId="114" applyFont="1" applyBorder="1" applyAlignment="1" applyProtection="1">
      <alignment vertical="top"/>
      <protection hidden="1"/>
    </xf>
    <xf numFmtId="0" fontId="27" fillId="0" borderId="0" xfId="114" applyFont="1" applyAlignment="1" applyProtection="1">
      <alignment vertical="top"/>
      <protection hidden="1"/>
    </xf>
    <xf numFmtId="0" fontId="9" fillId="0" borderId="15" xfId="114" applyFont="1" applyBorder="1" applyAlignment="1" applyProtection="1">
      <alignment vertical="top"/>
      <protection hidden="1"/>
    </xf>
    <xf numFmtId="0" fontId="2" fillId="0" borderId="16" xfId="114" applyFont="1" applyBorder="1" applyAlignment="1" applyProtection="1">
      <alignment vertical="top"/>
      <protection hidden="1"/>
    </xf>
    <xf numFmtId="0" fontId="9" fillId="0" borderId="0" xfId="114" applyFont="1" applyAlignment="1" applyProtection="1">
      <alignment vertical="top"/>
      <protection hidden="1"/>
    </xf>
    <xf numFmtId="0" fontId="1" fillId="0" borderId="5" xfId="0" applyFont="1" applyBorder="1" applyAlignment="1" applyProtection="1">
      <alignment horizontal="left" vertical="top"/>
      <protection hidden="1"/>
    </xf>
    <xf numFmtId="0" fontId="1" fillId="0" borderId="5" xfId="0" applyFont="1" applyBorder="1" applyAlignment="1" applyProtection="1">
      <alignment horizontal="justify" vertical="top"/>
      <protection hidden="1"/>
    </xf>
    <xf numFmtId="0" fontId="1" fillId="0" borderId="5" xfId="0" applyFont="1" applyBorder="1" applyAlignment="1" applyProtection="1">
      <alignment horizontal="center" vertical="top" wrapText="1"/>
      <protection hidden="1"/>
    </xf>
    <xf numFmtId="0" fontId="1" fillId="0" borderId="5" xfId="0" applyFont="1" applyBorder="1" applyAlignment="1" applyProtection="1">
      <alignment horizontal="center" vertical="top"/>
      <protection hidden="1"/>
    </xf>
    <xf numFmtId="0" fontId="1" fillId="0" borderId="5" xfId="0" applyFont="1" applyBorder="1" applyAlignment="1" applyProtection="1">
      <alignment vertical="top"/>
      <protection hidden="1"/>
    </xf>
    <xf numFmtId="0" fontId="1" fillId="0" borderId="5" xfId="0" applyFont="1" applyBorder="1" applyAlignment="1" applyProtection="1">
      <alignment horizontal="right" vertical="top"/>
      <protection hidden="1"/>
    </xf>
    <xf numFmtId="0" fontId="2" fillId="0" borderId="0" xfId="0" applyFont="1" applyAlignment="1" applyProtection="1">
      <alignment horizontal="justify" vertical="top"/>
      <protection hidden="1"/>
    </xf>
    <xf numFmtId="0" fontId="2" fillId="0" borderId="0" xfId="0" applyFont="1" applyAlignment="1" applyProtection="1">
      <alignment horizontal="center" vertical="top" wrapText="1"/>
      <protection hidden="1"/>
    </xf>
    <xf numFmtId="0" fontId="2" fillId="0" borderId="0" xfId="0" applyFont="1" applyAlignment="1" applyProtection="1">
      <alignment horizontal="center" vertical="top"/>
      <protection hidden="1"/>
    </xf>
    <xf numFmtId="0" fontId="2" fillId="0" borderId="0" xfId="0" applyFont="1" applyAlignment="1" applyProtection="1">
      <alignment vertical="top"/>
      <protection hidden="1"/>
    </xf>
    <xf numFmtId="0" fontId="2" fillId="0" borderId="0" xfId="111" applyNumberFormat="1" applyFont="1" applyFill="1" applyBorder="1" applyProtection="1">
      <alignment vertical="top"/>
      <protection hidden="1"/>
    </xf>
    <xf numFmtId="0" fontId="2" fillId="0" borderId="0" xfId="111" applyNumberFormat="1" applyFont="1" applyFill="1" applyBorder="1" applyAlignment="1" applyProtection="1">
      <alignment vertical="top" wrapText="1"/>
      <protection hidden="1"/>
    </xf>
    <xf numFmtId="0" fontId="2" fillId="0" borderId="0" xfId="115" applyFont="1" applyAlignment="1" applyProtection="1">
      <alignment vertical="top"/>
      <protection hidden="1"/>
    </xf>
    <xf numFmtId="165" fontId="7" fillId="11" borderId="9" xfId="111" applyNumberFormat="1" applyFont="1" applyFill="1" applyBorder="1" applyAlignment="1" applyProtection="1">
      <alignment vertical="top" wrapText="1"/>
    </xf>
    <xf numFmtId="0" fontId="7" fillId="11" borderId="9" xfId="111" applyNumberFormat="1" applyFont="1" applyFill="1" applyBorder="1" applyAlignment="1" applyProtection="1">
      <alignment vertical="top" wrapText="1"/>
    </xf>
    <xf numFmtId="0" fontId="7" fillId="11" borderId="9" xfId="111" applyNumberFormat="1" applyFont="1" applyFill="1" applyBorder="1" applyAlignment="1" applyProtection="1">
      <alignment horizontal="center" vertical="top"/>
    </xf>
    <xf numFmtId="0" fontId="7" fillId="11" borderId="9" xfId="111" applyNumberFormat="1" applyFont="1" applyFill="1" applyBorder="1" applyAlignment="1" applyProtection="1">
      <alignment horizontal="center" vertical="top" wrapText="1"/>
    </xf>
    <xf numFmtId="0" fontId="53" fillId="11" borderId="9" xfId="0" applyFont="1" applyFill="1" applyBorder="1" applyAlignment="1">
      <alignment horizontal="center" vertical="top"/>
    </xf>
    <xf numFmtId="0" fontId="53" fillId="11" borderId="9" xfId="0" applyFont="1" applyFill="1" applyBorder="1" applyAlignment="1">
      <alignment horizontal="center" vertical="top" wrapText="1"/>
    </xf>
    <xf numFmtId="0" fontId="2" fillId="0" borderId="9" xfId="112" applyNumberFormat="1" applyFont="1" applyFill="1" applyBorder="1" applyAlignment="1" applyProtection="1">
      <alignment vertical="top" wrapText="1"/>
      <protection locked="0" hidden="1"/>
    </xf>
    <xf numFmtId="0" fontId="72" fillId="0" borderId="9" xfId="0" applyFont="1" applyBorder="1" applyAlignment="1">
      <alignment vertical="top"/>
    </xf>
    <xf numFmtId="0" fontId="75" fillId="0" borderId="9" xfId="0" applyFont="1" applyBorder="1" applyAlignment="1">
      <alignment horizontal="right" vertical="top"/>
    </xf>
    <xf numFmtId="0" fontId="75" fillId="0" borderId="9" xfId="0" applyFont="1" applyBorder="1" applyAlignment="1">
      <alignment horizontal="center" vertical="top"/>
    </xf>
    <xf numFmtId="0" fontId="72" fillId="0" borderId="0" xfId="0" applyFont="1" applyAlignment="1" applyProtection="1">
      <alignment horizontal="left" vertical="top"/>
      <protection locked="0"/>
    </xf>
    <xf numFmtId="0" fontId="2" fillId="0" borderId="0" xfId="112" applyNumberFormat="1" applyFont="1" applyFill="1" applyBorder="1" applyAlignment="1" applyProtection="1">
      <alignment vertical="top" wrapText="1"/>
      <protection locked="0" hidden="1"/>
    </xf>
    <xf numFmtId="4" fontId="7" fillId="0" borderId="41" xfId="114" applyNumberFormat="1" applyFont="1" applyBorder="1" applyAlignment="1" applyProtection="1">
      <alignment vertical="top" wrapText="1"/>
      <protection hidden="1"/>
    </xf>
    <xf numFmtId="49" fontId="7" fillId="9" borderId="9" xfId="114" applyNumberFormat="1" applyFont="1" applyFill="1" applyBorder="1" applyAlignment="1">
      <alignment horizontal="left" vertical="top" wrapText="1"/>
    </xf>
    <xf numFmtId="0" fontId="7" fillId="0" borderId="5" xfId="0" applyFont="1" applyBorder="1" applyAlignment="1">
      <alignment horizontal="left" vertical="top"/>
    </xf>
    <xf numFmtId="0" fontId="7" fillId="0" borderId="5" xfId="0" applyFont="1" applyBorder="1" applyAlignment="1">
      <alignment horizontal="justify" vertical="top" wrapText="1"/>
    </xf>
    <xf numFmtId="0" fontId="7" fillId="0" borderId="5" xfId="0" applyFont="1" applyBorder="1" applyAlignment="1">
      <alignment horizontal="center" vertical="top"/>
    </xf>
    <xf numFmtId="0" fontId="7" fillId="0" borderId="5" xfId="0" applyFont="1" applyBorder="1" applyAlignment="1">
      <alignment horizontal="right" vertical="top"/>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justify" vertical="top" wrapText="1"/>
    </xf>
    <xf numFmtId="0" fontId="4" fillId="0" borderId="0" xfId="0" applyFont="1" applyAlignment="1">
      <alignment vertical="top" wrapText="1"/>
    </xf>
    <xf numFmtId="0" fontId="4" fillId="0" borderId="0" xfId="111" applyNumberFormat="1" applyFill="1" applyBorder="1" applyProtection="1">
      <alignment vertical="top"/>
    </xf>
    <xf numFmtId="0" fontId="4" fillId="0" borderId="0" xfId="115" applyAlignment="1">
      <alignment vertical="top"/>
    </xf>
    <xf numFmtId="0" fontId="22" fillId="0" borderId="0" xfId="0" applyFont="1" applyAlignment="1">
      <alignment vertical="top"/>
    </xf>
    <xf numFmtId="0" fontId="22" fillId="0" borderId="0" xfId="0" applyFont="1" applyAlignment="1">
      <alignment vertical="top" wrapText="1"/>
    </xf>
    <xf numFmtId="0" fontId="4" fillId="0" borderId="0" xfId="115" applyAlignment="1" applyProtection="1">
      <alignment vertical="top"/>
      <protection hidden="1"/>
    </xf>
    <xf numFmtId="0" fontId="4" fillId="0" borderId="0" xfId="0" applyFont="1" applyAlignment="1" applyProtection="1">
      <alignment vertical="top"/>
      <protection hidden="1"/>
    </xf>
    <xf numFmtId="0" fontId="7" fillId="0" borderId="9" xfId="0" applyFont="1" applyBorder="1" applyAlignment="1">
      <alignment horizontal="left" vertical="top" wrapText="1"/>
    </xf>
    <xf numFmtId="0" fontId="7" fillId="0" borderId="9" xfId="0" applyFont="1" applyBorder="1" applyAlignment="1">
      <alignment horizontal="center" vertical="top" wrapText="1"/>
    </xf>
    <xf numFmtId="166" fontId="7" fillId="0" borderId="9" xfId="0" applyNumberFormat="1" applyFont="1" applyBorder="1" applyAlignment="1">
      <alignment horizontal="center" vertical="top" wrapText="1"/>
    </xf>
    <xf numFmtId="0" fontId="4" fillId="0" borderId="9" xfId="115" applyBorder="1" applyAlignment="1" applyProtection="1">
      <alignment horizontal="left" vertical="top"/>
      <protection locked="0"/>
    </xf>
    <xf numFmtId="0" fontId="4" fillId="0" borderId="9" xfId="115" applyBorder="1" applyAlignment="1" applyProtection="1">
      <alignment vertical="top" wrapText="1"/>
      <protection locked="0"/>
    </xf>
    <xf numFmtId="0" fontId="4" fillId="0" borderId="9" xfId="115" applyBorder="1" applyAlignment="1" applyProtection="1">
      <alignment vertical="top"/>
      <protection locked="0"/>
    </xf>
    <xf numFmtId="0" fontId="4" fillId="0" borderId="0" xfId="0" applyFont="1" applyAlignment="1" applyProtection="1">
      <alignment vertical="top"/>
      <protection locked="0"/>
    </xf>
    <xf numFmtId="0" fontId="73" fillId="0" borderId="9" xfId="0" applyFont="1" applyBorder="1" applyAlignment="1">
      <alignment horizontal="center" vertical="top" wrapText="1"/>
    </xf>
    <xf numFmtId="0" fontId="4" fillId="0" borderId="9" xfId="0" applyFont="1" applyBorder="1" applyAlignment="1" applyProtection="1">
      <alignment horizontal="center" vertical="top"/>
      <protection locked="0"/>
    </xf>
    <xf numFmtId="0" fontId="76" fillId="0" borderId="9" xfId="0" applyFont="1" applyBorder="1" applyAlignment="1">
      <alignment horizontal="center" vertical="top"/>
    </xf>
    <xf numFmtId="0" fontId="73" fillId="0" borderId="9" xfId="0" applyFont="1" applyBorder="1" applyAlignment="1">
      <alignment vertical="top"/>
    </xf>
    <xf numFmtId="0" fontId="4" fillId="0" borderId="0" xfId="115" applyAlignment="1" applyProtection="1">
      <alignment horizontal="left" vertical="top"/>
      <protection locked="0"/>
    </xf>
    <xf numFmtId="0" fontId="4" fillId="0" borderId="0" xfId="115" applyAlignment="1" applyProtection="1">
      <alignment horizontal="left" vertical="top" wrapText="1"/>
      <protection hidden="1"/>
    </xf>
    <xf numFmtId="0" fontId="7" fillId="0" borderId="0" xfId="0" applyFont="1" applyAlignment="1" applyProtection="1">
      <alignment horizontal="left" vertical="top" wrapText="1"/>
      <protection hidden="1"/>
    </xf>
    <xf numFmtId="2" fontId="7" fillId="0" borderId="0" xfId="115" applyNumberFormat="1" applyFont="1" applyAlignment="1" applyProtection="1">
      <alignment vertical="top"/>
      <protection hidden="1"/>
    </xf>
    <xf numFmtId="0" fontId="33" fillId="0" borderId="0" xfId="115" applyFont="1" applyAlignment="1" applyProtection="1">
      <alignment horizontal="justify" vertical="top" wrapText="1"/>
      <protection hidden="1"/>
    </xf>
    <xf numFmtId="0" fontId="73" fillId="0" borderId="0" xfId="0" applyFont="1" applyAlignment="1" applyProtection="1">
      <alignment horizontal="center" vertical="top"/>
      <protection locked="0"/>
    </xf>
    <xf numFmtId="0" fontId="33" fillId="0" borderId="0" xfId="115" applyFont="1" applyAlignment="1" applyProtection="1">
      <alignment horizontal="center" vertical="top" wrapText="1"/>
      <protection hidden="1"/>
    </xf>
    <xf numFmtId="0" fontId="7" fillId="0" borderId="0" xfId="0" applyFont="1" applyAlignment="1" applyProtection="1">
      <alignment horizontal="justify" vertical="top"/>
      <protection hidden="1"/>
    </xf>
    <xf numFmtId="175" fontId="7" fillId="0" borderId="0" xfId="0" applyNumberFormat="1" applyFont="1" applyAlignment="1" applyProtection="1">
      <alignment horizontal="left" vertical="top"/>
      <protection hidden="1"/>
    </xf>
    <xf numFmtId="0" fontId="7" fillId="0" borderId="0" xfId="0"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horizontal="justify" vertical="top"/>
      <protection hidden="1"/>
    </xf>
    <xf numFmtId="0" fontId="10" fillId="0" borderId="0" xfId="115" applyFont="1" applyAlignment="1" applyProtection="1">
      <alignment horizontal="left" vertical="top"/>
      <protection locked="0"/>
    </xf>
    <xf numFmtId="0" fontId="10" fillId="0" borderId="0" xfId="115" applyFont="1" applyAlignment="1" applyProtection="1">
      <alignment vertical="top" wrapText="1"/>
      <protection locked="0"/>
    </xf>
    <xf numFmtId="0" fontId="10" fillId="0" borderId="0" xfId="115" applyFont="1" applyAlignment="1" applyProtection="1">
      <alignment vertical="top"/>
      <protection locked="0"/>
    </xf>
    <xf numFmtId="0" fontId="10" fillId="0" borderId="0" xfId="0" applyFont="1" applyAlignment="1" applyProtection="1">
      <alignment vertical="top"/>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justify" vertical="top" wrapText="1"/>
      <protection locked="0"/>
    </xf>
    <xf numFmtId="0" fontId="7" fillId="0" borderId="0" xfId="0" applyFont="1" applyAlignment="1" applyProtection="1">
      <alignment horizontal="center" vertical="top"/>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justify" vertical="top" wrapText="1"/>
      <protection locked="0"/>
    </xf>
    <xf numFmtId="0" fontId="4" fillId="0" borderId="0" xfId="0" applyFont="1" applyAlignment="1" applyProtection="1">
      <alignment horizontal="center" vertical="top"/>
      <protection locked="0"/>
    </xf>
    <xf numFmtId="0" fontId="7" fillId="0" borderId="0" xfId="115" applyFont="1" applyAlignment="1" applyProtection="1">
      <alignment horizontal="center" vertical="top" wrapText="1"/>
      <protection locked="0"/>
    </xf>
    <xf numFmtId="0" fontId="7" fillId="0" borderId="0" xfId="115" applyFont="1" applyAlignment="1" applyProtection="1">
      <alignment horizontal="left" vertical="top"/>
      <protection locked="0"/>
    </xf>
    <xf numFmtId="0" fontId="7" fillId="0" borderId="0" xfId="115" applyFont="1" applyAlignment="1" applyProtection="1">
      <alignment horizontal="center" vertical="top"/>
      <protection locked="0"/>
    </xf>
    <xf numFmtId="0" fontId="7" fillId="0" borderId="0" xfId="115" applyFont="1" applyAlignment="1" applyProtection="1">
      <alignment vertical="top"/>
      <protection locked="0"/>
    </xf>
    <xf numFmtId="0" fontId="4" fillId="0" borderId="0" xfId="114" applyFont="1" applyAlignment="1" applyProtection="1">
      <alignment vertical="top" wrapText="1"/>
      <protection locked="0"/>
    </xf>
    <xf numFmtId="0" fontId="7" fillId="0" borderId="0" xfId="111" applyNumberFormat="1" applyFont="1" applyFill="1" applyBorder="1" applyAlignment="1" applyProtection="1">
      <alignment horizontal="justify" vertical="top"/>
      <protection locked="0"/>
    </xf>
    <xf numFmtId="0" fontId="4" fillId="0" borderId="0" xfId="115" applyAlignment="1" applyProtection="1">
      <alignment vertical="top" wrapText="1"/>
      <protection locked="0"/>
    </xf>
    <xf numFmtId="0" fontId="4" fillId="0" borderId="0" xfId="115" applyAlignment="1" applyProtection="1">
      <alignment vertical="top"/>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167" fontId="7" fillId="0" borderId="0" xfId="8" applyNumberFormat="1" applyFont="1" applyFill="1" applyBorder="1" applyAlignment="1" applyProtection="1">
      <alignment horizontal="left" vertical="top" wrapText="1"/>
      <protection locked="0"/>
    </xf>
    <xf numFmtId="0" fontId="7" fillId="0" borderId="0" xfId="0" applyFont="1" applyAlignment="1" applyProtection="1">
      <alignment vertical="top" wrapText="1"/>
      <protection locked="0"/>
    </xf>
    <xf numFmtId="167" fontId="4" fillId="0" borderId="0" xfId="8" applyNumberFormat="1" applyFont="1" applyFill="1" applyBorder="1" applyAlignment="1" applyProtection="1">
      <alignment horizontal="right" vertical="top" wrapText="1"/>
      <protection locked="0"/>
    </xf>
    <xf numFmtId="0" fontId="4" fillId="0" borderId="0" xfId="0" applyFont="1" applyAlignment="1" applyProtection="1">
      <alignment vertical="top" wrapText="1"/>
      <protection locked="0"/>
    </xf>
    <xf numFmtId="167" fontId="4" fillId="0" borderId="0" xfId="8" applyNumberFormat="1" applyFont="1" applyFill="1" applyBorder="1" applyAlignment="1" applyProtection="1">
      <alignment horizontal="left" vertical="top" wrapText="1"/>
      <protection locked="0"/>
    </xf>
    <xf numFmtId="165" fontId="7" fillId="0" borderId="0" xfId="115" applyNumberFormat="1" applyFont="1" applyAlignment="1" applyProtection="1">
      <alignment horizontal="center" vertical="top"/>
      <protection locked="0"/>
    </xf>
    <xf numFmtId="167" fontId="7" fillId="0" borderId="0" xfId="8" applyNumberFormat="1" applyFont="1" applyFill="1" applyBorder="1" applyAlignment="1" applyProtection="1">
      <alignment horizontal="right" vertical="top" wrapText="1"/>
      <protection locked="0"/>
    </xf>
    <xf numFmtId="0" fontId="7" fillId="0" borderId="0" xfId="0" applyFont="1" applyAlignment="1" applyProtection="1">
      <alignment vertical="top"/>
      <protection locked="0"/>
    </xf>
    <xf numFmtId="0" fontId="4" fillId="0" borderId="0" xfId="115" applyAlignment="1" applyProtection="1">
      <alignment horizontal="left" vertical="top" wrapText="1"/>
      <protection locked="0"/>
    </xf>
    <xf numFmtId="0" fontId="4" fillId="0" borderId="0" xfId="115" applyAlignment="1" applyProtection="1">
      <alignment horizontal="right" vertical="top" wrapText="1"/>
      <protection locked="0"/>
    </xf>
    <xf numFmtId="0" fontId="4"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top" wrapText="1"/>
      <protection locked="0"/>
    </xf>
    <xf numFmtId="0" fontId="1" fillId="0" borderId="0" xfId="115" applyFont="1" applyAlignment="1">
      <alignment horizontal="center" vertical="top" wrapText="1"/>
    </xf>
    <xf numFmtId="0" fontId="72" fillId="8" borderId="9" xfId="0" applyFont="1" applyFill="1" applyBorder="1" applyAlignment="1">
      <alignment horizontal="left" vertical="top" wrapText="1"/>
    </xf>
    <xf numFmtId="0" fontId="72" fillId="8" borderId="9" xfId="0" applyFont="1" applyFill="1" applyBorder="1" applyAlignment="1">
      <alignment horizontal="center" vertical="top" wrapText="1"/>
    </xf>
    <xf numFmtId="0" fontId="4" fillId="0" borderId="0" xfId="108" applyAlignment="1">
      <alignment horizontal="left" vertical="center"/>
    </xf>
    <xf numFmtId="0" fontId="7" fillId="0" borderId="0" xfId="108" applyFont="1" applyAlignment="1">
      <alignment horizontal="left" vertical="center"/>
    </xf>
    <xf numFmtId="0" fontId="4" fillId="0" borderId="0" xfId="116" applyAlignment="1">
      <alignment horizontal="left" vertical="center"/>
    </xf>
    <xf numFmtId="0" fontId="4" fillId="9" borderId="0" xfId="73" applyFill="1" applyAlignment="1" applyProtection="1">
      <alignment horizontal="left" vertical="center" indent="1"/>
      <protection hidden="1"/>
    </xf>
    <xf numFmtId="0" fontId="7" fillId="9" borderId="0" xfId="73" applyFont="1" applyFill="1" applyAlignment="1" applyProtection="1">
      <alignment horizontal="center" vertical="center"/>
      <protection hidden="1"/>
    </xf>
    <xf numFmtId="0" fontId="4" fillId="9" borderId="0" xfId="115" applyFill="1" applyAlignment="1" applyProtection="1">
      <alignment horizontal="left" vertical="center" indent="1"/>
      <protection hidden="1"/>
    </xf>
    <xf numFmtId="0" fontId="72" fillId="0" borderId="0" xfId="0" applyFont="1"/>
    <xf numFmtId="0" fontId="1" fillId="0" borderId="0" xfId="0" applyFont="1" applyAlignment="1">
      <alignment horizontal="center" vertical="top"/>
    </xf>
    <xf numFmtId="0" fontId="4" fillId="0" borderId="0" xfId="117" applyFont="1" applyAlignment="1" applyProtection="1">
      <alignment horizontal="left" vertical="top"/>
      <protection hidden="1"/>
    </xf>
    <xf numFmtId="0" fontId="10" fillId="0" borderId="0" xfId="0" applyFont="1" applyAlignment="1">
      <alignment vertical="top"/>
    </xf>
    <xf numFmtId="0" fontId="9" fillId="0" borderId="9" xfId="114" applyFont="1" applyBorder="1" applyAlignment="1" applyProtection="1">
      <alignment horizontal="center" vertical="top"/>
      <protection hidden="1"/>
    </xf>
    <xf numFmtId="0" fontId="24" fillId="0" borderId="12" xfId="114" applyFont="1" applyBorder="1" applyAlignment="1" applyProtection="1">
      <alignment horizontal="right" vertical="top"/>
      <protection hidden="1"/>
    </xf>
    <xf numFmtId="0" fontId="24" fillId="0" borderId="0" xfId="114" applyFont="1" applyAlignment="1" applyProtection="1">
      <alignment horizontal="right" vertical="top"/>
      <protection hidden="1"/>
    </xf>
    <xf numFmtId="0" fontId="27" fillId="0" borderId="9" xfId="114" applyFont="1" applyBorder="1" applyAlignment="1" applyProtection="1">
      <alignment horizontal="center" vertical="top"/>
      <protection hidden="1"/>
    </xf>
    <xf numFmtId="0" fontId="26" fillId="0" borderId="14" xfId="114" applyFont="1" applyBorder="1" applyAlignment="1" applyProtection="1">
      <alignment horizontal="right" vertical="top"/>
      <protection hidden="1"/>
    </xf>
    <xf numFmtId="0" fontId="26" fillId="0" borderId="5" xfId="114" applyFont="1" applyBorder="1" applyAlignment="1" applyProtection="1">
      <alignment horizontal="right" vertical="top"/>
      <protection hidden="1"/>
    </xf>
    <xf numFmtId="0" fontId="1" fillId="0" borderId="24" xfId="114" applyFont="1" applyBorder="1" applyAlignment="1" applyProtection="1">
      <alignment horizontal="center" vertical="top"/>
      <protection hidden="1"/>
    </xf>
    <xf numFmtId="0" fontId="1" fillId="0" borderId="3" xfId="114" applyFont="1" applyBorder="1" applyAlignment="1" applyProtection="1">
      <alignment horizontal="center" vertical="top"/>
      <protection hidden="1"/>
    </xf>
    <xf numFmtId="0" fontId="1" fillId="0" borderId="25" xfId="114" applyFont="1" applyBorder="1" applyAlignment="1" applyProtection="1">
      <alignment horizontal="center" vertical="top"/>
      <protection hidden="1"/>
    </xf>
    <xf numFmtId="0" fontId="81" fillId="16" borderId="17" xfId="114" applyFont="1" applyFill="1" applyBorder="1" applyAlignment="1" applyProtection="1">
      <alignment horizontal="center" vertical="center" textRotation="90"/>
      <protection hidden="1"/>
    </xf>
    <xf numFmtId="0" fontId="81" fillId="16" borderId="19" xfId="114" applyFont="1" applyFill="1" applyBorder="1" applyAlignment="1" applyProtection="1">
      <alignment horizontal="center" vertical="center" textRotation="90"/>
      <protection hidden="1"/>
    </xf>
    <xf numFmtId="0" fontId="81" fillId="16" borderId="18" xfId="114" applyFont="1" applyFill="1" applyBorder="1" applyAlignment="1" applyProtection="1">
      <alignment horizontal="center" vertical="center" textRotation="90"/>
      <protection hidden="1"/>
    </xf>
    <xf numFmtId="0" fontId="21" fillId="13" borderId="30" xfId="114" applyFont="1" applyFill="1" applyBorder="1" applyAlignment="1" applyProtection="1">
      <alignment horizontal="justify" vertical="top" wrapText="1"/>
      <protection hidden="1"/>
    </xf>
    <xf numFmtId="0" fontId="21" fillId="13" borderId="59" xfId="114" applyFont="1" applyFill="1" applyBorder="1" applyAlignment="1" applyProtection="1">
      <alignment horizontal="justify" vertical="top" wrapText="1"/>
      <protection hidden="1"/>
    </xf>
    <xf numFmtId="0" fontId="21" fillId="13" borderId="31" xfId="114" applyFont="1" applyFill="1" applyBorder="1" applyAlignment="1" applyProtection="1">
      <alignment horizontal="justify" vertical="top" wrapText="1"/>
      <protection hidden="1"/>
    </xf>
    <xf numFmtId="0" fontId="80" fillId="16" borderId="17" xfId="114" applyFont="1" applyFill="1" applyBorder="1" applyAlignment="1" applyProtection="1">
      <alignment horizontal="center" vertical="center" textRotation="90" wrapText="1"/>
      <protection hidden="1"/>
    </xf>
    <xf numFmtId="0" fontId="80" fillId="16" borderId="19" xfId="114" applyFont="1" applyFill="1" applyBorder="1" applyAlignment="1" applyProtection="1">
      <alignment horizontal="center" vertical="center" textRotation="90" wrapText="1"/>
      <protection hidden="1"/>
    </xf>
    <xf numFmtId="0" fontId="80" fillId="16" borderId="18" xfId="114" applyFont="1" applyFill="1" applyBorder="1" applyAlignment="1" applyProtection="1">
      <alignment horizontal="center" vertical="center" textRotation="90" wrapText="1"/>
      <protection hidden="1"/>
    </xf>
    <xf numFmtId="0" fontId="22" fillId="8" borderId="11" xfId="114" applyFont="1" applyFill="1" applyBorder="1" applyAlignment="1" applyProtection="1">
      <alignment horizontal="center" vertical="top"/>
      <protection hidden="1"/>
    </xf>
    <xf numFmtId="0" fontId="22" fillId="8" borderId="22" xfId="114" applyFont="1" applyFill="1" applyBorder="1" applyAlignment="1" applyProtection="1">
      <alignment horizontal="center" vertical="top"/>
      <protection hidden="1"/>
    </xf>
    <xf numFmtId="0" fontId="22" fillId="8" borderId="20" xfId="114" applyFont="1" applyFill="1" applyBorder="1" applyAlignment="1" applyProtection="1">
      <alignment horizontal="center" vertical="top"/>
      <protection hidden="1"/>
    </xf>
    <xf numFmtId="0" fontId="23" fillId="0" borderId="22" xfId="114" applyFont="1" applyBorder="1" applyAlignment="1" applyProtection="1">
      <alignment horizontal="justify" vertical="top"/>
      <protection hidden="1"/>
    </xf>
    <xf numFmtId="0" fontId="23" fillId="0" borderId="20" xfId="114" applyFont="1" applyBorder="1" applyAlignment="1" applyProtection="1">
      <alignment horizontal="justify" vertical="top"/>
      <protection hidden="1"/>
    </xf>
    <xf numFmtId="0" fontId="6" fillId="0" borderId="12" xfId="114" applyBorder="1" applyAlignment="1">
      <alignment vertical="top"/>
    </xf>
    <xf numFmtId="0" fontId="6" fillId="0" borderId="0" xfId="114" applyAlignment="1">
      <alignment vertical="top"/>
    </xf>
    <xf numFmtId="0" fontId="6" fillId="0" borderId="13" xfId="114" applyBorder="1" applyAlignment="1">
      <alignment vertical="top"/>
    </xf>
    <xf numFmtId="0" fontId="24" fillId="0" borderId="60" xfId="114" applyFont="1" applyBorder="1" applyAlignment="1" applyProtection="1">
      <alignment horizontal="right" vertical="top"/>
      <protection hidden="1"/>
    </xf>
    <xf numFmtId="0" fontId="24" fillId="0" borderId="16" xfId="114" applyFont="1" applyBorder="1" applyAlignment="1" applyProtection="1">
      <alignment horizontal="right" vertical="top"/>
      <protection hidden="1"/>
    </xf>
    <xf numFmtId="0" fontId="26" fillId="0" borderId="12" xfId="114" applyFont="1" applyBorder="1" applyAlignment="1" applyProtection="1">
      <alignment horizontal="right" vertical="top"/>
      <protection hidden="1"/>
    </xf>
    <xf numFmtId="0" fontId="26" fillId="0" borderId="0" xfId="114" applyFont="1" applyAlignment="1" applyProtection="1">
      <alignment horizontal="right" vertical="top"/>
      <protection hidden="1"/>
    </xf>
    <xf numFmtId="0" fontId="32" fillId="0" borderId="61" xfId="73" applyFont="1" applyBorder="1" applyAlignment="1" applyProtection="1">
      <alignment horizontal="center" vertical="top"/>
      <protection hidden="1"/>
    </xf>
    <xf numFmtId="0" fontId="23" fillId="0" borderId="22" xfId="73" applyFont="1" applyBorder="1" applyAlignment="1" applyProtection="1">
      <alignment horizontal="center" vertical="center"/>
      <protection hidden="1"/>
    </xf>
    <xf numFmtId="0" fontId="23" fillId="0" borderId="0" xfId="73" applyFont="1" applyAlignment="1" applyProtection="1">
      <alignment horizontal="left" vertical="top"/>
      <protection hidden="1"/>
    </xf>
    <xf numFmtId="0" fontId="32" fillId="0" borderId="0" xfId="73" applyFont="1" applyAlignment="1" applyProtection="1">
      <alignment horizontal="center" vertical="top"/>
      <protection hidden="1"/>
    </xf>
    <xf numFmtId="0" fontId="28" fillId="6" borderId="0" xfId="73" applyFont="1" applyFill="1" applyAlignment="1" applyProtection="1">
      <alignment horizontal="center" vertical="top" wrapText="1"/>
      <protection hidden="1"/>
    </xf>
    <xf numFmtId="0" fontId="72"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3"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72" fillId="3" borderId="24" xfId="109" applyFont="1" applyFill="1" applyBorder="1" applyAlignment="1" applyProtection="1">
      <alignment horizontal="left" vertical="center"/>
      <protection locked="0"/>
    </xf>
    <xf numFmtId="0" fontId="72" fillId="3" borderId="3" xfId="109" applyFont="1" applyFill="1" applyBorder="1" applyAlignment="1" applyProtection="1">
      <alignment horizontal="left" vertical="center"/>
      <protection locked="0"/>
    </xf>
    <xf numFmtId="0" fontId="72" fillId="3" borderId="25" xfId="109" applyFont="1" applyFill="1" applyBorder="1" applyAlignment="1" applyProtection="1">
      <alignment horizontal="left" vertical="center"/>
      <protection locked="0"/>
    </xf>
    <xf numFmtId="0" fontId="82" fillId="13" borderId="0" xfId="0" applyFont="1" applyFill="1" applyAlignment="1">
      <alignment horizontal="justify" vertical="top" wrapText="1"/>
    </xf>
    <xf numFmtId="0" fontId="3" fillId="6" borderId="0" xfId="0" applyFont="1" applyFill="1" applyAlignment="1">
      <alignment horizontal="center" vertical="top"/>
    </xf>
    <xf numFmtId="0" fontId="22" fillId="0" borderId="0" xfId="0" applyFont="1" applyAlignment="1">
      <alignment horizontal="left" vertical="top"/>
    </xf>
    <xf numFmtId="0" fontId="22" fillId="0" borderId="0" xfId="0" applyFont="1" applyAlignment="1">
      <alignment horizontal="left" vertical="top" wrapText="1"/>
    </xf>
    <xf numFmtId="0" fontId="60"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32" fillId="12" borderId="0" xfId="0" applyFont="1" applyFill="1" applyAlignment="1">
      <alignment horizontal="center" vertical="top" wrapText="1"/>
    </xf>
    <xf numFmtId="0" fontId="72" fillId="0" borderId="0" xfId="0" applyFont="1" applyAlignment="1">
      <alignment horizontal="left" vertical="top"/>
    </xf>
    <xf numFmtId="0" fontId="75" fillId="12" borderId="9" xfId="0" applyFont="1" applyFill="1" applyBorder="1" applyAlignment="1">
      <alignment horizontal="left" vertical="top"/>
    </xf>
    <xf numFmtId="0" fontId="75" fillId="9" borderId="0" xfId="109" applyFont="1" applyFill="1" applyAlignment="1">
      <alignment horizontal="left" vertical="top" wrapText="1"/>
    </xf>
    <xf numFmtId="0" fontId="1" fillId="0" borderId="16" xfId="0" applyFont="1" applyBorder="1" applyAlignment="1">
      <alignment horizontal="left" vertical="top" wrapText="1"/>
    </xf>
    <xf numFmtId="0" fontId="75" fillId="0" borderId="0" xfId="0" applyFont="1" applyAlignment="1">
      <alignment horizontal="left" vertical="top"/>
    </xf>
    <xf numFmtId="1" fontId="75"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60"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0" fontId="32" fillId="12" borderId="0" xfId="115" applyFont="1" applyFill="1" applyAlignment="1" applyProtection="1">
      <alignment horizontal="center" vertical="top" wrapText="1"/>
      <protection hidden="1"/>
    </xf>
    <xf numFmtId="0" fontId="75" fillId="12" borderId="24" xfId="0" applyFont="1" applyFill="1" applyBorder="1" applyAlignment="1">
      <alignment horizontal="center" vertical="top" wrapText="1"/>
    </xf>
    <xf numFmtId="0" fontId="75" fillId="12" borderId="3" xfId="0" applyFont="1" applyFill="1" applyBorder="1" applyAlignment="1">
      <alignment horizontal="center" vertical="top" wrapText="1"/>
    </xf>
    <xf numFmtId="0" fontId="75" fillId="12" borderId="25" xfId="0" applyFont="1" applyFill="1" applyBorder="1" applyAlignment="1">
      <alignment horizontal="center" vertical="top" wrapText="1"/>
    </xf>
    <xf numFmtId="0" fontId="72" fillId="0" borderId="0" xfId="0" applyFont="1" applyAlignment="1">
      <alignment horizontal="right" vertical="top"/>
    </xf>
    <xf numFmtId="165" fontId="1" fillId="0" borderId="0" xfId="0" applyNumberFormat="1" applyFont="1" applyAlignment="1">
      <alignment horizontal="left" vertical="top"/>
    </xf>
    <xf numFmtId="0" fontId="74" fillId="0" borderId="0" xfId="0" applyFont="1" applyAlignment="1">
      <alignment horizontal="left" vertical="top"/>
    </xf>
    <xf numFmtId="0" fontId="74" fillId="9" borderId="0" xfId="109" applyFont="1" applyFill="1" applyAlignment="1">
      <alignment horizontal="left" vertical="top" wrapText="1"/>
    </xf>
    <xf numFmtId="1" fontId="74" fillId="9" borderId="0" xfId="109" applyNumberFormat="1" applyFont="1" applyFill="1" applyAlignment="1">
      <alignment horizontal="left" vertical="top" wrapText="1"/>
    </xf>
    <xf numFmtId="0" fontId="74" fillId="9" borderId="0" xfId="109" applyFont="1" applyFill="1" applyAlignment="1">
      <alignment horizontal="left" vertical="top"/>
    </xf>
    <xf numFmtId="2" fontId="32" fillId="12" borderId="24" xfId="0" applyNumberFormat="1" applyFont="1" applyFill="1" applyBorder="1" applyAlignment="1">
      <alignment horizontal="center" vertical="top" wrapText="1"/>
    </xf>
    <xf numFmtId="2" fontId="32" fillId="12" borderId="3" xfId="0" applyNumberFormat="1" applyFont="1" applyFill="1" applyBorder="1" applyAlignment="1">
      <alignment horizontal="center" vertical="top" wrapText="1"/>
    </xf>
    <xf numFmtId="2" fontId="32" fillId="12"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7" fillId="0" borderId="51" xfId="0" applyFont="1" applyBorder="1" applyAlignment="1">
      <alignment horizontal="right" vertical="top"/>
    </xf>
    <xf numFmtId="165" fontId="1" fillId="12" borderId="5" xfId="115" applyNumberFormat="1" applyFont="1" applyFill="1" applyBorder="1" applyAlignment="1" applyProtection="1">
      <alignment horizontal="center" vertical="top"/>
      <protection hidden="1"/>
    </xf>
    <xf numFmtId="165" fontId="1" fillId="0" borderId="0" xfId="115" applyNumberFormat="1" applyFont="1" applyAlignment="1" applyProtection="1">
      <alignment horizontal="left" vertical="top"/>
      <protection hidden="1"/>
    </xf>
    <xf numFmtId="0" fontId="72" fillId="0" borderId="0" xfId="0" applyFont="1" applyAlignment="1" applyProtection="1">
      <alignment horizontal="left" vertical="top"/>
      <protection locked="0"/>
    </xf>
    <xf numFmtId="0" fontId="72" fillId="0" borderId="24" xfId="109" applyFont="1" applyBorder="1" applyAlignment="1" applyProtection="1">
      <alignment horizontal="left" vertical="top" wrapText="1"/>
      <protection hidden="1"/>
    </xf>
    <xf numFmtId="0" fontId="72" fillId="0" borderId="25" xfId="109" applyFont="1" applyBorder="1" applyAlignment="1" applyProtection="1">
      <alignment horizontal="left" vertical="top" wrapText="1"/>
      <protection hidden="1"/>
    </xf>
    <xf numFmtId="1" fontId="72" fillId="0" borderId="24" xfId="109" applyNumberFormat="1" applyFont="1" applyBorder="1" applyAlignment="1" applyProtection="1">
      <alignment horizontal="left" vertical="top" wrapText="1"/>
      <protection hidden="1"/>
    </xf>
    <xf numFmtId="0" fontId="72" fillId="9" borderId="0" xfId="109" applyFont="1" applyFill="1" applyAlignment="1">
      <alignment horizontal="left" vertical="top"/>
    </xf>
    <xf numFmtId="0" fontId="75" fillId="0" borderId="24" xfId="0" applyFont="1" applyBorder="1" applyAlignment="1">
      <alignment horizontal="center" vertical="top"/>
    </xf>
    <xf numFmtId="0" fontId="75" fillId="0" borderId="3" xfId="0" applyFont="1" applyBorder="1" applyAlignment="1">
      <alignment horizontal="center" vertical="top"/>
    </xf>
    <xf numFmtId="0" fontId="75" fillId="0" borderId="25" xfId="0" applyFont="1" applyBorder="1" applyAlignment="1">
      <alignment horizontal="center" vertical="top"/>
    </xf>
    <xf numFmtId="0" fontId="82" fillId="13" borderId="0" xfId="0" applyFont="1" applyFill="1" applyAlignment="1" applyProtection="1">
      <alignment horizontal="justify" vertical="top" wrapText="1"/>
      <protection hidden="1"/>
    </xf>
    <xf numFmtId="0" fontId="3" fillId="6" borderId="0" xfId="0" applyFont="1" applyFill="1" applyAlignment="1" applyProtection="1">
      <alignment horizontal="center" vertical="top"/>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1" fillId="0" borderId="0" xfId="114" applyFont="1" applyAlignment="1" applyProtection="1">
      <alignment horizontal="center" vertical="top"/>
      <protection hidden="1"/>
    </xf>
    <xf numFmtId="0" fontId="58"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1" fillId="0" borderId="0" xfId="115" applyFont="1" applyAlignment="1">
      <alignment horizontal="left" vertical="center"/>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8"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65" fillId="0" borderId="40" xfId="114" applyFont="1" applyBorder="1" applyAlignment="1" applyProtection="1">
      <alignment horizontal="center" vertical="top"/>
      <protection hidden="1"/>
    </xf>
    <xf numFmtId="0" fontId="65" fillId="0" borderId="64" xfId="114" applyFont="1" applyBorder="1" applyAlignment="1" applyProtection="1">
      <alignment horizontal="center" vertical="top"/>
      <protection hidden="1"/>
    </xf>
    <xf numFmtId="0" fontId="58" fillId="0" borderId="9" xfId="114" applyFont="1" applyBorder="1" applyAlignment="1" applyProtection="1">
      <alignment horizontal="left" vertical="top" wrapText="1"/>
      <protection hidden="1"/>
    </xf>
    <xf numFmtId="0" fontId="58" fillId="0" borderId="28" xfId="114" applyFont="1" applyBorder="1" applyAlignment="1" applyProtection="1">
      <alignment horizontal="left" vertical="top"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top"/>
      <protection locked="0"/>
    </xf>
    <xf numFmtId="166" fontId="8" fillId="0" borderId="0" xfId="0" applyNumberFormat="1" applyFont="1" applyAlignment="1" applyProtection="1">
      <alignment horizontal="center" vertical="top"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top"/>
      <protection locked="0"/>
    </xf>
    <xf numFmtId="166" fontId="7" fillId="0" borderId="0" xfId="0" applyNumberFormat="1" applyFont="1" applyAlignment="1" applyProtection="1">
      <alignment horizontal="center" vertical="top" wrapText="1"/>
      <protection locked="0"/>
    </xf>
    <xf numFmtId="0" fontId="7" fillId="0" borderId="0" xfId="115" applyFont="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0" xfId="115" applyFont="1" applyAlignment="1">
      <alignment horizontal="left" vertical="top"/>
    </xf>
    <xf numFmtId="0" fontId="32" fillId="0" borderId="9" xfId="115" applyFont="1" applyBorder="1" applyAlignment="1" applyProtection="1">
      <alignment horizontal="center" vertical="top"/>
      <protection locked="0"/>
    </xf>
    <xf numFmtId="10" fontId="73" fillId="0" borderId="24" xfId="109" applyNumberFormat="1" applyFont="1" applyBorder="1" applyAlignment="1" applyProtection="1">
      <alignment horizontal="left" vertical="top" wrapText="1"/>
      <protection hidden="1"/>
    </xf>
    <xf numFmtId="0" fontId="73" fillId="0" borderId="25" xfId="109" applyFont="1" applyBorder="1" applyAlignment="1" applyProtection="1">
      <alignment horizontal="left" vertical="top" wrapText="1"/>
      <protection hidden="1"/>
    </xf>
    <xf numFmtId="0" fontId="33" fillId="0" borderId="0" xfId="115" applyFont="1" applyAlignment="1" applyProtection="1">
      <alignment horizontal="center" vertical="top" wrapText="1"/>
      <protection hidden="1"/>
    </xf>
    <xf numFmtId="0" fontId="7" fillId="0" borderId="0" xfId="0" applyFont="1" applyAlignment="1" applyProtection="1">
      <alignment horizontal="left" vertical="top" wrapText="1"/>
      <protection hidden="1"/>
    </xf>
    <xf numFmtId="0" fontId="73" fillId="0" borderId="0" xfId="0" applyFont="1" applyAlignment="1" applyProtection="1">
      <alignment horizontal="left" vertical="top"/>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top" wrapText="1"/>
      <protection locked="0"/>
    </xf>
    <xf numFmtId="0" fontId="58" fillId="13" borderId="0" xfId="115" applyFont="1" applyFill="1" applyAlignment="1">
      <alignment horizontal="center" vertical="top" wrapText="1"/>
    </xf>
    <xf numFmtId="0" fontId="8" fillId="6" borderId="0" xfId="0" applyFont="1" applyFill="1" applyAlignment="1">
      <alignment horizontal="center" vertical="top"/>
    </xf>
    <xf numFmtId="49" fontId="73" fillId="9" borderId="9" xfId="109" applyNumberFormat="1" applyFont="1" applyFill="1" applyBorder="1" applyAlignment="1" applyProtection="1">
      <alignment horizontal="left" vertical="top"/>
      <protection locked="0"/>
    </xf>
    <xf numFmtId="49" fontId="73" fillId="0" borderId="24" xfId="109" applyNumberFormat="1" applyFont="1" applyBorder="1" applyAlignment="1" applyProtection="1">
      <alignment horizontal="left"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3"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8" fillId="0" borderId="0" xfId="73" applyFont="1" applyAlignment="1" applyProtection="1">
      <alignment horizontal="center" vertical="center"/>
      <protection hidden="1"/>
    </xf>
    <xf numFmtId="0" fontId="58"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8" fillId="6" borderId="0" xfId="73" applyFont="1" applyFill="1" applyAlignment="1" applyProtection="1">
      <alignment horizontal="center" vertical="center" wrapText="1"/>
      <protection hidden="1"/>
    </xf>
    <xf numFmtId="0" fontId="28"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2"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59"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8" fillId="13" borderId="0" xfId="106" applyFont="1" applyFill="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1" fillId="0" borderId="0" xfId="118" applyNumberFormat="1" applyFont="1" applyFill="1" applyBorder="1" applyAlignment="1" applyProtection="1">
      <alignment horizontal="center" vertical="center"/>
    </xf>
    <xf numFmtId="0" fontId="52" fillId="0" borderId="0" xfId="0" applyFont="1" applyAlignment="1">
      <alignment horizontal="justify"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2" fillId="0" borderId="0" xfId="0" quotePrefix="1" applyFont="1" applyAlignment="1">
      <alignment horizontal="left" vertical="top" wrapText="1"/>
    </xf>
    <xf numFmtId="0" fontId="7" fillId="0" borderId="0" xfId="0" applyFont="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33" fillId="0" borderId="0" xfId="115" applyFont="1" applyAlignment="1" applyProtection="1">
      <alignment horizontal="center" vertical="center" wrapText="1"/>
      <protection hidden="1"/>
    </xf>
    <xf numFmtId="0" fontId="67"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editAs="oneCell">
    <xdr:from>
      <xdr:col>1</xdr:col>
      <xdr:colOff>769327</xdr:colOff>
      <xdr:row>10</xdr:row>
      <xdr:rowOff>95250</xdr:rowOff>
    </xdr:from>
    <xdr:to>
      <xdr:col>2</xdr:col>
      <xdr:colOff>2364154</xdr:colOff>
      <xdr:row>12</xdr:row>
      <xdr:rowOff>52388</xdr:rowOff>
    </xdr:to>
    <xdr:pic>
      <xdr:nvPicPr>
        <xdr:cNvPr id="2" name="Picture 9">
          <a:extLst>
            <a:ext uri="{FF2B5EF4-FFF2-40B4-BE49-F238E27FC236}">
              <a16:creationId xmlns:a16="http://schemas.microsoft.com/office/drawing/2014/main" id="{6C77D342-2457-44B5-A282-B0C987E818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0" y="4264269"/>
          <a:ext cx="2444750" cy="71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2621329</xdr:colOff>
      <xdr:row>10</xdr:row>
      <xdr:rowOff>133350</xdr:rowOff>
    </xdr:from>
    <xdr:to>
      <xdr:col>4</xdr:col>
      <xdr:colOff>734158</xdr:colOff>
      <xdr:row>12</xdr:row>
      <xdr:rowOff>125413</xdr:rowOff>
    </xdr:to>
    <xdr:pic>
      <xdr:nvPicPr>
        <xdr:cNvPr id="4" name="Picture 10">
          <a:extLst>
            <a:ext uri="{FF2B5EF4-FFF2-40B4-BE49-F238E27FC236}">
              <a16:creationId xmlns:a16="http://schemas.microsoft.com/office/drawing/2014/main" id="{3C53BB86-31E6-47BE-8641-125CB89E02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981" t="27950" r="31090" b="55093"/>
        <a:stretch>
          <a:fillRect/>
        </a:stretch>
      </xdr:blipFill>
      <xdr:spPr bwMode="auto">
        <a:xfrm>
          <a:off x="4130675" y="4302369"/>
          <a:ext cx="4003675" cy="75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143" y="57150"/>
          <a:ext cx="1209675" cy="763391"/>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708577"/>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9118" y="291353"/>
          <a:ext cx="0" cy="1643903"/>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8138013"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877175" y="19050"/>
          <a:ext cx="95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pageSetUpPr autoPageBreaks="0"/>
  </sheetPr>
  <dimension ref="A1:I5"/>
  <sheetViews>
    <sheetView view="pageBreakPreview" zoomScale="175" zoomScaleNormal="100" zoomScaleSheetLayoutView="175" workbookViewId="0">
      <selection activeCell="B8" sqref="B8"/>
    </sheetView>
  </sheetViews>
  <sheetFormatPr defaultRowHeight="16.5"/>
  <cols>
    <col min="1" max="1" width="20.5703125" style="15" customWidth="1"/>
    <col min="2" max="2" width="82.140625" style="15" customWidth="1"/>
    <col min="3" max="8" width="9.140625" style="15"/>
    <col min="9" max="9" width="9.140625" style="15" hidden="1" customWidth="1"/>
    <col min="10" max="16384" width="9.140625" style="15"/>
  </cols>
  <sheetData>
    <row r="1" spans="1:9" ht="85.5" customHeight="1">
      <c r="A1" s="13" t="s">
        <v>37</v>
      </c>
      <c r="B1" s="609" t="s">
        <v>551</v>
      </c>
      <c r="C1" s="14"/>
      <c r="D1" s="14"/>
      <c r="E1" s="14"/>
      <c r="F1" s="14"/>
      <c r="G1" s="14"/>
      <c r="H1" s="14"/>
    </row>
    <row r="2" spans="1:9">
      <c r="B2" s="16"/>
      <c r="I2" s="15" t="s">
        <v>248</v>
      </c>
    </row>
    <row r="3" spans="1:9">
      <c r="A3" s="15" t="s">
        <v>508</v>
      </c>
      <c r="B3" s="275" t="s">
        <v>552</v>
      </c>
      <c r="I3" s="15" t="s">
        <v>249</v>
      </c>
    </row>
    <row r="5" spans="1:9">
      <c r="A5" s="15" t="s">
        <v>38</v>
      </c>
      <c r="B5" s="736" t="s">
        <v>616</v>
      </c>
      <c r="C5" s="14"/>
      <c r="D5" s="14"/>
      <c r="E5" s="14"/>
      <c r="F5" s="14"/>
      <c r="G5" s="14"/>
      <c r="H5" s="14"/>
    </row>
  </sheetData>
  <sheetProtection selectLockedCells="1" selectUnlockedCells="1"/>
  <customSheetViews>
    <customSheetView guid="{1211E1B9-FC37-4364-9CF0-0FFC01866726}" hiddenColumns="1" state="hidden">
      <selection activeCell="B14" sqref="B14"/>
      <pageMargins left="0.75" right="0.75" top="1" bottom="1" header="0.5" footer="0.5"/>
      <pageSetup orientation="portrait" r:id="rId1"/>
      <headerFooter alignWithMargins="0"/>
    </customSheetView>
    <customSheetView guid="{A58DB4DF-40C7-4BEB-B85E-6BD6F54941CF}" hiddenColumns="1" state="hidden">
      <selection activeCell="B17" sqref="B17"/>
      <pageMargins left="0.75" right="0.75" top="1" bottom="1" header="0.5" footer="0.5"/>
      <pageSetup orientation="portrait" r:id="rId2"/>
      <headerFooter alignWithMargins="0"/>
    </customSheetView>
    <customSheetView guid="{B96E710B-6DD7-4DE1-95AB-C9EE060CD030}" hiddenColumns="1" state="hidden">
      <selection activeCell="B9" sqref="B9:B10"/>
      <pageMargins left="0.75" right="0.75" top="1" bottom="1" header="0.5" footer="0.5"/>
      <pageSetup orientation="portrait" r:id="rId3"/>
      <headerFooter alignWithMargins="0"/>
    </customSheetView>
    <customSheetView guid="{357C9841-BEC3-434B-AC63-C04FB4321BA3}" hiddenColumns="1" state="hidden">
      <selection activeCell="B17" sqref="B17"/>
      <pageMargins left="0.75" right="0.75" top="1" bottom="1" header="0.5" footer="0.5"/>
      <pageSetup orientation="portrait" r:id="rId4"/>
      <headerFooter alignWithMargins="0"/>
    </customSheetView>
    <customSheetView guid="{3C00DDA0-7DDE-4169-A739-550DAF5DCF8D}" hiddenColumns="1" state="hidden">
      <selection activeCell="B11" sqref="B11"/>
      <pageMargins left="0.75" right="0.75" top="1" bottom="1" header="0.5" footer="0.5"/>
      <pageSetup orientation="portrait" r:id="rId5"/>
      <headerFooter alignWithMargins="0"/>
    </customSheetView>
    <customSheetView guid="{63D51328-7CBC-4A1E-B96D-BAE91416501B}" hiddenColumns="1" state="hidden">
      <selection activeCell="B9" sqref="B9:B10"/>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CCA37BAE-906F-43D5-9FD9-B13563E4B9D7}" hiddenColumns="1" state="hidden">
      <selection activeCell="B12" sqref="B12"/>
      <pageMargins left="0.75" right="0.75" top="1" bottom="1" header="0.5" footer="0.5"/>
      <pageSetup orientation="portrait" r:id="rId8"/>
      <headerFooter alignWithMargins="0"/>
    </customSheetView>
    <customSheetView guid="{18EA11B4-BD82-47BF-99FA-7AB19BF74D0B}" hiddenColumns="1" state="hidden">
      <selection activeCell="B17" sqref="B17"/>
      <pageMargins left="0.75" right="0.75" top="1" bottom="1" header="0.5" footer="0.5"/>
      <pageSetup orientation="portrait" r:id="rId9"/>
      <headerFooter alignWithMargins="0"/>
    </customSheetView>
    <customSheetView guid="{915C64AD-BD67-44F0-9117-5B9D998BA799}" hiddenColumns="1" state="hidden">
      <selection activeCell="B17" sqref="B17"/>
      <pageMargins left="0.75" right="0.75" top="1" bottom="1" header="0.5" footer="0.5"/>
      <pageSetup orientation="portrait" r:id="rId10"/>
      <headerFooter alignWithMargins="0"/>
    </customSheetView>
    <customSheetView guid="{89CB4E6A-722E-4E39-885D-E2A6D0D08321}" hiddenColumns="1" state="hidden">
      <selection activeCell="B10" sqref="B10"/>
      <pageMargins left="0.75" right="0.75" top="1" bottom="1" header="0.5" footer="0.5"/>
      <pageSetup orientation="portrait" r:id="rId11"/>
      <headerFooter alignWithMargins="0"/>
    </customSheetView>
    <customSheetView guid="{889C3D82-0A24-4765-A688-A80A782F5056}" hiddenColumns="1" state="hidden">
      <selection activeCell="B14" sqref="B14"/>
      <pageMargins left="0.75" right="0.75" top="1" bottom="1" header="0.5" footer="0.5"/>
      <pageSetup orientation="portrait" r:id="rId12"/>
      <headerFooter alignWithMargins="0"/>
    </customSheetView>
    <customSheetView guid="{C497F4E0-7D3E-4065-935D-7086BE9276FE}" hiddenColumns="1" state="hidden">
      <selection activeCell="B14" sqref="B14"/>
      <pageMargins left="0.75" right="0.75" top="1" bottom="1" header="0.5" footer="0.5"/>
      <pageSetup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0" customWidth="1"/>
    <col min="2" max="2" width="46.7109375" style="10" customWidth="1"/>
    <col min="3" max="3" width="20" style="10" customWidth="1"/>
    <col min="4" max="4" width="23.42578125" style="10" customWidth="1"/>
    <col min="5" max="5" width="22.85546875" style="10" customWidth="1"/>
    <col min="6" max="6" width="11.42578125" style="41" customWidth="1"/>
    <col min="7" max="7" width="34.140625" style="41" customWidth="1"/>
    <col min="8" max="8" width="11.42578125" style="41" customWidth="1"/>
    <col min="9" max="9" width="14" style="270" customWidth="1"/>
    <col min="10" max="10" width="14.42578125" style="270" customWidth="1"/>
    <col min="11" max="11" width="17.140625" style="270" customWidth="1"/>
    <col min="12" max="13" width="11.42578125" style="270" customWidth="1"/>
    <col min="14" max="14" width="21.28515625" style="270" customWidth="1"/>
    <col min="15" max="15" width="18.28515625" style="41" customWidth="1"/>
    <col min="16" max="17" width="11.42578125" style="41" customWidth="1"/>
    <col min="18" max="18" width="11.42578125" style="67" customWidth="1"/>
    <col min="19" max="24" width="11.42578125" style="41" customWidth="1"/>
    <col min="25" max="16384" width="11.42578125" style="67"/>
  </cols>
  <sheetData>
    <row r="1" spans="1:15" ht="18" customHeight="1">
      <c r="A1" s="37" t="str">
        <f>Cover!B3</f>
        <v>NR2/NT/W-MISC/DOM/J01/25/07157</v>
      </c>
      <c r="B1" s="38"/>
      <c r="C1" s="39"/>
      <c r="D1" s="39"/>
      <c r="E1" s="40" t="s">
        <v>118</v>
      </c>
    </row>
    <row r="2" spans="1:15" ht="8.1" customHeight="1">
      <c r="A2" s="42"/>
      <c r="B2" s="43"/>
      <c r="C2" s="44"/>
      <c r="D2" s="44"/>
      <c r="E2" s="45"/>
      <c r="F2" s="46"/>
    </row>
    <row r="3" spans="1:15" ht="111" customHeight="1">
      <c r="A3" s="870" t="str">
        <f>Cover!$B$2</f>
        <v xml:space="preserve"> Substation extension package (AIS) for augmentation of transformation capacity at 400/220kV Samba (PG) Substation in Jammu &amp; Kashmir by 1x500MVA 400/220kV ICT (4th).</v>
      </c>
      <c r="B3" s="870"/>
      <c r="C3" s="870"/>
      <c r="D3" s="870"/>
      <c r="E3" s="870"/>
    </row>
    <row r="4" spans="1:15" ht="21.95" customHeight="1">
      <c r="A4" s="853" t="s">
        <v>119</v>
      </c>
      <c r="B4" s="853"/>
      <c r="C4" s="853"/>
      <c r="D4" s="853"/>
      <c r="E4" s="853"/>
    </row>
    <row r="5" spans="1:15" ht="12" customHeight="1">
      <c r="A5" s="47"/>
      <c r="B5" s="48"/>
      <c r="C5" s="48"/>
      <c r="D5" s="48"/>
      <c r="E5" s="48"/>
    </row>
    <row r="6" spans="1:15" ht="20.25" customHeight="1">
      <c r="A6" s="859" t="s">
        <v>328</v>
      </c>
      <c r="B6" s="859"/>
      <c r="C6" s="2"/>
      <c r="D6" s="48"/>
      <c r="E6" s="48"/>
    </row>
    <row r="7" spans="1:15" ht="18" customHeight="1">
      <c r="A7" s="861">
        <f>'Sch-1'!A7</f>
        <v>0</v>
      </c>
      <c r="B7" s="861"/>
      <c r="C7" s="861"/>
      <c r="D7" s="49" t="s">
        <v>1</v>
      </c>
    </row>
    <row r="8" spans="1:15" ht="18" customHeight="1">
      <c r="A8" s="860" t="str">
        <f>"Bidder’s Name and Address  (" &amp; MID('Names of Bidder'!A9,9, 20) &amp; ") :"</f>
        <v>Bidder’s Name and Address  (Sole Bidder) :</v>
      </c>
      <c r="B8" s="860"/>
      <c r="C8" s="860"/>
      <c r="D8" s="50" t="str">
        <f>'Sch-1'!K8</f>
        <v>Contract Services</v>
      </c>
    </row>
    <row r="9" spans="1:15" ht="18" customHeight="1">
      <c r="A9" s="288" t="s">
        <v>9</v>
      </c>
      <c r="B9" s="288" t="str">
        <f>IF('Names of Bidder'!C9=0, "", 'Names of Bidder'!C9)</f>
        <v/>
      </c>
      <c r="C9" s="67"/>
      <c r="D9" s="50" t="str">
        <f>'Sch-1'!K9</f>
        <v>Power Grid Corporation of India Ltd.,</v>
      </c>
    </row>
    <row r="10" spans="1:15" ht="18" customHeight="1">
      <c r="A10" s="288" t="s">
        <v>8</v>
      </c>
      <c r="B10" s="192" t="str">
        <f>IF('Names of Bidder'!C10=0, "", 'Names of Bidder'!C10)</f>
        <v/>
      </c>
      <c r="C10" s="67"/>
      <c r="D10" s="50" t="str">
        <f>'Sch-1'!K10</f>
        <v>Northern Region Transmission System-II</v>
      </c>
    </row>
    <row r="11" spans="1:15" ht="18" customHeight="1">
      <c r="A11" s="276"/>
      <c r="B11" s="192" t="str">
        <f>IF('Names of Bidder'!C11=0, "", 'Names of Bidder'!C11)</f>
        <v/>
      </c>
      <c r="C11" s="67"/>
      <c r="D11" s="50" t="str">
        <f>'Sch-1'!K11</f>
        <v>Regional Head Quarters, Grid Bhawan, OB-26</v>
      </c>
    </row>
    <row r="12" spans="1:15" ht="18" customHeight="1">
      <c r="A12" s="276"/>
      <c r="B12" s="192" t="str">
        <f>IF('Names of Bidder'!C12=0, "", 'Names of Bidder'!C12)</f>
        <v/>
      </c>
      <c r="C12" s="67"/>
      <c r="D12" s="50" t="str">
        <f>'Sch-1'!K12</f>
        <v>Rail Head Complex, Jammu-180 012 (J&amp;K)</v>
      </c>
    </row>
    <row r="13" spans="1:15" ht="8.1" customHeight="1" thickBot="1"/>
    <row r="14" spans="1:15" ht="21.95" customHeight="1">
      <c r="A14" s="362" t="s">
        <v>120</v>
      </c>
      <c r="B14" s="854" t="s">
        <v>121</v>
      </c>
      <c r="C14" s="854"/>
      <c r="D14" s="855" t="s">
        <v>122</v>
      </c>
      <c r="E14" s="856"/>
      <c r="I14" s="851"/>
      <c r="J14" s="851"/>
      <c r="K14" s="851"/>
      <c r="M14" s="844"/>
      <c r="N14" s="844"/>
      <c r="O14" s="844"/>
    </row>
    <row r="15" spans="1:15" ht="24.75" customHeight="1">
      <c r="A15" s="363" t="s">
        <v>125</v>
      </c>
      <c r="B15" s="845" t="s">
        <v>305</v>
      </c>
      <c r="C15" s="845"/>
      <c r="D15" s="866">
        <f>'Sch-1'!S74</f>
        <v>0</v>
      </c>
      <c r="E15" s="867"/>
      <c r="I15" s="271"/>
      <c r="K15" s="271"/>
      <c r="M15" s="271"/>
      <c r="O15" s="52"/>
    </row>
    <row r="16" spans="1:15" ht="81" customHeight="1">
      <c r="A16" s="364"/>
      <c r="B16" s="848" t="s">
        <v>306</v>
      </c>
      <c r="C16" s="848"/>
      <c r="D16" s="868"/>
      <c r="E16" s="869"/>
      <c r="G16" s="53"/>
    </row>
    <row r="17" spans="1:15" ht="24.75" customHeight="1">
      <c r="A17" s="363" t="s">
        <v>127</v>
      </c>
      <c r="B17" s="845" t="s">
        <v>307</v>
      </c>
      <c r="C17" s="845"/>
      <c r="D17" s="846">
        <f>'Sch-3'!U89</f>
        <v>0</v>
      </c>
      <c r="E17" s="847"/>
      <c r="I17" s="271"/>
      <c r="K17" s="272"/>
      <c r="M17" s="271"/>
      <c r="O17" s="55"/>
    </row>
    <row r="18" spans="1:15" ht="81.75" customHeight="1">
      <c r="A18" s="364"/>
      <c r="B18" s="848" t="s">
        <v>308</v>
      </c>
      <c r="C18" s="848"/>
      <c r="D18" s="871"/>
      <c r="E18" s="872"/>
      <c r="G18" s="56"/>
      <c r="I18" s="273"/>
      <c r="M18" s="273"/>
    </row>
    <row r="19" spans="1:15" ht="33" customHeight="1" thickBot="1">
      <c r="A19" s="365"/>
      <c r="B19" s="366" t="s">
        <v>311</v>
      </c>
      <c r="C19" s="367"/>
      <c r="D19" s="862">
        <f>D15+D17</f>
        <v>0</v>
      </c>
      <c r="E19" s="863"/>
    </row>
    <row r="20" spans="1:15" ht="30" customHeight="1">
      <c r="A20" s="57"/>
      <c r="B20" s="57"/>
      <c r="C20" s="58"/>
      <c r="D20" s="57"/>
      <c r="E20" s="57"/>
    </row>
    <row r="21" spans="1:15" ht="30" customHeight="1">
      <c r="A21" s="59" t="s">
        <v>133</v>
      </c>
      <c r="B21" s="370" t="str">
        <f>'Sch-5'!B21</f>
        <v xml:space="preserve">  </v>
      </c>
      <c r="C21" s="58" t="s">
        <v>134</v>
      </c>
      <c r="D21" s="873" t="str">
        <f>'Sch-5'!D21</f>
        <v/>
      </c>
      <c r="E21" s="873"/>
      <c r="F21" s="60"/>
    </row>
    <row r="22" spans="1:15" ht="30" customHeight="1">
      <c r="A22" s="59" t="s">
        <v>135</v>
      </c>
      <c r="B22" s="371" t="str">
        <f>'Sch-5'!B22</f>
        <v/>
      </c>
      <c r="C22" s="58" t="s">
        <v>136</v>
      </c>
      <c r="D22" s="873" t="str">
        <f>'Sch-5'!D22</f>
        <v/>
      </c>
      <c r="E22" s="873"/>
      <c r="F22" s="60"/>
    </row>
    <row r="23" spans="1:15" ht="30" customHeight="1">
      <c r="A23" s="61"/>
      <c r="B23" s="62"/>
      <c r="C23" s="58"/>
      <c r="D23" s="41"/>
      <c r="E23" s="41"/>
      <c r="F23" s="60"/>
    </row>
    <row r="24" spans="1:15" ht="33" customHeight="1">
      <c r="A24" s="61"/>
      <c r="B24" s="62"/>
      <c r="C24" s="46"/>
      <c r="D24" s="63"/>
      <c r="E24" s="64"/>
      <c r="F24" s="60"/>
    </row>
    <row r="25" spans="1:15" ht="21.95" customHeight="1">
      <c r="A25" s="65"/>
      <c r="B25" s="65"/>
      <c r="C25" s="65"/>
      <c r="D25" s="65"/>
      <c r="E25" s="66"/>
    </row>
    <row r="26" spans="1:15" ht="21.95" customHeight="1">
      <c r="A26" s="65"/>
      <c r="B26" s="65"/>
      <c r="C26" s="65"/>
      <c r="D26" s="65"/>
      <c r="E26" s="66"/>
    </row>
    <row r="27" spans="1:15" ht="21.95" customHeight="1">
      <c r="A27" s="65"/>
      <c r="B27" s="65"/>
      <c r="C27" s="65"/>
      <c r="D27" s="65"/>
      <c r="E27" s="66"/>
    </row>
    <row r="28" spans="1:15" ht="21.95" customHeight="1">
      <c r="A28" s="65"/>
      <c r="B28" s="65"/>
      <c r="C28" s="65"/>
      <c r="D28" s="65"/>
      <c r="E28" s="66"/>
    </row>
    <row r="29" spans="1:15" ht="21.95" customHeight="1">
      <c r="A29" s="65"/>
      <c r="B29" s="65"/>
      <c r="C29" s="65"/>
      <c r="D29" s="65"/>
      <c r="E29" s="66"/>
    </row>
    <row r="30" spans="1:15" ht="21.95" customHeight="1">
      <c r="A30" s="65"/>
      <c r="B30" s="65"/>
      <c r="C30" s="65"/>
      <c r="D30" s="65"/>
      <c r="E30" s="66"/>
    </row>
    <row r="31" spans="1:15" ht="24.95" customHeight="1">
      <c r="A31" s="64"/>
      <c r="B31" s="64"/>
      <c r="C31" s="64"/>
      <c r="D31" s="64"/>
      <c r="E31" s="64"/>
    </row>
    <row r="32" spans="1:15" ht="24.95" customHeight="1">
      <c r="A32" s="64"/>
      <c r="B32" s="64"/>
      <c r="C32" s="64"/>
      <c r="D32" s="64"/>
      <c r="E32" s="64"/>
    </row>
    <row r="33" spans="1:5" ht="24.95" customHeight="1">
      <c r="A33" s="64"/>
      <c r="B33" s="64"/>
      <c r="C33" s="64"/>
      <c r="D33" s="64"/>
      <c r="E33" s="64"/>
    </row>
    <row r="34" spans="1:5" ht="24.95" customHeight="1">
      <c r="A34" s="64"/>
      <c r="B34" s="64"/>
      <c r="C34" s="64"/>
      <c r="D34" s="64"/>
      <c r="E34" s="64"/>
    </row>
    <row r="35" spans="1:5" ht="24.95" customHeight="1">
      <c r="A35" s="64"/>
      <c r="B35" s="64"/>
      <c r="C35" s="64"/>
      <c r="D35" s="64"/>
      <c r="E35" s="64"/>
    </row>
    <row r="36" spans="1:5" ht="24.95" customHeight="1">
      <c r="A36" s="64"/>
      <c r="B36" s="64"/>
      <c r="C36" s="64"/>
      <c r="D36" s="64"/>
      <c r="E36" s="64"/>
    </row>
    <row r="37" spans="1:5" ht="24.95" customHeight="1">
      <c r="A37" s="64"/>
      <c r="B37" s="64"/>
      <c r="C37" s="64"/>
      <c r="D37" s="64"/>
      <c r="E37" s="64"/>
    </row>
    <row r="38" spans="1:5" ht="24.95" customHeight="1">
      <c r="A38" s="64"/>
      <c r="B38" s="64"/>
      <c r="C38" s="64"/>
      <c r="D38" s="64"/>
      <c r="E38" s="64"/>
    </row>
    <row r="39" spans="1:5" ht="24.95" customHeight="1">
      <c r="A39" s="64"/>
      <c r="B39" s="64"/>
      <c r="C39" s="64"/>
      <c r="D39" s="64"/>
      <c r="E39" s="64"/>
    </row>
    <row r="40" spans="1:5" ht="24.95" customHeight="1">
      <c r="A40" s="64"/>
      <c r="B40" s="64"/>
      <c r="C40" s="64"/>
      <c r="D40" s="64"/>
      <c r="E40" s="64"/>
    </row>
    <row r="41" spans="1:5" ht="24.95" customHeight="1">
      <c r="A41" s="64"/>
      <c r="B41" s="64"/>
      <c r="C41" s="64"/>
      <c r="D41" s="64"/>
      <c r="E41" s="64"/>
    </row>
    <row r="42" spans="1:5" ht="24.95" customHeight="1">
      <c r="A42" s="64"/>
      <c r="B42" s="64"/>
      <c r="C42" s="64"/>
      <c r="D42" s="64"/>
      <c r="E42" s="64"/>
    </row>
    <row r="43" spans="1:5" ht="24.95" customHeight="1">
      <c r="A43" s="64"/>
      <c r="B43" s="64"/>
      <c r="C43" s="64"/>
      <c r="D43" s="64"/>
      <c r="E43" s="64"/>
    </row>
    <row r="44" spans="1:5" ht="24.95" customHeight="1">
      <c r="A44" s="64"/>
      <c r="B44" s="64"/>
      <c r="C44" s="64"/>
      <c r="D44" s="64"/>
      <c r="E44" s="64"/>
    </row>
    <row r="45" spans="1:5" ht="24.95" customHeight="1">
      <c r="A45" s="64"/>
      <c r="B45" s="64"/>
      <c r="C45" s="64"/>
      <c r="D45" s="64"/>
      <c r="E45" s="64"/>
    </row>
    <row r="46" spans="1:5" ht="24.95" customHeight="1">
      <c r="A46" s="64"/>
      <c r="B46" s="64"/>
      <c r="C46" s="64"/>
      <c r="D46" s="64"/>
      <c r="E46" s="64"/>
    </row>
    <row r="47" spans="1:5" ht="24.95" customHeight="1">
      <c r="A47" s="64"/>
      <c r="B47" s="64"/>
      <c r="C47" s="64"/>
      <c r="D47" s="64"/>
      <c r="E47" s="64"/>
    </row>
    <row r="48" spans="1:5" ht="24.95" customHeight="1">
      <c r="A48" s="64"/>
      <c r="B48" s="64"/>
      <c r="C48" s="64"/>
      <c r="D48" s="64"/>
      <c r="E48" s="64"/>
    </row>
    <row r="49" spans="1:5" ht="24.95" customHeight="1">
      <c r="A49" s="64"/>
      <c r="B49" s="64"/>
      <c r="C49" s="64"/>
      <c r="D49" s="64"/>
      <c r="E49" s="64"/>
    </row>
    <row r="50" spans="1:5" ht="24.95" customHeight="1">
      <c r="A50" s="64"/>
      <c r="B50" s="64"/>
      <c r="C50" s="64"/>
      <c r="D50" s="64"/>
      <c r="E50" s="64"/>
    </row>
    <row r="51" spans="1:5" ht="24.95" customHeight="1">
      <c r="A51" s="64"/>
      <c r="B51" s="64"/>
      <c r="C51" s="64"/>
      <c r="D51" s="64"/>
      <c r="E51" s="64"/>
    </row>
    <row r="52" spans="1:5" ht="24.95" customHeight="1">
      <c r="A52" s="64"/>
      <c r="B52" s="64"/>
      <c r="C52" s="64"/>
      <c r="D52" s="64"/>
      <c r="E52" s="64"/>
    </row>
    <row r="53" spans="1:5" ht="24.95" customHeight="1">
      <c r="A53" s="64"/>
      <c r="B53" s="64"/>
      <c r="C53" s="64"/>
      <c r="D53" s="64"/>
      <c r="E53" s="64"/>
    </row>
    <row r="54" spans="1:5">
      <c r="A54" s="64"/>
      <c r="B54" s="64"/>
      <c r="C54" s="64"/>
      <c r="D54" s="64"/>
      <c r="E54" s="64"/>
    </row>
    <row r="55" spans="1:5">
      <c r="A55" s="64"/>
      <c r="B55" s="64"/>
      <c r="C55" s="64"/>
      <c r="D55" s="64"/>
      <c r="E55" s="64"/>
    </row>
    <row r="56" spans="1:5">
      <c r="A56" s="64"/>
      <c r="B56" s="64"/>
      <c r="C56" s="64"/>
      <c r="D56" s="64"/>
      <c r="E56" s="64"/>
    </row>
    <row r="57" spans="1:5">
      <c r="A57" s="64"/>
      <c r="B57" s="64"/>
      <c r="C57" s="64"/>
      <c r="D57" s="64"/>
      <c r="E57" s="64"/>
    </row>
    <row r="58" spans="1:5">
      <c r="A58" s="64"/>
      <c r="B58" s="64"/>
      <c r="C58" s="64"/>
      <c r="D58" s="64"/>
      <c r="E58" s="64"/>
    </row>
    <row r="59" spans="1:5">
      <c r="A59" s="64"/>
      <c r="B59" s="64"/>
      <c r="C59" s="64"/>
      <c r="D59" s="64"/>
      <c r="E59" s="64"/>
    </row>
    <row r="60" spans="1:5">
      <c r="A60" s="64"/>
      <c r="B60" s="64"/>
      <c r="C60" s="64"/>
      <c r="D60" s="64"/>
      <c r="E60" s="64"/>
    </row>
    <row r="61" spans="1:5">
      <c r="A61" s="64"/>
      <c r="B61" s="64"/>
      <c r="C61" s="64"/>
      <c r="D61" s="64"/>
      <c r="E61" s="64"/>
    </row>
    <row r="62" spans="1:5">
      <c r="A62" s="64"/>
      <c r="B62" s="64"/>
      <c r="C62" s="64"/>
      <c r="D62" s="64"/>
      <c r="E62" s="64"/>
    </row>
    <row r="63" spans="1:5">
      <c r="A63" s="64"/>
      <c r="B63" s="64"/>
      <c r="C63" s="64"/>
      <c r="D63" s="64"/>
      <c r="E63" s="64"/>
    </row>
    <row r="64" spans="1:5">
      <c r="A64" s="64"/>
      <c r="B64" s="64"/>
      <c r="C64" s="64"/>
      <c r="D64" s="64"/>
      <c r="E64" s="64"/>
    </row>
    <row r="65" spans="1:5">
      <c r="A65" s="64"/>
      <c r="B65" s="64"/>
      <c r="C65" s="64"/>
      <c r="D65" s="64"/>
      <c r="E65" s="64"/>
    </row>
    <row r="66" spans="1:5">
      <c r="A66" s="64"/>
      <c r="B66" s="64"/>
      <c r="C66" s="64"/>
      <c r="D66" s="64"/>
      <c r="E66" s="64"/>
    </row>
    <row r="67" spans="1:5">
      <c r="A67" s="64"/>
      <c r="B67" s="64"/>
      <c r="C67" s="64"/>
      <c r="D67" s="64"/>
      <c r="E67" s="64"/>
    </row>
    <row r="68" spans="1:5">
      <c r="A68" s="64"/>
      <c r="B68" s="64"/>
      <c r="C68" s="64"/>
      <c r="D68" s="64"/>
      <c r="E68" s="64"/>
    </row>
    <row r="69" spans="1:5">
      <c r="A69" s="64"/>
      <c r="B69" s="64"/>
      <c r="C69" s="64"/>
      <c r="D69" s="64"/>
      <c r="E69" s="64"/>
    </row>
    <row r="70" spans="1:5">
      <c r="A70" s="64"/>
      <c r="B70" s="64"/>
      <c r="C70" s="64"/>
      <c r="D70" s="64"/>
      <c r="E70" s="64"/>
    </row>
    <row r="71" spans="1:5">
      <c r="A71" s="64"/>
      <c r="B71" s="64"/>
      <c r="C71" s="64"/>
      <c r="D71" s="64"/>
      <c r="E71" s="64"/>
    </row>
  </sheetData>
  <sheetProtection password="EE0B" sheet="1" objects="1" scenarios="1" formatColumns="0" formatRows="0" selectLockedCells="1"/>
  <dataConsolidate/>
  <customSheetViews>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497F4E0-7D3E-4065-935D-7086BE9276F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5" zoomScale="130" zoomScaleSheetLayoutView="130" workbookViewId="0">
      <selection activeCell="D8" sqref="D8:D12"/>
    </sheetView>
  </sheetViews>
  <sheetFormatPr defaultColWidth="11.42578125" defaultRowHeight="16.5"/>
  <cols>
    <col min="1" max="1" width="12.140625" style="12" customWidth="1"/>
    <col min="2" max="2" width="31.42578125" style="12" customWidth="1"/>
    <col min="3" max="3" width="24" style="12" customWidth="1"/>
    <col min="4" max="4" width="50.28515625" style="12" customWidth="1"/>
    <col min="5" max="16384" width="11.42578125" style="67"/>
  </cols>
  <sheetData>
    <row r="1" spans="1:6" ht="18" customHeight="1">
      <c r="A1" s="564" t="str">
        <f>Cover!B3</f>
        <v>NR2/NT/W-MISC/DOM/J01/25/07157</v>
      </c>
      <c r="B1" s="565"/>
      <c r="C1" s="566"/>
      <c r="D1" s="567" t="s">
        <v>137</v>
      </c>
    </row>
    <row r="2" spans="1:6" ht="18" customHeight="1">
      <c r="A2" s="568"/>
      <c r="B2" s="569"/>
      <c r="C2" s="20"/>
      <c r="D2" s="20"/>
    </row>
    <row r="3" spans="1:6" ht="104.25" customHeight="1">
      <c r="A3" s="852" t="str">
        <f>Cover!$B$2</f>
        <v xml:space="preserve"> Substation extension package (AIS) for augmentation of transformation capacity at 400/220kV Samba (PG) Substation in Jammu &amp; Kashmir by 1x500MVA 400/220kV ICT (4th).</v>
      </c>
      <c r="B3" s="852"/>
      <c r="C3" s="852"/>
      <c r="D3" s="852"/>
      <c r="E3" s="75"/>
      <c r="F3" s="75"/>
    </row>
    <row r="4" spans="1:6" ht="21.95" customHeight="1">
      <c r="A4" s="874" t="s">
        <v>138</v>
      </c>
      <c r="B4" s="874"/>
      <c r="C4" s="874"/>
      <c r="D4" s="874"/>
    </row>
    <row r="5" spans="1:6" ht="18" customHeight="1">
      <c r="A5" s="359"/>
    </row>
    <row r="6" spans="1:6" ht="18" customHeight="1">
      <c r="A6" s="793" t="s">
        <v>328</v>
      </c>
      <c r="B6" s="793"/>
      <c r="C6" s="445"/>
    </row>
    <row r="7" spans="1:6" ht="18" customHeight="1">
      <c r="A7" s="797">
        <f>'Sch-1'!A7</f>
        <v>0</v>
      </c>
      <c r="B7" s="797"/>
      <c r="C7" s="797"/>
      <c r="D7" s="430" t="s">
        <v>1</v>
      </c>
    </row>
    <row r="8" spans="1:6" ht="21.75" customHeight="1">
      <c r="A8" s="794" t="str">
        <f>"Bidder’s Name and Address  (" &amp; MID('Names of Bidder'!A9,9, 20) &amp; ") :"</f>
        <v>Bidder’s Name and Address  (Sole Bidder) :</v>
      </c>
      <c r="B8" s="794"/>
      <c r="C8" s="794"/>
      <c r="D8" s="738" t="str">
        <f>'Sch-1'!K8</f>
        <v>Contract Services</v>
      </c>
    </row>
    <row r="9" spans="1:6" ht="18" customHeight="1">
      <c r="A9" s="446" t="s">
        <v>9</v>
      </c>
      <c r="B9" s="446" t="str">
        <f>IF('Names of Bidder'!C9=0, "", 'Names of Bidder'!C9)</f>
        <v/>
      </c>
      <c r="C9" s="67"/>
      <c r="D9" s="738" t="str">
        <f>'Sch-1'!K9</f>
        <v>Power Grid Corporation of India Ltd.,</v>
      </c>
    </row>
    <row r="10" spans="1:6" ht="18" customHeight="1">
      <c r="A10" s="446" t="s">
        <v>8</v>
      </c>
      <c r="B10" s="449" t="str">
        <f>IF('Names of Bidder'!C10=0, "", 'Names of Bidder'!C10)</f>
        <v/>
      </c>
      <c r="C10" s="67"/>
      <c r="D10" s="738" t="str">
        <f>'Sch-1'!K10</f>
        <v>Northern Region Transmission System-II</v>
      </c>
    </row>
    <row r="11" spans="1:6" ht="18" customHeight="1">
      <c r="A11" s="453"/>
      <c r="B11" s="449" t="str">
        <f>IF('Names of Bidder'!C11=0, "", 'Names of Bidder'!C11)</f>
        <v/>
      </c>
      <c r="C11" s="67"/>
      <c r="D11" s="738" t="str">
        <f>'Sch-1'!K11</f>
        <v>Regional Head Quarters, Grid Bhawan, OB-26</v>
      </c>
    </row>
    <row r="12" spans="1:6" ht="18" customHeight="1">
      <c r="A12" s="453"/>
      <c r="B12" s="449" t="str">
        <f>IF('Names of Bidder'!C12=0, "", 'Names of Bidder'!C12)</f>
        <v/>
      </c>
      <c r="C12" s="67"/>
      <c r="D12" s="738" t="str">
        <f>'Sch-1'!K12</f>
        <v>Rail Head Complex, Jammu-180 012 (J&amp;K)</v>
      </c>
    </row>
    <row r="13" spans="1:6" ht="18" customHeight="1" thickBot="1">
      <c r="A13" s="359"/>
      <c r="B13" s="359"/>
      <c r="C13" s="359"/>
      <c r="D13" s="430"/>
    </row>
    <row r="14" spans="1:6" ht="21.95" customHeight="1">
      <c r="A14" s="360" t="s">
        <v>120</v>
      </c>
      <c r="B14" s="875" t="s">
        <v>12</v>
      </c>
      <c r="C14" s="876"/>
      <c r="D14" s="570" t="s">
        <v>122</v>
      </c>
    </row>
    <row r="15" spans="1:6" ht="21.95" customHeight="1">
      <c r="A15" s="571" t="s">
        <v>125</v>
      </c>
      <c r="B15" s="877" t="s">
        <v>139</v>
      </c>
      <c r="C15" s="877"/>
      <c r="D15" s="572">
        <f>'Sch-1'!N74</f>
        <v>0</v>
      </c>
    </row>
    <row r="16" spans="1:6" ht="35.1" customHeight="1">
      <c r="A16" s="573"/>
      <c r="B16" s="878" t="s">
        <v>140</v>
      </c>
      <c r="C16" s="879"/>
      <c r="D16" s="574"/>
    </row>
    <row r="17" spans="1:6" ht="21.95" customHeight="1">
      <c r="A17" s="571" t="s">
        <v>127</v>
      </c>
      <c r="B17" s="877" t="s">
        <v>141</v>
      </c>
      <c r="C17" s="877"/>
      <c r="D17" s="572">
        <f>'Sch-2'!J74</f>
        <v>0</v>
      </c>
    </row>
    <row r="18" spans="1:6" ht="35.1" customHeight="1">
      <c r="A18" s="573"/>
      <c r="B18" s="878" t="s">
        <v>295</v>
      </c>
      <c r="C18" s="879"/>
      <c r="D18" s="574"/>
    </row>
    <row r="19" spans="1:6" ht="21.95" customHeight="1">
      <c r="A19" s="571" t="s">
        <v>129</v>
      </c>
      <c r="B19" s="877" t="s">
        <v>143</v>
      </c>
      <c r="C19" s="877"/>
      <c r="D19" s="572">
        <f>'Sch-3'!P89</f>
        <v>0</v>
      </c>
    </row>
    <row r="20" spans="1:6" ht="30" customHeight="1">
      <c r="A20" s="573"/>
      <c r="B20" s="878" t="s">
        <v>144</v>
      </c>
      <c r="C20" s="879"/>
      <c r="D20" s="574"/>
    </row>
    <row r="21" spans="1:6" ht="21.95" customHeight="1">
      <c r="A21" s="571" t="s">
        <v>130</v>
      </c>
      <c r="B21" s="877" t="s">
        <v>145</v>
      </c>
      <c r="C21" s="877"/>
      <c r="D21" s="575" t="s">
        <v>318</v>
      </c>
    </row>
    <row r="22" spans="1:6" ht="30" customHeight="1">
      <c r="A22" s="573"/>
      <c r="B22" s="878" t="s">
        <v>146</v>
      </c>
      <c r="C22" s="879"/>
      <c r="D22" s="574"/>
    </row>
    <row r="23" spans="1:6" ht="30" customHeight="1">
      <c r="A23" s="571">
        <v>5</v>
      </c>
      <c r="B23" s="877" t="s">
        <v>147</v>
      </c>
      <c r="C23" s="877"/>
      <c r="D23" s="572">
        <f>'Sch-5'!D19:E19</f>
        <v>0</v>
      </c>
    </row>
    <row r="24" spans="1:6" ht="23.25" customHeight="1">
      <c r="A24" s="573"/>
      <c r="B24" s="878" t="s">
        <v>148</v>
      </c>
      <c r="C24" s="879"/>
      <c r="D24" s="361"/>
    </row>
    <row r="25" spans="1:6" ht="21.95" customHeight="1">
      <c r="A25" s="571" t="s">
        <v>132</v>
      </c>
      <c r="B25" s="877" t="s">
        <v>149</v>
      </c>
      <c r="C25" s="877"/>
      <c r="D25" s="575" t="s">
        <v>318</v>
      </c>
    </row>
    <row r="26" spans="1:6" ht="35.1" customHeight="1">
      <c r="A26" s="573"/>
      <c r="B26" s="878" t="s">
        <v>150</v>
      </c>
      <c r="C26" s="879"/>
      <c r="D26" s="574"/>
    </row>
    <row r="27" spans="1:6" ht="18.75" customHeight="1">
      <c r="A27" s="880"/>
      <c r="B27" s="882" t="s">
        <v>326</v>
      </c>
      <c r="C27" s="882"/>
      <c r="D27" s="655"/>
    </row>
    <row r="28" spans="1:6" ht="18.75" customHeight="1" thickBot="1">
      <c r="A28" s="881"/>
      <c r="B28" s="883"/>
      <c r="C28" s="883"/>
      <c r="D28" s="577">
        <f>D15+D17+D19+D23</f>
        <v>0</v>
      </c>
    </row>
    <row r="29" spans="1:6" ht="18.75" customHeight="1">
      <c r="A29" s="578"/>
      <c r="B29" s="579"/>
      <c r="C29" s="579"/>
      <c r="D29" s="580"/>
    </row>
    <row r="30" spans="1:6" ht="27.95" customHeight="1">
      <c r="A30" s="578"/>
      <c r="B30" s="581"/>
      <c r="C30" s="581"/>
      <c r="D30" s="580"/>
    </row>
    <row r="31" spans="1:6" ht="27.95" customHeight="1">
      <c r="A31" s="582" t="s">
        <v>152</v>
      </c>
      <c r="B31" s="583" t="str">
        <f>'Sch-5 after discount'!B21</f>
        <v xml:space="preserve">  </v>
      </c>
      <c r="C31" s="581" t="s">
        <v>134</v>
      </c>
      <c r="D31" s="656" t="str">
        <f>'Sch-5 after discount'!D21</f>
        <v/>
      </c>
      <c r="F31" s="585"/>
    </row>
    <row r="32" spans="1:6" ht="27.95" customHeight="1">
      <c r="A32" s="582" t="s">
        <v>153</v>
      </c>
      <c r="B32" s="586" t="str">
        <f>'Sch-5 after discount'!B22</f>
        <v/>
      </c>
      <c r="C32" s="581" t="s">
        <v>136</v>
      </c>
      <c r="D32" s="656" t="str">
        <f>'Sch-5 after discount'!D22</f>
        <v/>
      </c>
      <c r="F32" s="568"/>
    </row>
    <row r="33" spans="1:6" ht="27.95" customHeight="1">
      <c r="A33" s="587"/>
      <c r="B33" s="569"/>
      <c r="C33" s="581"/>
      <c r="F33" s="568"/>
    </row>
    <row r="34" spans="1:6" ht="30" customHeight="1">
      <c r="A34" s="587"/>
      <c r="B34" s="569"/>
      <c r="C34" s="581"/>
      <c r="D34" s="587"/>
      <c r="F34" s="585"/>
    </row>
    <row r="35" spans="1:6" ht="30" customHeight="1">
      <c r="A35" s="588"/>
      <c r="B35" s="588"/>
      <c r="C35" s="430"/>
      <c r="E35" s="589"/>
    </row>
  </sheetData>
  <sheetProtection algorithmName="SHA-512" hashValue="+f/83VzyJjRN9VEv80U+OZybNvMgnmhiZKVdtOHta2+nthm11+JwAOyWEd/nwjYRQq1b7hwSIcW09+HA6m5lqw==" saltValue="0ZCMN3D2SOC1BAN0GD1Sxw==" spinCount="100000" sheet="1" formatColumns="0" formatRows="0" selectLockedCells="1"/>
  <customSheetViews>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30" showPageBreaks="1" printArea="1" view="pageBreakPreview">
      <selection activeCell="F6" sqref="F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497F4E0-7D3E-4065-935D-7086BE9276FE}"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0" customWidth="1"/>
    <col min="2" max="2" width="31.42578125" style="10" customWidth="1"/>
    <col min="3" max="3" width="24" style="10" customWidth="1"/>
    <col min="4" max="4" width="39.28515625" style="10" customWidth="1"/>
    <col min="5" max="16384" width="11.42578125" style="67"/>
  </cols>
  <sheetData>
    <row r="1" spans="1:6" ht="18" customHeight="1">
      <c r="A1" s="68" t="str">
        <f>Cover!B3</f>
        <v>NR2/NT/W-MISC/DOM/J01/25/07157</v>
      </c>
      <c r="B1" s="69"/>
      <c r="C1" s="70"/>
      <c r="D1" s="71" t="s">
        <v>154</v>
      </c>
    </row>
    <row r="2" spans="1:6" ht="18" customHeight="1">
      <c r="A2" s="72"/>
      <c r="B2" s="73"/>
      <c r="C2" s="74"/>
      <c r="D2" s="74"/>
    </row>
    <row r="3" spans="1:6" ht="73.5" customHeight="1">
      <c r="A3" s="892" t="str">
        <f>Cover!$B$2</f>
        <v xml:space="preserve"> Substation extension package (AIS) for augmentation of transformation capacity at 400/220kV Samba (PG) Substation in Jammu &amp; Kashmir by 1x500MVA 400/220kV ICT (4th).</v>
      </c>
      <c r="B3" s="892"/>
      <c r="C3" s="892"/>
      <c r="D3" s="892"/>
      <c r="E3" s="75"/>
      <c r="F3" s="75"/>
    </row>
    <row r="4" spans="1:6" ht="21.95" customHeight="1">
      <c r="A4" s="853" t="s">
        <v>138</v>
      </c>
      <c r="B4" s="853"/>
      <c r="C4" s="853"/>
      <c r="D4" s="853"/>
    </row>
    <row r="5" spans="1:6" ht="18" customHeight="1">
      <c r="A5" s="76"/>
    </row>
    <row r="6" spans="1:6" ht="18" customHeight="1">
      <c r="A6" s="8" t="e">
        <f>'Sch-1'!#REF!</f>
        <v>#REF!</v>
      </c>
      <c r="D6" s="49" t="s">
        <v>1</v>
      </c>
    </row>
    <row r="7" spans="1:6" ht="36" customHeight="1">
      <c r="A7" s="893" t="str">
        <f>'Sch-1'!A8</f>
        <v>Bidder’s Name and Address  (Sole Bidder) :</v>
      </c>
      <c r="B7" s="893"/>
      <c r="C7" s="893"/>
      <c r="D7" s="50" t="str">
        <f>'Sch-1'!K8</f>
        <v>Contract Services</v>
      </c>
    </row>
    <row r="8" spans="1:6" ht="18" customHeight="1">
      <c r="A8" s="11" t="s">
        <v>28</v>
      </c>
      <c r="B8" s="891" t="str">
        <f>IF('Sch-1'!C9=0, "", 'Sch-1'!C9)</f>
        <v/>
      </c>
      <c r="C8" s="891"/>
      <c r="D8" s="50" t="str">
        <f>'Sch-1'!K9</f>
        <v>Power Grid Corporation of India Ltd.,</v>
      </c>
    </row>
    <row r="9" spans="1:6" ht="18" customHeight="1">
      <c r="A9" s="11" t="s">
        <v>29</v>
      </c>
      <c r="B9" s="891" t="str">
        <f>IF('Sch-1'!C10=0, "", 'Sch-1'!C10)</f>
        <v/>
      </c>
      <c r="C9" s="891"/>
      <c r="D9" s="50" t="str">
        <f>'Sch-1'!K10</f>
        <v>Northern Region Transmission System-II</v>
      </c>
    </row>
    <row r="10" spans="1:6" ht="18" customHeight="1">
      <c r="A10" s="12"/>
      <c r="B10" s="891" t="str">
        <f>IF('Sch-1'!C11=0, "", 'Sch-1'!C11)</f>
        <v/>
      </c>
      <c r="C10" s="891"/>
      <c r="D10" s="50" t="str">
        <f>'Sch-1'!K11</f>
        <v>Regional Head Quarters, Grid Bhawan, OB-26</v>
      </c>
    </row>
    <row r="11" spans="1:6" ht="18" customHeight="1">
      <c r="A11" s="12"/>
      <c r="B11" s="891" t="str">
        <f>IF('Sch-1'!C12=0, "", 'Sch-1'!C12)</f>
        <v/>
      </c>
      <c r="C11" s="891"/>
      <c r="D11" s="50" t="str">
        <f>'Sch-1'!K12</f>
        <v>Rail Head Complex, Jammu-180 012 (J&amp;K)</v>
      </c>
    </row>
    <row r="12" spans="1:6" ht="18" customHeight="1">
      <c r="A12" s="77"/>
      <c r="B12" s="77"/>
      <c r="C12" s="77"/>
      <c r="D12" s="49"/>
    </row>
    <row r="13" spans="1:6" ht="21.95" customHeight="1">
      <c r="A13" s="78" t="s">
        <v>120</v>
      </c>
      <c r="B13" s="884" t="s">
        <v>12</v>
      </c>
      <c r="C13" s="885"/>
      <c r="D13" s="79" t="s">
        <v>122</v>
      </c>
    </row>
    <row r="14" spans="1:6" ht="21.95" customHeight="1">
      <c r="A14" s="51" t="s">
        <v>125</v>
      </c>
      <c r="B14" s="886" t="s">
        <v>139</v>
      </c>
      <c r="C14" s="886"/>
      <c r="D14" s="80"/>
    </row>
    <row r="15" spans="1:6" ht="35.1" customHeight="1">
      <c r="A15" s="81"/>
      <c r="B15" s="887" t="s">
        <v>140</v>
      </c>
      <c r="C15" s="888"/>
      <c r="D15" s="82"/>
    </row>
    <row r="16" spans="1:6" ht="21.95" customHeight="1">
      <c r="A16" s="51" t="s">
        <v>127</v>
      </c>
      <c r="B16" s="886" t="s">
        <v>141</v>
      </c>
      <c r="C16" s="886"/>
      <c r="D16" s="80"/>
    </row>
    <row r="17" spans="1:6" ht="35.1" customHeight="1">
      <c r="A17" s="81"/>
      <c r="B17" s="887" t="s">
        <v>142</v>
      </c>
      <c r="C17" s="888"/>
      <c r="D17" s="82"/>
    </row>
    <row r="18" spans="1:6" ht="21.95" customHeight="1">
      <c r="A18" s="51" t="s">
        <v>129</v>
      </c>
      <c r="B18" s="886" t="s">
        <v>143</v>
      </c>
      <c r="C18" s="886"/>
      <c r="D18" s="80"/>
    </row>
    <row r="19" spans="1:6" ht="30" customHeight="1">
      <c r="A19" s="81"/>
      <c r="B19" s="887" t="s">
        <v>144</v>
      </c>
      <c r="C19" s="888"/>
      <c r="D19" s="82"/>
    </row>
    <row r="20" spans="1:6" ht="21.95" customHeight="1">
      <c r="A20" s="51" t="s">
        <v>130</v>
      </c>
      <c r="B20" s="886" t="s">
        <v>145</v>
      </c>
      <c r="C20" s="886"/>
      <c r="D20" s="83"/>
    </row>
    <row r="21" spans="1:6" ht="30" customHeight="1">
      <c r="A21" s="81"/>
      <c r="B21" s="887" t="s">
        <v>146</v>
      </c>
      <c r="C21" s="888"/>
      <c r="D21" s="82"/>
    </row>
    <row r="22" spans="1:6" ht="30" customHeight="1">
      <c r="A22" s="51">
        <v>5</v>
      </c>
      <c r="B22" s="886" t="s">
        <v>147</v>
      </c>
      <c r="C22" s="886"/>
      <c r="D22" s="80"/>
    </row>
    <row r="23" spans="1:6" ht="33" customHeight="1">
      <c r="A23" s="81"/>
      <c r="B23" s="887" t="s">
        <v>148</v>
      </c>
      <c r="C23" s="888"/>
      <c r="D23" s="96"/>
    </row>
    <row r="24" spans="1:6" ht="21.95" customHeight="1">
      <c r="A24" s="51" t="s">
        <v>132</v>
      </c>
      <c r="B24" s="886" t="s">
        <v>149</v>
      </c>
      <c r="C24" s="886"/>
      <c r="D24" s="83"/>
    </row>
    <row r="25" spans="1:6" ht="35.1" customHeight="1">
      <c r="A25" s="81"/>
      <c r="B25" s="887" t="s">
        <v>150</v>
      </c>
      <c r="C25" s="888"/>
      <c r="D25" s="82"/>
    </row>
    <row r="26" spans="1:6" ht="24" customHeight="1">
      <c r="A26" s="889"/>
      <c r="B26" s="890" t="s">
        <v>151</v>
      </c>
      <c r="C26" s="890"/>
      <c r="D26" s="84"/>
    </row>
    <row r="27" spans="1:6" ht="25.5" customHeight="1">
      <c r="A27" s="889"/>
      <c r="B27" s="890"/>
      <c r="C27" s="890"/>
      <c r="D27" s="85"/>
    </row>
    <row r="28" spans="1:6" ht="18.75" customHeight="1">
      <c r="A28" s="86"/>
      <c r="B28" s="87"/>
      <c r="C28" s="87"/>
      <c r="D28" s="88"/>
    </row>
    <row r="29" spans="1:6" ht="27.95" customHeight="1">
      <c r="A29" s="86"/>
      <c r="B29" s="87"/>
      <c r="C29" s="89"/>
      <c r="D29" s="88"/>
    </row>
    <row r="30" spans="1:6" ht="27.95" customHeight="1">
      <c r="A30" s="90" t="s">
        <v>152</v>
      </c>
      <c r="B30" s="54"/>
      <c r="C30" s="89" t="s">
        <v>134</v>
      </c>
      <c r="D30" s="54"/>
      <c r="F30" s="91"/>
    </row>
    <row r="31" spans="1:6" ht="27.95" customHeight="1">
      <c r="A31" s="90" t="s">
        <v>153</v>
      </c>
      <c r="B31" s="54"/>
      <c r="C31" s="89" t="s">
        <v>136</v>
      </c>
      <c r="D31" s="54"/>
      <c r="F31" s="72"/>
    </row>
    <row r="32" spans="1:6" ht="27.95" customHeight="1">
      <c r="A32" s="92"/>
      <c r="B32" s="73"/>
      <c r="C32" s="89"/>
      <c r="F32" s="72"/>
    </row>
    <row r="33" spans="1:6" ht="30" customHeight="1">
      <c r="A33" s="92"/>
      <c r="B33" s="73"/>
      <c r="C33" s="89"/>
      <c r="D33" s="92"/>
      <c r="F33" s="91"/>
    </row>
    <row r="34" spans="1:6" ht="30" customHeight="1">
      <c r="A34" s="93"/>
      <c r="B34" s="93"/>
      <c r="C34" s="94"/>
      <c r="E34" s="95"/>
    </row>
  </sheetData>
  <sheetProtection selectLockedCells="1"/>
  <customSheetViews>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497F4E0-7D3E-4065-935D-7086BE9276F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7" zoomScaleSheetLayoutView="100" workbookViewId="0">
      <selection activeCell="D8" sqref="D8:D13"/>
    </sheetView>
  </sheetViews>
  <sheetFormatPr defaultColWidth="11.42578125" defaultRowHeight="16.5"/>
  <cols>
    <col min="1" max="1" width="12.140625" style="12" customWidth="1"/>
    <col min="2" max="2" width="31.42578125" style="12" customWidth="1"/>
    <col min="3" max="3" width="24" style="12" customWidth="1"/>
    <col min="4" max="4" width="50.5703125" style="12" customWidth="1"/>
    <col min="5" max="5" width="2.140625" style="67" hidden="1" customWidth="1"/>
    <col min="6" max="6" width="0.140625" style="67" customWidth="1"/>
    <col min="7" max="16384" width="11.42578125" style="67"/>
  </cols>
  <sheetData>
    <row r="1" spans="1:6" ht="18" customHeight="1">
      <c r="A1" s="564" t="str">
        <f>Cover!B3</f>
        <v>NR2/NT/W-MISC/DOM/J01/25/07157</v>
      </c>
      <c r="B1" s="565"/>
      <c r="C1" s="566"/>
      <c r="D1" s="567" t="s">
        <v>137</v>
      </c>
    </row>
    <row r="2" spans="1:6" ht="18" customHeight="1">
      <c r="A2" s="568"/>
      <c r="B2" s="569"/>
      <c r="C2" s="20"/>
      <c r="D2" s="20"/>
    </row>
    <row r="3" spans="1:6" ht="104.25" customHeight="1">
      <c r="A3" s="852" t="str">
        <f>Cover!$B$2</f>
        <v xml:space="preserve"> Substation extension package (AIS) for augmentation of transformation capacity at 400/220kV Samba (PG) Substation in Jammu &amp; Kashmir by 1x500MVA 400/220kV ICT (4th).</v>
      </c>
      <c r="B3" s="852"/>
      <c r="C3" s="852"/>
      <c r="D3" s="852"/>
      <c r="E3" s="75"/>
      <c r="F3" s="75"/>
    </row>
    <row r="4" spans="1:6" ht="21.95" customHeight="1">
      <c r="A4" s="874" t="s">
        <v>138</v>
      </c>
      <c r="B4" s="874"/>
      <c r="C4" s="874"/>
      <c r="D4" s="874"/>
    </row>
    <row r="5" spans="1:6" ht="18" customHeight="1">
      <c r="A5" s="359"/>
    </row>
    <row r="6" spans="1:6" ht="18" customHeight="1">
      <c r="A6" s="793" t="s">
        <v>328</v>
      </c>
      <c r="B6" s="793"/>
      <c r="C6" s="445"/>
    </row>
    <row r="7" spans="1:6" ht="18" customHeight="1">
      <c r="A7" s="797">
        <f>'Sch-1'!A7</f>
        <v>0</v>
      </c>
      <c r="B7" s="797"/>
      <c r="C7" s="797"/>
      <c r="D7" s="430" t="s">
        <v>1</v>
      </c>
    </row>
    <row r="8" spans="1:6" ht="22.5" customHeight="1">
      <c r="A8" s="794" t="str">
        <f>"Bidder’s Name and Address  (" &amp; MID('Names of Bidder'!A9,9, 20) &amp; ") :"</f>
        <v>Bidder’s Name and Address  (Sole Bidder) :</v>
      </c>
      <c r="B8" s="794"/>
      <c r="C8" s="794"/>
      <c r="D8" s="738" t="str">
        <f>'Sch-1'!K8</f>
        <v>Contract Services</v>
      </c>
    </row>
    <row r="9" spans="1:6" ht="18" customHeight="1">
      <c r="A9" s="446" t="s">
        <v>9</v>
      </c>
      <c r="B9" s="446" t="str">
        <f>IF('Names of Bidder'!C9=0, "", 'Names of Bidder'!C9)</f>
        <v/>
      </c>
      <c r="C9" s="67"/>
      <c r="D9" s="738" t="str">
        <f>'Sch-1'!K9</f>
        <v>Power Grid Corporation of India Ltd.,</v>
      </c>
    </row>
    <row r="10" spans="1:6" ht="18" customHeight="1">
      <c r="A10" s="446" t="s">
        <v>8</v>
      </c>
      <c r="B10" s="449" t="str">
        <f>IF('Names of Bidder'!C10=0, "", 'Names of Bidder'!C10)</f>
        <v/>
      </c>
      <c r="C10" s="67"/>
      <c r="D10" s="738" t="str">
        <f>'Sch-1'!K10</f>
        <v>Northern Region Transmission System-II</v>
      </c>
    </row>
    <row r="11" spans="1:6" ht="18" customHeight="1">
      <c r="A11" s="453"/>
      <c r="B11" s="449" t="str">
        <f>IF('Names of Bidder'!C11=0, "", 'Names of Bidder'!C11)</f>
        <v/>
      </c>
      <c r="C11" s="67"/>
      <c r="D11" s="738" t="str">
        <f>'Sch-1'!K11</f>
        <v>Regional Head Quarters, Grid Bhawan, OB-26</v>
      </c>
    </row>
    <row r="12" spans="1:6" ht="18" customHeight="1">
      <c r="A12" s="453"/>
      <c r="B12" s="449" t="str">
        <f>IF('Names of Bidder'!C12=0, "", 'Names of Bidder'!C12)</f>
        <v/>
      </c>
      <c r="C12" s="67"/>
      <c r="D12" s="738" t="str">
        <f>'Sch-1'!K12</f>
        <v>Rail Head Complex, Jammu-180 012 (J&amp;K)</v>
      </c>
    </row>
    <row r="13" spans="1:6" ht="18" customHeight="1" thickBot="1">
      <c r="A13" s="359"/>
      <c r="B13" s="359"/>
      <c r="C13" s="359"/>
      <c r="D13" s="430"/>
    </row>
    <row r="14" spans="1:6" ht="21.95" customHeight="1">
      <c r="A14" s="360" t="s">
        <v>120</v>
      </c>
      <c r="B14" s="875" t="s">
        <v>12</v>
      </c>
      <c r="C14" s="876"/>
      <c r="D14" s="570" t="s">
        <v>122</v>
      </c>
      <c r="E14" s="344" t="s">
        <v>339</v>
      </c>
      <c r="F14" s="345" t="s">
        <v>338</v>
      </c>
    </row>
    <row r="15" spans="1:6" ht="21.95" customHeight="1">
      <c r="A15" s="571" t="s">
        <v>125</v>
      </c>
      <c r="B15" s="877" t="s">
        <v>139</v>
      </c>
      <c r="C15" s="877"/>
      <c r="D15" s="572">
        <f>E15*F15</f>
        <v>0</v>
      </c>
      <c r="E15" s="346">
        <f>'Sch-6'!D15</f>
        <v>0</v>
      </c>
      <c r="F15" s="356">
        <f>IF(Discount!H36&lt;0,0,Discount!H36)</f>
        <v>0</v>
      </c>
    </row>
    <row r="16" spans="1:6" ht="35.1" customHeight="1">
      <c r="A16" s="573"/>
      <c r="B16" s="878" t="s">
        <v>140</v>
      </c>
      <c r="C16" s="879"/>
      <c r="D16" s="574"/>
      <c r="E16" s="348"/>
      <c r="F16" s="356"/>
    </row>
    <row r="17" spans="1:6" ht="21.95" customHeight="1">
      <c r="A17" s="571" t="s">
        <v>127</v>
      </c>
      <c r="B17" s="877" t="s">
        <v>141</v>
      </c>
      <c r="C17" s="877"/>
      <c r="D17" s="572">
        <f>E17*F17</f>
        <v>0</v>
      </c>
      <c r="E17" s="346">
        <f>'Sch-6'!D17</f>
        <v>0</v>
      </c>
      <c r="F17" s="356">
        <f>IF(Discount!I36&lt;0,0,Discount!I36)</f>
        <v>0</v>
      </c>
    </row>
    <row r="18" spans="1:6" ht="35.1" customHeight="1">
      <c r="A18" s="573"/>
      <c r="B18" s="878" t="s">
        <v>295</v>
      </c>
      <c r="C18" s="879"/>
      <c r="D18" s="574"/>
      <c r="E18" s="348"/>
      <c r="F18" s="356"/>
    </row>
    <row r="19" spans="1:6" ht="21.95" customHeight="1">
      <c r="A19" s="571" t="s">
        <v>129</v>
      </c>
      <c r="B19" s="877" t="s">
        <v>143</v>
      </c>
      <c r="C19" s="877"/>
      <c r="D19" s="572">
        <f>E19*F19</f>
        <v>0</v>
      </c>
      <c r="E19" s="346">
        <f>'Sch-6'!D19</f>
        <v>0</v>
      </c>
      <c r="F19" s="356">
        <f>IF(Discount!J36&lt;0,0,Discount!J36)</f>
        <v>0</v>
      </c>
    </row>
    <row r="20" spans="1:6" ht="30" customHeight="1">
      <c r="A20" s="573"/>
      <c r="B20" s="878" t="s">
        <v>144</v>
      </c>
      <c r="C20" s="879"/>
      <c r="D20" s="574"/>
      <c r="E20" s="348"/>
      <c r="F20" s="347"/>
    </row>
    <row r="21" spans="1:6" ht="21.95" customHeight="1">
      <c r="A21" s="571" t="s">
        <v>130</v>
      </c>
      <c r="B21" s="877" t="s">
        <v>145</v>
      </c>
      <c r="C21" s="877"/>
      <c r="D21" s="575" t="s">
        <v>318</v>
      </c>
      <c r="E21" s="348"/>
      <c r="F21" s="347"/>
    </row>
    <row r="22" spans="1:6" ht="30" customHeight="1">
      <c r="A22" s="573"/>
      <c r="B22" s="878" t="s">
        <v>146</v>
      </c>
      <c r="C22" s="879"/>
      <c r="D22" s="574"/>
      <c r="E22" s="348"/>
      <c r="F22" s="347"/>
    </row>
    <row r="23" spans="1:6" ht="30" customHeight="1">
      <c r="A23" s="571">
        <v>5</v>
      </c>
      <c r="B23" s="877" t="s">
        <v>147</v>
      </c>
      <c r="C23" s="877"/>
      <c r="D23" s="572">
        <f>IF('Sch-5 after discount'!D19&lt;0,0,'Sch-5 after discount'!D19)</f>
        <v>0</v>
      </c>
      <c r="E23" s="348"/>
      <c r="F23" s="347"/>
    </row>
    <row r="24" spans="1:6" ht="25.5" customHeight="1">
      <c r="A24" s="573"/>
      <c r="B24" s="878" t="s">
        <v>148</v>
      </c>
      <c r="C24" s="879"/>
      <c r="D24" s="361"/>
      <c r="E24" s="348"/>
      <c r="F24" s="347"/>
    </row>
    <row r="25" spans="1:6" ht="21.95" customHeight="1">
      <c r="A25" s="571" t="s">
        <v>132</v>
      </c>
      <c r="B25" s="877" t="s">
        <v>149</v>
      </c>
      <c r="C25" s="877"/>
      <c r="D25" s="575" t="s">
        <v>318</v>
      </c>
      <c r="E25" s="348"/>
      <c r="F25" s="347"/>
    </row>
    <row r="26" spans="1:6" ht="35.1" customHeight="1">
      <c r="A26" s="573"/>
      <c r="B26" s="878" t="s">
        <v>150</v>
      </c>
      <c r="C26" s="879"/>
      <c r="D26" s="574"/>
      <c r="E26" s="348"/>
      <c r="F26" s="347"/>
    </row>
    <row r="27" spans="1:6" ht="18.75" customHeight="1">
      <c r="A27" s="880"/>
      <c r="B27" s="882" t="s">
        <v>326</v>
      </c>
      <c r="C27" s="882"/>
      <c r="D27" s="576"/>
      <c r="E27" s="348"/>
      <c r="F27" s="347"/>
    </row>
    <row r="28" spans="1:6" ht="18.75" customHeight="1" thickBot="1">
      <c r="A28" s="881"/>
      <c r="B28" s="883"/>
      <c r="C28" s="883"/>
      <c r="D28" s="577">
        <f>SUM(D15:D26)</f>
        <v>0</v>
      </c>
      <c r="E28" s="349"/>
      <c r="F28" s="350"/>
    </row>
    <row r="29" spans="1:6" ht="18.75" customHeight="1">
      <c r="A29" s="578"/>
      <c r="B29" s="579"/>
      <c r="C29" s="579"/>
      <c r="D29" s="580"/>
    </row>
    <row r="30" spans="1:6" ht="27.95" customHeight="1">
      <c r="A30" s="578"/>
      <c r="B30" s="581"/>
      <c r="C30" s="581"/>
      <c r="D30" s="580"/>
    </row>
    <row r="31" spans="1:6" ht="27.95" customHeight="1">
      <c r="A31" s="582" t="s">
        <v>152</v>
      </c>
      <c r="B31" s="583" t="str">
        <f>'Sch-6'!B31</f>
        <v xml:space="preserve">  </v>
      </c>
      <c r="C31" s="581" t="s">
        <v>134</v>
      </c>
      <c r="D31" s="584" t="str">
        <f>'Sch-6'!D31</f>
        <v/>
      </c>
      <c r="F31" s="585"/>
    </row>
    <row r="32" spans="1:6" ht="27.95" customHeight="1">
      <c r="A32" s="582" t="s">
        <v>153</v>
      </c>
      <c r="B32" s="586" t="str">
        <f>'Sch-6'!B32</f>
        <v/>
      </c>
      <c r="C32" s="581" t="s">
        <v>136</v>
      </c>
      <c r="D32" s="584" t="str">
        <f>'Sch-6'!D32</f>
        <v/>
      </c>
      <c r="F32" s="568"/>
    </row>
    <row r="33" spans="1:6" ht="27.95" customHeight="1">
      <c r="A33" s="587"/>
      <c r="B33" s="569"/>
      <c r="C33" s="581"/>
      <c r="F33" s="568"/>
    </row>
    <row r="34" spans="1:6" ht="30" customHeight="1">
      <c r="A34" s="587"/>
      <c r="B34" s="569"/>
      <c r="C34" s="581"/>
      <c r="D34" s="587"/>
      <c r="F34" s="585"/>
    </row>
    <row r="35" spans="1:6" ht="30" customHeight="1">
      <c r="A35" s="588"/>
      <c r="B35" s="588"/>
      <c r="C35" s="430"/>
      <c r="E35" s="589"/>
    </row>
  </sheetData>
  <sheetProtection algorithmName="SHA-512" hashValue="WoPOR36e7tIRTfTzmFc+FABW9du0Z5G4QyDpBHdGllp0C6NgMmqLuWAZlWHiqh/zP5RduRHrVt467aIvXCY1AQ==" saltValue="opCNf++WhFYG7JqZHes1nw==" spinCount="100000" sheet="1" formatColumns="0" formatRows="0" selectLockedCells="1"/>
  <customSheetViews>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selection activeCell="H8" sqref="H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497F4E0-7D3E-4065-935D-7086BE9276FE}"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79"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6" zoomScaleSheetLayoutView="100" workbookViewId="0">
      <selection activeCell="A16" sqref="A16"/>
    </sheetView>
  </sheetViews>
  <sheetFormatPr defaultColWidth="8.7109375" defaultRowHeight="16.5"/>
  <cols>
    <col min="1" max="1" width="6.5703125" style="682" customWidth="1"/>
    <col min="2" max="2" width="11.42578125" style="682" customWidth="1"/>
    <col min="3" max="3" width="15" style="682" customWidth="1"/>
    <col min="4" max="4" width="10.28515625" style="682" customWidth="1"/>
    <col min="5" max="8" width="15.140625" style="682" customWidth="1"/>
    <col min="9" max="9" width="22.85546875" style="710" customWidth="1"/>
    <col min="10" max="10" width="8.7109375" style="711" customWidth="1"/>
    <col min="11" max="11" width="10.28515625" style="711" customWidth="1"/>
    <col min="12" max="12" width="13.5703125" style="711" customWidth="1"/>
    <col min="13" max="13" width="27.7109375" style="711" customWidth="1"/>
    <col min="14" max="26" width="9.140625" style="661" customWidth="1"/>
    <col min="27" max="27" width="0" style="661" hidden="1" customWidth="1"/>
    <col min="28" max="28" width="15.85546875" style="661" hidden="1" customWidth="1"/>
    <col min="29" max="29" width="15.5703125" style="661" hidden="1" customWidth="1"/>
    <col min="30" max="30" width="24.42578125" style="661" hidden="1" customWidth="1"/>
    <col min="31" max="31" width="13.7109375" style="661" hidden="1" customWidth="1"/>
    <col min="32" max="33" width="0" style="661" hidden="1" customWidth="1"/>
    <col min="34" max="100" width="9.140625" style="661" customWidth="1"/>
    <col min="101" max="253" width="9.140625" style="677" customWidth="1"/>
    <col min="254" max="254" width="13" style="677" customWidth="1"/>
    <col min="255" max="255" width="35.85546875" style="677" customWidth="1"/>
    <col min="256" max="16384" width="8.7109375" style="677"/>
  </cols>
  <sheetData>
    <row r="1" spans="1:100" s="661" customFormat="1" ht="18" customHeight="1">
      <c r="A1" s="657" t="str">
        <f>Cover!B3</f>
        <v>NR2/NT/W-MISC/DOM/J01/25/07157</v>
      </c>
      <c r="B1" s="657"/>
      <c r="C1" s="657"/>
      <c r="D1" s="657"/>
      <c r="E1" s="657"/>
      <c r="F1" s="657"/>
      <c r="G1" s="657"/>
      <c r="H1" s="657"/>
      <c r="I1" s="658"/>
      <c r="J1" s="659"/>
      <c r="K1" s="659"/>
      <c r="L1" s="659"/>
      <c r="M1" s="660" t="s">
        <v>27</v>
      </c>
    </row>
    <row r="2" spans="1:100" s="661" customFormat="1" ht="12.75" customHeight="1">
      <c r="A2" s="662"/>
      <c r="B2" s="662"/>
      <c r="C2" s="662"/>
      <c r="D2" s="662"/>
      <c r="E2" s="662"/>
      <c r="F2" s="662"/>
      <c r="G2" s="662"/>
      <c r="H2" s="662"/>
      <c r="I2" s="663"/>
      <c r="J2" s="562"/>
      <c r="K2" s="562"/>
      <c r="L2" s="562"/>
      <c r="M2" s="562"/>
    </row>
    <row r="3" spans="1:100" s="661" customFormat="1" ht="103.5" customHeight="1">
      <c r="A3" s="910" t="str">
        <f>Cover!$B$2</f>
        <v xml:space="preserve"> Substation extension package (AIS) for augmentation of transformation capacity at 400/220kV Samba (PG) Substation in Jammu &amp; Kashmir by 1x500MVA 400/220kV ICT (4th).</v>
      </c>
      <c r="B3" s="910"/>
      <c r="C3" s="910"/>
      <c r="D3" s="910"/>
      <c r="E3" s="910"/>
      <c r="F3" s="910"/>
      <c r="G3" s="910"/>
      <c r="H3" s="910"/>
      <c r="I3" s="910"/>
      <c r="J3" s="910"/>
      <c r="K3" s="910"/>
      <c r="L3" s="910"/>
      <c r="M3" s="910"/>
      <c r="AA3" s="661" t="s">
        <v>15</v>
      </c>
      <c r="AC3" s="661">
        <f>IF(ISERROR(#REF!/('[6]Sch-6'!D14+'[6]Sch-6'!D16+'[6]Sch-6'!D18)),0,#REF!/( '[6]Sch-6'!D14+'[6]Sch-6'!D16+'[6]Sch-6'!D18))</f>
        <v>0</v>
      </c>
    </row>
    <row r="4" spans="1:100" s="661" customFormat="1" ht="21.95" customHeight="1">
      <c r="A4" s="911" t="s">
        <v>16</v>
      </c>
      <c r="B4" s="911"/>
      <c r="C4" s="911"/>
      <c r="D4" s="911"/>
      <c r="E4" s="911"/>
      <c r="F4" s="911"/>
      <c r="G4" s="911"/>
      <c r="H4" s="911"/>
      <c r="I4" s="911"/>
      <c r="J4" s="911"/>
      <c r="K4" s="911"/>
      <c r="L4" s="911"/>
      <c r="M4" s="911"/>
      <c r="AA4" s="661" t="s">
        <v>17</v>
      </c>
      <c r="AC4" s="661" t="e">
        <f>#REF!</f>
        <v>#REF!</v>
      </c>
    </row>
    <row r="5" spans="1:100" s="661" customFormat="1" ht="27.95" customHeight="1">
      <c r="A5" s="195"/>
      <c r="B5" s="195"/>
      <c r="C5" s="195"/>
      <c r="D5" s="195"/>
      <c r="E5" s="290"/>
      <c r="F5" s="290"/>
      <c r="G5" s="290"/>
      <c r="H5" s="290"/>
      <c r="I5" s="664"/>
      <c r="K5" s="665"/>
      <c r="L5" s="666"/>
      <c r="M5" s="290"/>
    </row>
    <row r="6" spans="1:100" s="661" customFormat="1" ht="27.95" customHeight="1">
      <c r="A6" s="667"/>
      <c r="B6" s="793" t="s">
        <v>328</v>
      </c>
      <c r="C6" s="793"/>
      <c r="D6" s="445"/>
      <c r="E6" s="290"/>
      <c r="F6" s="290"/>
      <c r="G6" s="290"/>
      <c r="H6" s="290"/>
      <c r="I6" s="664"/>
      <c r="K6" s="665"/>
      <c r="L6" s="666"/>
      <c r="M6" s="290"/>
    </row>
    <row r="7" spans="1:100" s="661" customFormat="1" ht="27.95" customHeight="1">
      <c r="A7" s="447"/>
      <c r="B7" s="797">
        <f>'Sch-1'!A7</f>
        <v>0</v>
      </c>
      <c r="C7" s="797"/>
      <c r="D7" s="797"/>
      <c r="E7" s="797"/>
      <c r="F7" s="797"/>
      <c r="G7" s="797"/>
      <c r="H7" s="797"/>
      <c r="I7" s="664"/>
      <c r="K7" s="665"/>
      <c r="L7" s="666"/>
      <c r="M7" s="290"/>
    </row>
    <row r="8" spans="1:100" s="298" customFormat="1" ht="16.5" customHeight="1">
      <c r="A8" s="668"/>
      <c r="B8" s="794" t="str">
        <f>'Sch-1'!A8</f>
        <v>Bidder’s Name and Address  (Sole Bidder) :</v>
      </c>
      <c r="C8" s="794"/>
      <c r="D8" s="794"/>
      <c r="E8" s="794"/>
      <c r="F8" s="794"/>
      <c r="G8" s="794"/>
      <c r="H8" s="794"/>
      <c r="I8" s="669"/>
      <c r="J8" s="669"/>
      <c r="K8" s="430" t="s">
        <v>1</v>
      </c>
      <c r="L8" s="670"/>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BB8" s="661"/>
      <c r="BC8" s="661"/>
      <c r="BD8" s="661"/>
      <c r="BE8" s="661"/>
      <c r="BF8" s="661"/>
      <c r="BG8" s="661"/>
      <c r="BH8" s="661"/>
      <c r="BI8" s="661"/>
      <c r="BJ8" s="661"/>
      <c r="BK8" s="661"/>
      <c r="BL8" s="661"/>
      <c r="BM8" s="661"/>
      <c r="BN8" s="661"/>
      <c r="BO8" s="661"/>
      <c r="BP8" s="661"/>
      <c r="BQ8" s="661"/>
      <c r="BR8" s="661"/>
      <c r="BS8" s="661"/>
      <c r="BT8" s="661"/>
      <c r="BU8" s="661"/>
      <c r="BV8" s="661"/>
      <c r="BW8" s="661"/>
      <c r="BX8" s="661"/>
      <c r="BY8" s="661"/>
      <c r="BZ8" s="661"/>
      <c r="CA8" s="661"/>
      <c r="CB8" s="661"/>
      <c r="CC8" s="661"/>
      <c r="CD8" s="661"/>
      <c r="CE8" s="661"/>
      <c r="CF8" s="661"/>
      <c r="CG8" s="661"/>
      <c r="CH8" s="661"/>
      <c r="CI8" s="661"/>
      <c r="CJ8" s="661"/>
      <c r="CK8" s="661"/>
      <c r="CL8" s="661"/>
      <c r="CM8" s="661"/>
      <c r="CN8" s="661"/>
      <c r="CO8" s="661"/>
      <c r="CP8" s="661"/>
      <c r="CQ8" s="661"/>
      <c r="CR8" s="661"/>
      <c r="CS8" s="661"/>
      <c r="CT8" s="661"/>
      <c r="CU8" s="661"/>
      <c r="CV8" s="661"/>
    </row>
    <row r="9" spans="1:100" s="298" customFormat="1">
      <c r="A9" s="446"/>
      <c r="B9" s="446" t="s">
        <v>9</v>
      </c>
      <c r="C9" s="797" t="str">
        <f>'Sch-1'!C9</f>
        <v/>
      </c>
      <c r="D9" s="797"/>
      <c r="E9" s="797"/>
      <c r="F9" s="797"/>
      <c r="G9" s="449"/>
      <c r="H9" s="449"/>
      <c r="I9" s="449"/>
      <c r="J9" s="449"/>
      <c r="K9" s="738" t="s">
        <v>2</v>
      </c>
      <c r="L9" s="670"/>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1"/>
      <c r="AZ9" s="661"/>
      <c r="BA9" s="661"/>
      <c r="BB9" s="661"/>
      <c r="BC9" s="661"/>
      <c r="BD9" s="661"/>
      <c r="BE9" s="661"/>
      <c r="BF9" s="661"/>
      <c r="BG9" s="661"/>
      <c r="BH9" s="661"/>
      <c r="BI9" s="661"/>
      <c r="BJ9" s="661"/>
      <c r="BK9" s="661"/>
      <c r="BL9" s="661"/>
      <c r="BM9" s="661"/>
      <c r="BN9" s="661"/>
      <c r="BO9" s="661"/>
      <c r="BP9" s="661"/>
      <c r="BQ9" s="661"/>
      <c r="BR9" s="661"/>
      <c r="BS9" s="661"/>
      <c r="BT9" s="661"/>
      <c r="BU9" s="661"/>
      <c r="BV9" s="661"/>
      <c r="BW9" s="661"/>
      <c r="BX9" s="661"/>
      <c r="BY9" s="661"/>
      <c r="BZ9" s="661"/>
      <c r="CA9" s="661"/>
      <c r="CB9" s="661"/>
      <c r="CC9" s="661"/>
      <c r="CD9" s="661"/>
      <c r="CE9" s="661"/>
      <c r="CF9" s="661"/>
      <c r="CG9" s="661"/>
      <c r="CH9" s="661"/>
      <c r="CI9" s="661"/>
      <c r="CJ9" s="661"/>
      <c r="CK9" s="661"/>
      <c r="CL9" s="661"/>
      <c r="CM9" s="661"/>
      <c r="CN9" s="661"/>
      <c r="CO9" s="661"/>
      <c r="CP9" s="661"/>
      <c r="CQ9" s="661"/>
      <c r="CR9" s="661"/>
      <c r="CS9" s="661"/>
      <c r="CT9" s="661"/>
      <c r="CU9" s="661"/>
      <c r="CV9" s="661"/>
    </row>
    <row r="10" spans="1:100" s="298" customFormat="1">
      <c r="A10" s="446"/>
      <c r="B10" s="446" t="s">
        <v>8</v>
      </c>
      <c r="C10" s="796" t="str">
        <f>'Sch-1'!C10</f>
        <v/>
      </c>
      <c r="D10" s="796"/>
      <c r="E10" s="796"/>
      <c r="F10" s="796"/>
      <c r="G10" s="449"/>
      <c r="H10" s="449"/>
      <c r="I10" s="449"/>
      <c r="J10" s="449"/>
      <c r="K10" s="738" t="s">
        <v>3</v>
      </c>
      <c r="L10" s="670"/>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661"/>
      <c r="BN10" s="661"/>
      <c r="BO10" s="661"/>
      <c r="BP10" s="661"/>
      <c r="BQ10" s="661"/>
      <c r="BR10" s="661"/>
      <c r="BS10" s="661"/>
      <c r="BT10" s="661"/>
      <c r="BU10" s="661"/>
      <c r="BV10" s="661"/>
      <c r="BW10" s="661"/>
      <c r="BX10" s="661"/>
      <c r="BY10" s="661"/>
      <c r="BZ10" s="661"/>
      <c r="CA10" s="661"/>
      <c r="CB10" s="661"/>
      <c r="CC10" s="661"/>
      <c r="CD10" s="661"/>
      <c r="CE10" s="661"/>
      <c r="CF10" s="661"/>
      <c r="CG10" s="661"/>
      <c r="CH10" s="661"/>
      <c r="CI10" s="661"/>
      <c r="CJ10" s="661"/>
      <c r="CK10" s="661"/>
      <c r="CL10" s="661"/>
      <c r="CM10" s="661"/>
      <c r="CN10" s="661"/>
      <c r="CO10" s="661"/>
      <c r="CP10" s="661"/>
      <c r="CQ10" s="661"/>
      <c r="CR10" s="661"/>
      <c r="CS10" s="661"/>
      <c r="CT10" s="661"/>
      <c r="CU10" s="661"/>
      <c r="CV10" s="661"/>
    </row>
    <row r="11" spans="1:100" s="298" customFormat="1">
      <c r="A11" s="453"/>
      <c r="B11" s="453"/>
      <c r="C11" s="796" t="str">
        <f>'Sch-1'!C11</f>
        <v/>
      </c>
      <c r="D11" s="796"/>
      <c r="E11" s="796"/>
      <c r="F11" s="796"/>
      <c r="G11" s="449"/>
      <c r="H11" s="449"/>
      <c r="I11" s="449"/>
      <c r="J11" s="449"/>
      <c r="K11" s="738" t="str">
        <f>'Sch-1'!K10</f>
        <v>Northern Region Transmission System-II</v>
      </c>
      <c r="L11" s="670"/>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1"/>
      <c r="AV11" s="661"/>
      <c r="AW11" s="661"/>
      <c r="AX11" s="661"/>
      <c r="AY11" s="661"/>
      <c r="AZ11" s="661"/>
      <c r="BA11" s="661"/>
      <c r="BB11" s="661"/>
      <c r="BC11" s="661"/>
      <c r="BD11" s="661"/>
      <c r="BE11" s="661"/>
      <c r="BF11" s="661"/>
      <c r="BG11" s="661"/>
      <c r="BH11" s="661"/>
      <c r="BI11" s="661"/>
      <c r="BJ11" s="661"/>
      <c r="BK11" s="661"/>
      <c r="BL11" s="661"/>
      <c r="BM11" s="661"/>
      <c r="BN11" s="661"/>
      <c r="BO11" s="661"/>
      <c r="BP11" s="661"/>
      <c r="BQ11" s="661"/>
      <c r="BR11" s="661"/>
      <c r="BS11" s="661"/>
      <c r="BT11" s="661"/>
      <c r="BU11" s="661"/>
      <c r="BV11" s="661"/>
      <c r="BW11" s="661"/>
      <c r="BX11" s="661"/>
      <c r="BY11" s="661"/>
      <c r="BZ11" s="661"/>
      <c r="CA11" s="661"/>
      <c r="CB11" s="661"/>
      <c r="CC11" s="661"/>
      <c r="CD11" s="661"/>
      <c r="CE11" s="661"/>
      <c r="CF11" s="661"/>
      <c r="CG11" s="661"/>
      <c r="CH11" s="661"/>
      <c r="CI11" s="661"/>
      <c r="CJ11" s="661"/>
      <c r="CK11" s="661"/>
      <c r="CL11" s="661"/>
      <c r="CM11" s="661"/>
      <c r="CN11" s="661"/>
      <c r="CO11" s="661"/>
      <c r="CP11" s="661"/>
      <c r="CQ11" s="661"/>
      <c r="CR11" s="661"/>
      <c r="CS11" s="661"/>
      <c r="CT11" s="661"/>
      <c r="CU11" s="661"/>
      <c r="CV11" s="661"/>
    </row>
    <row r="12" spans="1:100" s="298" customFormat="1">
      <c r="A12" s="453"/>
      <c r="B12" s="453"/>
      <c r="C12" s="796" t="str">
        <f>'Sch-1'!C12</f>
        <v/>
      </c>
      <c r="D12" s="796"/>
      <c r="E12" s="796"/>
      <c r="F12" s="796"/>
      <c r="G12" s="449"/>
      <c r="H12" s="449"/>
      <c r="I12" s="449"/>
      <c r="J12" s="449"/>
      <c r="K12" s="738" t="str">
        <f>'Sch-1'!K11</f>
        <v>Regional Head Quarters, Grid Bhawan, OB-26</v>
      </c>
      <c r="L12" s="670"/>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1"/>
      <c r="AK12" s="661"/>
      <c r="AL12" s="661"/>
      <c r="AM12" s="661"/>
      <c r="AN12" s="661"/>
      <c r="AO12" s="661"/>
      <c r="AP12" s="661"/>
      <c r="AQ12" s="661"/>
      <c r="AR12" s="661"/>
      <c r="AS12" s="661"/>
      <c r="AT12" s="661"/>
      <c r="AU12" s="661"/>
      <c r="AV12" s="661"/>
      <c r="AW12" s="661"/>
      <c r="AX12" s="661"/>
      <c r="AY12" s="661"/>
      <c r="AZ12" s="661"/>
      <c r="BA12" s="661"/>
      <c r="BB12" s="661"/>
      <c r="BC12" s="661"/>
      <c r="BD12" s="661"/>
      <c r="BE12" s="661"/>
      <c r="BF12" s="661"/>
      <c r="BG12" s="661"/>
      <c r="BH12" s="661"/>
      <c r="BI12" s="661"/>
      <c r="BJ12" s="661"/>
      <c r="BK12" s="661"/>
      <c r="BL12" s="661"/>
      <c r="BM12" s="661"/>
      <c r="BN12" s="661"/>
      <c r="BO12" s="661"/>
      <c r="BP12" s="661"/>
      <c r="BQ12" s="661"/>
      <c r="BR12" s="661"/>
      <c r="BS12" s="661"/>
      <c r="BT12" s="661"/>
      <c r="BU12" s="661"/>
      <c r="BV12" s="661"/>
      <c r="BW12" s="661"/>
      <c r="BX12" s="661"/>
      <c r="BY12" s="661"/>
      <c r="BZ12" s="661"/>
      <c r="CA12" s="661"/>
      <c r="CB12" s="661"/>
      <c r="CC12" s="661"/>
      <c r="CD12" s="661"/>
      <c r="CE12" s="661"/>
      <c r="CF12" s="661"/>
      <c r="CG12" s="661"/>
      <c r="CH12" s="661"/>
      <c r="CI12" s="661"/>
      <c r="CJ12" s="661"/>
      <c r="CK12" s="661"/>
      <c r="CL12" s="661"/>
      <c r="CM12" s="661"/>
      <c r="CN12" s="661"/>
      <c r="CO12" s="661"/>
      <c r="CP12" s="661"/>
      <c r="CQ12" s="661"/>
      <c r="CR12" s="661"/>
      <c r="CS12" s="661"/>
      <c r="CT12" s="661"/>
      <c r="CU12" s="661"/>
      <c r="CV12" s="661"/>
    </row>
    <row r="13" spans="1:100" s="661" customFormat="1" ht="21" customHeight="1">
      <c r="A13" s="195"/>
      <c r="B13" s="195"/>
      <c r="C13" s="195"/>
      <c r="D13" s="195"/>
      <c r="E13" s="195"/>
      <c r="F13" s="195"/>
      <c r="G13" s="195"/>
      <c r="H13" s="195"/>
      <c r="I13" s="274"/>
      <c r="J13" s="290"/>
      <c r="K13" s="738" t="str">
        <f>'Sch-1'!K12</f>
        <v>Rail Head Complex, Jammu-180 012 (J&amp;K)</v>
      </c>
      <c r="L13" s="739"/>
      <c r="M13" s="739"/>
    </row>
    <row r="14" spans="1:100" s="661" customFormat="1" ht="27.95" customHeight="1">
      <c r="A14" s="901" t="s">
        <v>461</v>
      </c>
      <c r="B14" s="901"/>
      <c r="C14" s="901"/>
      <c r="D14" s="901"/>
      <c r="E14" s="901"/>
      <c r="F14" s="901"/>
      <c r="G14" s="901"/>
      <c r="H14" s="901"/>
      <c r="I14" s="901"/>
      <c r="J14" s="901"/>
      <c r="K14" s="901"/>
      <c r="L14" s="901"/>
      <c r="M14" s="901"/>
    </row>
    <row r="15" spans="1:100" s="661" customFormat="1" ht="115.5" customHeight="1">
      <c r="A15" s="671" t="s">
        <v>30</v>
      </c>
      <c r="B15" s="492" t="s">
        <v>250</v>
      </c>
      <c r="C15" s="492" t="s">
        <v>251</v>
      </c>
      <c r="D15" s="671" t="s">
        <v>36</v>
      </c>
      <c r="E15" s="299" t="s">
        <v>309</v>
      </c>
      <c r="F15" s="300" t="s">
        <v>310</v>
      </c>
      <c r="G15" s="300" t="s">
        <v>291</v>
      </c>
      <c r="H15" s="300" t="s">
        <v>300</v>
      </c>
      <c r="I15" s="672" t="s">
        <v>31</v>
      </c>
      <c r="J15" s="672" t="s">
        <v>6</v>
      </c>
      <c r="K15" s="672" t="s">
        <v>13</v>
      </c>
      <c r="L15" s="672" t="s">
        <v>32</v>
      </c>
      <c r="M15" s="673" t="s">
        <v>33</v>
      </c>
      <c r="AB15" s="661" t="s">
        <v>34</v>
      </c>
      <c r="AD15" s="661" t="s">
        <v>19</v>
      </c>
      <c r="AE15" s="661" t="s">
        <v>35</v>
      </c>
    </row>
    <row r="16" spans="1:100">
      <c r="A16" s="674"/>
      <c r="B16" s="674"/>
      <c r="C16" s="674"/>
      <c r="D16" s="674"/>
      <c r="E16" s="674"/>
      <c r="F16" s="674"/>
      <c r="G16" s="674"/>
      <c r="H16" s="674"/>
      <c r="I16" s="675"/>
      <c r="J16" s="676"/>
      <c r="K16" s="676"/>
      <c r="L16" s="676"/>
      <c r="M16" s="676"/>
    </row>
    <row r="17" spans="1:100" s="679" customFormat="1" ht="23.25" customHeight="1">
      <c r="A17" s="678"/>
      <c r="B17" s="678"/>
      <c r="C17" s="678"/>
      <c r="D17" s="678"/>
      <c r="F17" s="678"/>
      <c r="G17" s="680" t="s">
        <v>317</v>
      </c>
      <c r="H17" s="678"/>
      <c r="I17" s="678"/>
      <c r="J17" s="678"/>
      <c r="K17" s="678"/>
      <c r="L17" s="678"/>
      <c r="M17" s="678"/>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1"/>
      <c r="AV17" s="661"/>
      <c r="AW17" s="661"/>
      <c r="AX17" s="661"/>
      <c r="AY17" s="661"/>
      <c r="AZ17" s="661"/>
      <c r="BA17" s="661"/>
      <c r="BB17" s="661"/>
      <c r="BC17" s="661"/>
      <c r="BD17" s="661"/>
      <c r="BE17" s="661"/>
      <c r="BF17" s="661"/>
      <c r="BG17" s="661"/>
      <c r="BH17" s="661"/>
      <c r="BI17" s="661"/>
      <c r="BJ17" s="661"/>
      <c r="BK17" s="661"/>
      <c r="BL17" s="661"/>
      <c r="BM17" s="661"/>
      <c r="BN17" s="661"/>
      <c r="BO17" s="661"/>
      <c r="BP17" s="661"/>
      <c r="BQ17" s="661"/>
      <c r="BR17" s="661"/>
      <c r="BS17" s="661"/>
      <c r="BT17" s="661"/>
      <c r="BU17" s="661"/>
      <c r="BV17" s="661"/>
      <c r="BW17" s="661"/>
      <c r="BX17" s="661"/>
      <c r="BY17" s="661"/>
      <c r="BZ17" s="661"/>
      <c r="CA17" s="661"/>
      <c r="CB17" s="661"/>
      <c r="CC17" s="661"/>
      <c r="CD17" s="661"/>
      <c r="CE17" s="661"/>
      <c r="CF17" s="661"/>
      <c r="CG17" s="661"/>
      <c r="CH17" s="661"/>
      <c r="CI17" s="661"/>
      <c r="CJ17" s="661"/>
      <c r="CK17" s="661"/>
      <c r="CL17" s="661"/>
      <c r="CM17" s="661"/>
      <c r="CN17" s="661"/>
      <c r="CO17" s="661"/>
      <c r="CP17" s="661"/>
      <c r="CQ17" s="661"/>
      <c r="CR17" s="661"/>
      <c r="CS17" s="661"/>
      <c r="CT17" s="661"/>
      <c r="CU17" s="661"/>
      <c r="CV17" s="661"/>
    </row>
    <row r="18" spans="1:100" ht="22.5" customHeight="1">
      <c r="A18" s="902"/>
      <c r="B18" s="902"/>
      <c r="C18" s="902"/>
      <c r="D18" s="902"/>
      <c r="E18" s="902"/>
      <c r="F18" s="902"/>
      <c r="G18" s="902"/>
      <c r="H18" s="902"/>
      <c r="I18" s="902"/>
      <c r="J18" s="681"/>
      <c r="K18" s="681"/>
      <c r="L18" s="681"/>
      <c r="M18" s="681"/>
    </row>
    <row r="19" spans="1:100" ht="26.25" customHeight="1">
      <c r="B19" s="683"/>
      <c r="C19" s="684"/>
      <c r="D19" s="684"/>
      <c r="E19" s="684"/>
      <c r="F19" s="684"/>
      <c r="G19" s="684"/>
      <c r="H19" s="684"/>
      <c r="I19" s="684"/>
      <c r="J19" s="684"/>
      <c r="K19" s="684"/>
      <c r="L19" s="685"/>
      <c r="M19" s="557"/>
    </row>
    <row r="20" spans="1:100">
      <c r="B20" s="684"/>
      <c r="C20" s="684"/>
      <c r="D20" s="684"/>
      <c r="E20" s="684"/>
      <c r="F20" s="684"/>
      <c r="G20" s="684"/>
      <c r="H20" s="684"/>
      <c r="I20" s="684"/>
      <c r="J20" s="684"/>
      <c r="K20" s="684"/>
      <c r="L20" s="686"/>
      <c r="M20" s="557"/>
    </row>
    <row r="21" spans="1:100" s="687" customFormat="1">
      <c r="B21" s="687" t="s">
        <v>297</v>
      </c>
      <c r="C21" s="903" t="str">
        <f>'Sch-6 (After Discount)'!B31</f>
        <v xml:space="preserve">  </v>
      </c>
      <c r="D21" s="904"/>
      <c r="H21" s="907" t="s">
        <v>299</v>
      </c>
      <c r="I21" s="907"/>
      <c r="J21" s="912" t="str">
        <f>'Sch-6 (After Discount)'!D31</f>
        <v/>
      </c>
      <c r="K21" s="912"/>
      <c r="L21" s="912"/>
      <c r="M21" s="912"/>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1"/>
      <c r="AV21" s="661"/>
      <c r="AW21" s="661"/>
      <c r="AX21" s="661"/>
      <c r="AY21" s="661"/>
      <c r="AZ21" s="661"/>
      <c r="BA21" s="661"/>
      <c r="BB21" s="661"/>
      <c r="BC21" s="661"/>
      <c r="BD21" s="661"/>
      <c r="BE21" s="661"/>
      <c r="BF21" s="661"/>
      <c r="BG21" s="661"/>
      <c r="BH21" s="661"/>
      <c r="BI21" s="661"/>
      <c r="BJ21" s="661"/>
      <c r="BK21" s="661"/>
      <c r="BL21" s="661"/>
      <c r="BM21" s="661"/>
      <c r="BN21" s="661"/>
      <c r="BO21" s="661"/>
      <c r="BP21" s="661"/>
      <c r="BQ21" s="661"/>
      <c r="BR21" s="661"/>
      <c r="BS21" s="661"/>
      <c r="BT21" s="661"/>
      <c r="BU21" s="661"/>
      <c r="BV21" s="661"/>
      <c r="BW21" s="661"/>
      <c r="BX21" s="661"/>
      <c r="BY21" s="661"/>
      <c r="BZ21" s="661"/>
      <c r="CA21" s="661"/>
      <c r="CB21" s="661"/>
      <c r="CC21" s="661"/>
      <c r="CD21" s="661"/>
      <c r="CE21" s="661"/>
      <c r="CF21" s="661"/>
      <c r="CG21" s="661"/>
      <c r="CH21" s="661"/>
      <c r="CI21" s="661"/>
      <c r="CJ21" s="661"/>
      <c r="CK21" s="661"/>
      <c r="CL21" s="661"/>
      <c r="CM21" s="661"/>
      <c r="CN21" s="661"/>
      <c r="CO21" s="661"/>
      <c r="CP21" s="661"/>
      <c r="CQ21" s="661"/>
      <c r="CR21" s="661"/>
      <c r="CS21" s="661"/>
      <c r="CT21" s="661"/>
      <c r="CU21" s="661"/>
      <c r="CV21" s="661"/>
    </row>
    <row r="22" spans="1:100" s="687" customFormat="1" ht="16.5" customHeight="1">
      <c r="B22" s="687" t="s">
        <v>298</v>
      </c>
      <c r="C22" s="913" t="str">
        <f>'Sch-6'!B32</f>
        <v/>
      </c>
      <c r="D22" s="904"/>
      <c r="H22" s="907" t="s">
        <v>115</v>
      </c>
      <c r="I22" s="907"/>
      <c r="J22" s="912" t="str">
        <f>'Sch-6 (After Discount)'!D32</f>
        <v/>
      </c>
      <c r="K22" s="912"/>
      <c r="L22" s="912"/>
      <c r="M22" s="912"/>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661"/>
      <c r="BE22" s="661"/>
      <c r="BF22" s="661"/>
      <c r="BG22" s="661"/>
      <c r="BH22" s="661"/>
      <c r="BI22" s="661"/>
      <c r="BJ22" s="661"/>
      <c r="BK22" s="661"/>
      <c r="BL22" s="661"/>
      <c r="BM22" s="661"/>
      <c r="BN22" s="661"/>
      <c r="BO22" s="661"/>
      <c r="BP22" s="661"/>
      <c r="BQ22" s="661"/>
      <c r="BR22" s="661"/>
      <c r="BS22" s="661"/>
      <c r="BT22" s="661"/>
      <c r="BU22" s="661"/>
      <c r="BV22" s="661"/>
      <c r="BW22" s="661"/>
      <c r="BX22" s="661"/>
      <c r="BY22" s="661"/>
      <c r="BZ22" s="661"/>
      <c r="CA22" s="661"/>
      <c r="CB22" s="661"/>
      <c r="CC22" s="661"/>
      <c r="CD22" s="661"/>
      <c r="CE22" s="661"/>
      <c r="CF22" s="661"/>
      <c r="CG22" s="661"/>
      <c r="CH22" s="661"/>
      <c r="CI22" s="661"/>
      <c r="CJ22" s="661"/>
      <c r="CK22" s="661"/>
      <c r="CL22" s="661"/>
      <c r="CM22" s="661"/>
      <c r="CN22" s="661"/>
      <c r="CO22" s="661"/>
      <c r="CP22" s="661"/>
      <c r="CQ22" s="661"/>
      <c r="CR22" s="661"/>
      <c r="CS22" s="661"/>
      <c r="CT22" s="661"/>
      <c r="CU22" s="661"/>
      <c r="CV22" s="661"/>
    </row>
    <row r="23" spans="1:100">
      <c r="B23" s="905"/>
      <c r="C23" s="905"/>
      <c r="D23" s="905"/>
      <c r="E23" s="905"/>
      <c r="F23" s="905"/>
      <c r="G23" s="905"/>
      <c r="H23" s="905"/>
      <c r="I23" s="905"/>
      <c r="J23" s="905"/>
      <c r="K23" s="905"/>
      <c r="L23" s="905"/>
      <c r="M23" s="557"/>
    </row>
    <row r="24" spans="1:100">
      <c r="B24" s="688"/>
      <c r="C24" s="688"/>
      <c r="D24" s="906"/>
      <c r="E24" s="906"/>
      <c r="F24" s="906"/>
      <c r="G24" s="906"/>
      <c r="H24" s="906"/>
      <c r="I24" s="906"/>
      <c r="J24" s="906"/>
      <c r="K24" s="906"/>
      <c r="L24" s="906"/>
      <c r="M24" s="557"/>
    </row>
    <row r="25" spans="1:100">
      <c r="B25" s="689"/>
      <c r="C25" s="690"/>
      <c r="D25" s="906"/>
      <c r="E25" s="906"/>
      <c r="F25" s="906"/>
      <c r="G25" s="906"/>
      <c r="H25" s="906"/>
      <c r="I25" s="906"/>
      <c r="J25" s="906"/>
      <c r="K25" s="906"/>
      <c r="L25" s="906"/>
      <c r="M25" s="557"/>
    </row>
    <row r="26" spans="1:100">
      <c r="B26" s="689"/>
      <c r="C26" s="691"/>
      <c r="D26" s="906"/>
      <c r="E26" s="906"/>
      <c r="F26" s="906"/>
      <c r="G26" s="906"/>
      <c r="H26" s="906"/>
      <c r="I26" s="906"/>
      <c r="J26" s="906"/>
      <c r="K26" s="906"/>
      <c r="L26" s="906"/>
      <c r="M26" s="557"/>
    </row>
    <row r="27" spans="1:100">
      <c r="B27" s="692"/>
      <c r="C27" s="693"/>
      <c r="D27" s="906"/>
      <c r="E27" s="906"/>
      <c r="F27" s="906"/>
      <c r="G27" s="906"/>
      <c r="H27" s="906"/>
      <c r="I27" s="906"/>
      <c r="J27" s="906"/>
      <c r="K27" s="906"/>
      <c r="L27" s="906"/>
      <c r="M27" s="557"/>
    </row>
    <row r="28" spans="1:100">
      <c r="B28" s="692"/>
      <c r="C28" s="693"/>
      <c r="D28" s="684"/>
      <c r="E28" s="684"/>
      <c r="F28" s="684"/>
      <c r="G28" s="684"/>
      <c r="H28" s="684"/>
      <c r="I28" s="684"/>
      <c r="J28" s="684"/>
      <c r="K28" s="684"/>
      <c r="L28" s="684"/>
      <c r="M28" s="557"/>
    </row>
    <row r="29" spans="1:100">
      <c r="B29" s="266"/>
      <c r="C29" s="908"/>
      <c r="D29" s="908"/>
      <c r="E29" s="908"/>
      <c r="F29" s="908"/>
      <c r="G29" s="908"/>
      <c r="H29" s="908"/>
      <c r="I29" s="908"/>
      <c r="J29" s="908"/>
      <c r="K29" s="908"/>
      <c r="L29" s="267"/>
      <c r="M29" s="557"/>
    </row>
    <row r="59" spans="1:100" s="697" customFormat="1">
      <c r="A59" s="694"/>
      <c r="B59" s="694"/>
      <c r="C59" s="694"/>
      <c r="D59" s="694"/>
      <c r="E59" s="694"/>
      <c r="F59" s="694"/>
      <c r="G59" s="694"/>
      <c r="H59" s="694"/>
      <c r="I59" s="695"/>
      <c r="J59" s="696"/>
      <c r="K59" s="696"/>
      <c r="L59" s="696"/>
      <c r="M59" s="696"/>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61"/>
      <c r="AK59" s="661"/>
      <c r="AL59" s="661"/>
      <c r="AM59" s="661"/>
      <c r="AN59" s="661"/>
      <c r="AO59" s="661"/>
      <c r="AP59" s="661"/>
      <c r="AQ59" s="661"/>
      <c r="AR59" s="661"/>
      <c r="AS59" s="661"/>
      <c r="AT59" s="661"/>
      <c r="AU59" s="661"/>
      <c r="AV59" s="661"/>
      <c r="AW59" s="661"/>
      <c r="AX59" s="661"/>
      <c r="AY59" s="661"/>
      <c r="AZ59" s="661"/>
      <c r="BA59" s="661"/>
      <c r="BB59" s="661"/>
      <c r="BC59" s="661"/>
      <c r="BD59" s="661"/>
      <c r="BE59" s="661"/>
      <c r="BF59" s="661"/>
      <c r="BG59" s="661"/>
      <c r="BH59" s="661"/>
      <c r="BI59" s="661"/>
      <c r="BJ59" s="661"/>
      <c r="BK59" s="661"/>
      <c r="BL59" s="661"/>
      <c r="BM59" s="661"/>
      <c r="BN59" s="661"/>
      <c r="BO59" s="661"/>
      <c r="BP59" s="661"/>
      <c r="BQ59" s="661"/>
      <c r="BR59" s="661"/>
      <c r="BS59" s="661"/>
      <c r="BT59" s="661"/>
      <c r="BU59" s="661"/>
      <c r="BV59" s="661"/>
      <c r="BW59" s="661"/>
      <c r="BX59" s="661"/>
      <c r="BY59" s="661"/>
      <c r="BZ59" s="661"/>
      <c r="CA59" s="661"/>
      <c r="CB59" s="661"/>
      <c r="CC59" s="661"/>
      <c r="CD59" s="661"/>
      <c r="CE59" s="661"/>
      <c r="CF59" s="661"/>
      <c r="CG59" s="661"/>
      <c r="CH59" s="661"/>
      <c r="CI59" s="661"/>
      <c r="CJ59" s="661"/>
      <c r="CK59" s="661"/>
      <c r="CL59" s="661"/>
      <c r="CM59" s="661"/>
      <c r="CN59" s="661"/>
      <c r="CO59" s="661"/>
      <c r="CP59" s="661"/>
      <c r="CQ59" s="661"/>
      <c r="CR59" s="661"/>
      <c r="CS59" s="661"/>
      <c r="CT59" s="661"/>
      <c r="CU59" s="661"/>
      <c r="CV59" s="661"/>
    </row>
    <row r="60" spans="1:100" s="697" customFormat="1">
      <c r="A60" s="694"/>
      <c r="B60" s="694"/>
      <c r="C60" s="694"/>
      <c r="D60" s="694"/>
      <c r="E60" s="694"/>
      <c r="F60" s="694"/>
      <c r="G60" s="694"/>
      <c r="H60" s="694"/>
      <c r="I60" s="695"/>
      <c r="J60" s="696"/>
      <c r="K60" s="696"/>
      <c r="L60" s="696"/>
      <c r="M60" s="696"/>
      <c r="N60" s="661"/>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1"/>
      <c r="AL60" s="661"/>
      <c r="AM60" s="661"/>
      <c r="AN60" s="661"/>
      <c r="AO60" s="661"/>
      <c r="AP60" s="661"/>
      <c r="AQ60" s="661"/>
      <c r="AR60" s="661"/>
      <c r="AS60" s="661"/>
      <c r="AT60" s="661"/>
      <c r="AU60" s="661"/>
      <c r="AV60" s="661"/>
      <c r="AW60" s="661"/>
      <c r="AX60" s="661"/>
      <c r="AY60" s="661"/>
      <c r="AZ60" s="661"/>
      <c r="BA60" s="661"/>
      <c r="BB60" s="661"/>
      <c r="BC60" s="661"/>
      <c r="BD60" s="661"/>
      <c r="BE60" s="661"/>
      <c r="BF60" s="661"/>
      <c r="BG60" s="661"/>
      <c r="BH60" s="661"/>
      <c r="BI60" s="661"/>
      <c r="BJ60" s="661"/>
      <c r="BK60" s="661"/>
      <c r="BL60" s="661"/>
      <c r="BM60" s="661"/>
      <c r="BN60" s="661"/>
      <c r="BO60" s="661"/>
      <c r="BP60" s="661"/>
      <c r="BQ60" s="661"/>
      <c r="BR60" s="661"/>
      <c r="BS60" s="661"/>
      <c r="BT60" s="661"/>
      <c r="BU60" s="661"/>
      <c r="BV60" s="661"/>
      <c r="BW60" s="661"/>
      <c r="BX60" s="661"/>
      <c r="BY60" s="661"/>
      <c r="BZ60" s="661"/>
      <c r="CA60" s="661"/>
      <c r="CB60" s="661"/>
      <c r="CC60" s="661"/>
      <c r="CD60" s="661"/>
      <c r="CE60" s="661"/>
      <c r="CF60" s="661"/>
      <c r="CG60" s="661"/>
      <c r="CH60" s="661"/>
      <c r="CI60" s="661"/>
      <c r="CJ60" s="661"/>
      <c r="CK60" s="661"/>
      <c r="CL60" s="661"/>
      <c r="CM60" s="661"/>
      <c r="CN60" s="661"/>
      <c r="CO60" s="661"/>
      <c r="CP60" s="661"/>
      <c r="CQ60" s="661"/>
      <c r="CR60" s="661"/>
      <c r="CS60" s="661"/>
      <c r="CT60" s="661"/>
      <c r="CU60" s="661"/>
      <c r="CV60" s="661"/>
    </row>
    <row r="61" spans="1:100" s="697" customFormat="1">
      <c r="A61" s="694"/>
      <c r="B61" s="694"/>
      <c r="C61" s="694"/>
      <c r="D61" s="694"/>
      <c r="E61" s="694"/>
      <c r="F61" s="694"/>
      <c r="G61" s="694"/>
      <c r="H61" s="694"/>
      <c r="I61" s="695"/>
      <c r="J61" s="696"/>
      <c r="K61" s="696"/>
      <c r="L61" s="696"/>
      <c r="M61" s="696"/>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c r="AN61" s="661"/>
      <c r="AO61" s="661"/>
      <c r="AP61" s="661"/>
      <c r="AQ61" s="661"/>
      <c r="AR61" s="661"/>
      <c r="AS61" s="661"/>
      <c r="AT61" s="661"/>
      <c r="AU61" s="661"/>
      <c r="AV61" s="661"/>
      <c r="AW61" s="661"/>
      <c r="AX61" s="661"/>
      <c r="AY61" s="661"/>
      <c r="AZ61" s="661"/>
      <c r="BA61" s="661"/>
      <c r="BB61" s="661"/>
      <c r="BC61" s="661"/>
      <c r="BD61" s="661"/>
      <c r="BE61" s="661"/>
      <c r="BF61" s="661"/>
      <c r="BG61" s="661"/>
      <c r="BH61" s="661"/>
      <c r="BI61" s="661"/>
      <c r="BJ61" s="661"/>
      <c r="BK61" s="661"/>
      <c r="BL61" s="661"/>
      <c r="BM61" s="661"/>
      <c r="BN61" s="661"/>
      <c r="BO61" s="661"/>
      <c r="BP61" s="661"/>
      <c r="BQ61" s="661"/>
      <c r="BR61" s="661"/>
      <c r="BS61" s="661"/>
      <c r="BT61" s="661"/>
      <c r="BU61" s="661"/>
      <c r="BV61" s="661"/>
      <c r="BW61" s="661"/>
      <c r="BX61" s="661"/>
      <c r="BY61" s="661"/>
      <c r="BZ61" s="661"/>
      <c r="CA61" s="661"/>
      <c r="CB61" s="661"/>
      <c r="CC61" s="661"/>
      <c r="CD61" s="661"/>
      <c r="CE61" s="661"/>
      <c r="CF61" s="661"/>
      <c r="CG61" s="661"/>
      <c r="CH61" s="661"/>
      <c r="CI61" s="661"/>
      <c r="CJ61" s="661"/>
      <c r="CK61" s="661"/>
      <c r="CL61" s="661"/>
      <c r="CM61" s="661"/>
      <c r="CN61" s="661"/>
      <c r="CO61" s="661"/>
      <c r="CP61" s="661"/>
      <c r="CQ61" s="661"/>
      <c r="CR61" s="661"/>
      <c r="CS61" s="661"/>
      <c r="CT61" s="661"/>
      <c r="CU61" s="661"/>
      <c r="CV61" s="661"/>
    </row>
    <row r="62" spans="1:100" ht="16.5" hidden="1" customHeight="1">
      <c r="A62" s="698" t="str">
        <f>A1</f>
        <v>NR2/NT/W-MISC/DOM/J01/25/07157</v>
      </c>
      <c r="B62" s="698"/>
      <c r="C62" s="698"/>
      <c r="D62" s="698"/>
      <c r="E62" s="698"/>
      <c r="F62" s="698"/>
      <c r="G62" s="698"/>
      <c r="H62" s="698"/>
      <c r="I62" s="699"/>
      <c r="J62" s="700"/>
      <c r="K62" s="700"/>
      <c r="L62" s="700"/>
      <c r="M62" s="700"/>
    </row>
    <row r="63" spans="1:100" ht="16.5" hidden="1" customHeight="1">
      <c r="A63" s="701"/>
      <c r="B63" s="701"/>
      <c r="C63" s="701"/>
      <c r="D63" s="701"/>
      <c r="E63" s="701"/>
      <c r="F63" s="701"/>
      <c r="G63" s="701"/>
      <c r="H63" s="701"/>
      <c r="I63" s="702"/>
      <c r="J63" s="703"/>
      <c r="K63" s="703"/>
      <c r="L63" s="703"/>
      <c r="M63" s="703"/>
    </row>
    <row r="64" spans="1:100" ht="35.25" hidden="1" customHeight="1">
      <c r="A64" s="909" t="str">
        <f>A3</f>
        <v xml:space="preserve"> Substation extension package (AIS) for augmentation of transformation capacity at 400/220kV Samba (PG) Substation in Jammu &amp; Kashmir by 1x500MVA 400/220kV ICT (4th).</v>
      </c>
      <c r="B64" s="909"/>
      <c r="C64" s="909"/>
      <c r="D64" s="909"/>
      <c r="E64" s="909"/>
      <c r="F64" s="909"/>
      <c r="G64" s="909"/>
      <c r="H64" s="909"/>
      <c r="I64" s="909">
        <f>I3</f>
        <v>0</v>
      </c>
      <c r="J64" s="909">
        <f>J3</f>
        <v>0</v>
      </c>
      <c r="K64" s="909"/>
      <c r="L64" s="909"/>
      <c r="M64" s="909"/>
    </row>
    <row r="65" spans="1:13" ht="16.5" hidden="1" customHeight="1">
      <c r="A65" s="900" t="str">
        <f>A4</f>
        <v>(SCHEDULE OF RATES AND PRICES )</v>
      </c>
      <c r="B65" s="900"/>
      <c r="C65" s="900"/>
      <c r="D65" s="900"/>
      <c r="E65" s="900"/>
      <c r="F65" s="900"/>
      <c r="G65" s="900"/>
      <c r="H65" s="900"/>
      <c r="I65" s="900">
        <f>I4</f>
        <v>0</v>
      </c>
      <c r="J65" s="900">
        <f>J4</f>
        <v>0</v>
      </c>
      <c r="K65" s="900"/>
      <c r="L65" s="900"/>
      <c r="M65" s="900"/>
    </row>
    <row r="66" spans="1:13" ht="16.5" hidden="1" customHeight="1">
      <c r="A66" s="705"/>
      <c r="B66" s="705"/>
      <c r="C66" s="705"/>
      <c r="D66" s="705"/>
      <c r="E66" s="705"/>
      <c r="F66" s="705"/>
      <c r="G66" s="705"/>
      <c r="H66" s="705"/>
      <c r="I66" s="704"/>
      <c r="J66" s="706"/>
      <c r="K66" s="706"/>
      <c r="L66" s="706"/>
      <c r="M66" s="706"/>
    </row>
    <row r="67" spans="1:13" ht="16.5" hidden="1" customHeight="1">
      <c r="A67" s="707" t="e">
        <f>#REF!</f>
        <v>#REF!</v>
      </c>
      <c r="B67" s="707"/>
      <c r="C67" s="707"/>
      <c r="D67" s="707"/>
      <c r="E67" s="707"/>
      <c r="F67" s="707"/>
      <c r="G67" s="707"/>
      <c r="H67" s="707"/>
      <c r="I67" s="708"/>
      <c r="J67" s="194"/>
      <c r="K67" s="194"/>
      <c r="L67" s="194"/>
      <c r="M67" s="194"/>
    </row>
    <row r="68" spans="1:13" ht="16.5" hidden="1" customHeight="1">
      <c r="A68" s="897" t="e">
        <f>#REF!</f>
        <v>#REF!</v>
      </c>
      <c r="B68" s="897"/>
      <c r="C68" s="897"/>
      <c r="D68" s="897"/>
      <c r="E68" s="897"/>
      <c r="F68" s="897"/>
      <c r="G68" s="897"/>
      <c r="H68" s="897"/>
      <c r="I68" s="897" t="e">
        <f>#REF!</f>
        <v>#REF!</v>
      </c>
      <c r="J68" s="897" t="e">
        <f>#REF!</f>
        <v>#REF!</v>
      </c>
      <c r="K68" s="709"/>
      <c r="L68" s="709"/>
      <c r="M68" s="709"/>
    </row>
    <row r="69" spans="1:13" ht="16.5" hidden="1" customHeight="1">
      <c r="A69" s="193" t="e">
        <f>#REF!</f>
        <v>#REF!</v>
      </c>
      <c r="B69" s="193"/>
      <c r="C69" s="193"/>
      <c r="D69" s="193"/>
      <c r="E69" s="193"/>
      <c r="F69" s="193"/>
      <c r="G69" s="193"/>
      <c r="H69" s="193"/>
      <c r="I69" s="896" t="e">
        <f>#REF!</f>
        <v>#REF!</v>
      </c>
      <c r="J69" s="896" t="e">
        <f>#REF!</f>
        <v>#REF!</v>
      </c>
      <c r="K69" s="289"/>
      <c r="L69" s="289"/>
      <c r="M69" s="289"/>
    </row>
    <row r="70" spans="1:13" ht="16.5" hidden="1" customHeight="1">
      <c r="A70" s="193" t="e">
        <f>#REF!</f>
        <v>#REF!</v>
      </c>
      <c r="B70" s="193"/>
      <c r="C70" s="193"/>
      <c r="D70" s="193"/>
      <c r="E70" s="193"/>
      <c r="F70" s="193"/>
      <c r="G70" s="193"/>
      <c r="H70" s="193"/>
      <c r="I70" s="896" t="e">
        <f>#REF!</f>
        <v>#REF!</v>
      </c>
      <c r="J70" s="896" t="e">
        <f>#REF!</f>
        <v>#REF!</v>
      </c>
      <c r="K70" s="289"/>
      <c r="L70" s="289"/>
      <c r="M70" s="289"/>
    </row>
    <row r="71" spans="1:13" ht="16.5" hidden="1" customHeight="1">
      <c r="A71" s="194"/>
      <c r="B71" s="194"/>
      <c r="C71" s="194"/>
      <c r="D71" s="194"/>
      <c r="E71" s="194"/>
      <c r="F71" s="194"/>
      <c r="G71" s="194"/>
      <c r="H71" s="194"/>
      <c r="I71" s="896" t="e">
        <f>#REF!</f>
        <v>#REF!</v>
      </c>
      <c r="J71" s="896" t="e">
        <f>#REF!</f>
        <v>#REF!</v>
      </c>
      <c r="K71" s="289"/>
      <c r="L71" s="289"/>
      <c r="M71" s="289"/>
    </row>
    <row r="72" spans="1:13" ht="16.5" hidden="1" customHeight="1">
      <c r="A72" s="194"/>
      <c r="B72" s="194"/>
      <c r="C72" s="194"/>
      <c r="D72" s="194"/>
      <c r="E72" s="194"/>
      <c r="F72" s="194"/>
      <c r="G72" s="194"/>
      <c r="H72" s="194"/>
      <c r="I72" s="896">
        <f>C5</f>
        <v>0</v>
      </c>
      <c r="J72" s="896">
        <f>D5</f>
        <v>0</v>
      </c>
      <c r="K72" s="289"/>
      <c r="L72" s="289"/>
      <c r="M72" s="289"/>
    </row>
    <row r="73" spans="1:13" ht="16.5" hidden="1" customHeight="1"/>
    <row r="74" spans="1:13" ht="33.75" hidden="1" customHeight="1">
      <c r="A74" s="712" t="str">
        <f>A15</f>
        <v>SL. NO.</v>
      </c>
      <c r="B74" s="712"/>
      <c r="C74" s="712"/>
      <c r="D74" s="712"/>
      <c r="E74" s="712"/>
      <c r="F74" s="712"/>
      <c r="G74" s="712"/>
      <c r="H74" s="712"/>
      <c r="I74" s="713" t="str">
        <f>I15</f>
        <v>Description of Test</v>
      </c>
      <c r="J74" s="898" t="e">
        <f>#REF!</f>
        <v>#REF!</v>
      </c>
      <c r="K74" s="898"/>
      <c r="L74" s="898"/>
      <c r="M74" s="898"/>
    </row>
    <row r="75" spans="1:13" ht="16.5" hidden="1" customHeight="1">
      <c r="A75" s="706" t="e">
        <f>#REF!</f>
        <v>#REF!</v>
      </c>
      <c r="B75" s="706"/>
      <c r="C75" s="706"/>
      <c r="D75" s="706"/>
      <c r="E75" s="706"/>
      <c r="F75" s="706"/>
      <c r="G75" s="706"/>
      <c r="H75" s="706"/>
      <c r="I75" s="704" t="e">
        <f>#REF!</f>
        <v>#REF!</v>
      </c>
      <c r="J75" s="899" t="e">
        <f>#REF!</f>
        <v>#REF!</v>
      </c>
      <c r="K75" s="899"/>
      <c r="L75" s="899"/>
      <c r="M75" s="899"/>
    </row>
    <row r="76" spans="1:13" ht="16.5" hidden="1" customHeight="1">
      <c r="A76" s="714" t="e">
        <f>#REF!</f>
        <v>#REF!</v>
      </c>
      <c r="B76" s="714"/>
      <c r="C76" s="714"/>
      <c r="D76" s="714"/>
      <c r="E76" s="714"/>
      <c r="F76" s="714"/>
      <c r="G76" s="714"/>
      <c r="H76" s="714"/>
      <c r="I76" s="715" t="e">
        <f>#REF!</f>
        <v>#REF!</v>
      </c>
      <c r="J76" s="899"/>
      <c r="K76" s="899"/>
      <c r="L76" s="899"/>
      <c r="M76" s="899"/>
    </row>
    <row r="77" spans="1:13" ht="16.5" hidden="1" customHeight="1">
      <c r="A77" s="716" t="e">
        <f>#REF!</f>
        <v>#REF!</v>
      </c>
      <c r="B77" s="716"/>
      <c r="C77" s="716"/>
      <c r="D77" s="716"/>
      <c r="E77" s="716"/>
      <c r="F77" s="716"/>
      <c r="G77" s="716"/>
      <c r="H77" s="716"/>
      <c r="I77" s="717" t="e">
        <f>#REF!</f>
        <v>#REF!</v>
      </c>
      <c r="J77" s="894" t="e">
        <f>#REF!</f>
        <v>#REF!</v>
      </c>
      <c r="K77" s="894"/>
      <c r="L77" s="894"/>
      <c r="M77" s="894"/>
    </row>
    <row r="78" spans="1:13" ht="16.5" hidden="1" customHeight="1">
      <c r="A78" s="716" t="e">
        <f>#REF!</f>
        <v>#REF!</v>
      </c>
      <c r="B78" s="716"/>
      <c r="C78" s="716"/>
      <c r="D78" s="716"/>
      <c r="E78" s="716"/>
      <c r="F78" s="716"/>
      <c r="G78" s="716"/>
      <c r="H78" s="716"/>
      <c r="I78" s="717" t="e">
        <f>#REF!</f>
        <v>#REF!</v>
      </c>
      <c r="J78" s="894" t="e">
        <f>#REF!</f>
        <v>#REF!</v>
      </c>
      <c r="K78" s="894"/>
      <c r="L78" s="894"/>
      <c r="M78" s="894"/>
    </row>
    <row r="79" spans="1:13" ht="20.100000000000001" hidden="1" customHeight="1">
      <c r="A79" s="718"/>
      <c r="B79" s="718"/>
      <c r="C79" s="718"/>
      <c r="D79" s="718"/>
      <c r="E79" s="718"/>
      <c r="F79" s="718"/>
      <c r="G79" s="718"/>
      <c r="H79" s="718"/>
      <c r="I79" s="715" t="e">
        <f>#REF!</f>
        <v>#REF!</v>
      </c>
      <c r="J79" s="894" t="e">
        <f>#REF!</f>
        <v>#REF!</v>
      </c>
      <c r="K79" s="894"/>
      <c r="L79" s="894"/>
      <c r="M79" s="894"/>
    </row>
    <row r="80" spans="1:13" ht="16.5" hidden="1" customHeight="1">
      <c r="A80" s="714" t="e">
        <f>#REF!</f>
        <v>#REF!</v>
      </c>
      <c r="B80" s="714"/>
      <c r="C80" s="714"/>
      <c r="D80" s="714"/>
      <c r="E80" s="714"/>
      <c r="F80" s="714"/>
      <c r="G80" s="714"/>
      <c r="H80" s="714"/>
      <c r="I80" s="715" t="e">
        <f>#REF!</f>
        <v>#REF!</v>
      </c>
      <c r="J80" s="894"/>
      <c r="K80" s="894"/>
      <c r="L80" s="894"/>
      <c r="M80" s="894"/>
    </row>
    <row r="81" spans="1:100" ht="16.5" hidden="1" customHeight="1">
      <c r="A81" s="719" t="e">
        <f>#REF!</f>
        <v>#REF!</v>
      </c>
      <c r="B81" s="719"/>
      <c r="C81" s="719"/>
      <c r="D81" s="719"/>
      <c r="E81" s="719"/>
      <c r="F81" s="719"/>
      <c r="G81" s="719"/>
      <c r="H81" s="719"/>
      <c r="I81" s="715" t="e">
        <f>#REF!</f>
        <v>#REF!</v>
      </c>
      <c r="J81" s="894"/>
      <c r="K81" s="894"/>
      <c r="L81" s="894"/>
      <c r="M81" s="894"/>
    </row>
    <row r="82" spans="1:100" ht="16.5" hidden="1" customHeight="1">
      <c r="A82" s="720" t="e">
        <f>#REF!</f>
        <v>#REF!</v>
      </c>
      <c r="B82" s="720"/>
      <c r="C82" s="720"/>
      <c r="D82" s="720"/>
      <c r="E82" s="720"/>
      <c r="F82" s="720"/>
      <c r="G82" s="720"/>
      <c r="H82" s="720"/>
      <c r="I82" s="715" t="e">
        <f>#REF!</f>
        <v>#REF!</v>
      </c>
      <c r="J82" s="894"/>
      <c r="K82" s="894"/>
      <c r="L82" s="894"/>
      <c r="M82" s="894"/>
    </row>
    <row r="83" spans="1:100" ht="16.5" hidden="1" customHeight="1">
      <c r="A83" s="716" t="e">
        <f>#REF!</f>
        <v>#REF!</v>
      </c>
      <c r="B83" s="716"/>
      <c r="C83" s="716"/>
      <c r="D83" s="716"/>
      <c r="E83" s="716"/>
      <c r="F83" s="716"/>
      <c r="G83" s="716"/>
      <c r="H83" s="716"/>
      <c r="I83" s="717" t="e">
        <f>#REF!</f>
        <v>#REF!</v>
      </c>
      <c r="J83" s="894" t="e">
        <f>#REF!</f>
        <v>#REF!</v>
      </c>
      <c r="K83" s="894"/>
      <c r="L83" s="894"/>
      <c r="M83" s="894"/>
    </row>
    <row r="84" spans="1:100" ht="16.5" hidden="1" customHeight="1">
      <c r="A84" s="716" t="e">
        <f>#REF!</f>
        <v>#REF!</v>
      </c>
      <c r="B84" s="716"/>
      <c r="C84" s="716"/>
      <c r="D84" s="716"/>
      <c r="E84" s="716"/>
      <c r="F84" s="716"/>
      <c r="G84" s="716"/>
      <c r="H84" s="716"/>
      <c r="I84" s="717" t="e">
        <f>#REF!</f>
        <v>#REF!</v>
      </c>
      <c r="J84" s="894" t="e">
        <f>#REF!</f>
        <v>#REF!</v>
      </c>
      <c r="K84" s="894"/>
      <c r="L84" s="894"/>
      <c r="M84" s="894"/>
    </row>
    <row r="85" spans="1:100" ht="16.5" hidden="1" customHeight="1">
      <c r="A85" s="716" t="e">
        <f>#REF!</f>
        <v>#REF!</v>
      </c>
      <c r="B85" s="716"/>
      <c r="C85" s="716"/>
      <c r="D85" s="716"/>
      <c r="E85" s="716"/>
      <c r="F85" s="716"/>
      <c r="G85" s="716"/>
      <c r="H85" s="716"/>
      <c r="I85" s="717" t="e">
        <f>#REF!</f>
        <v>#REF!</v>
      </c>
      <c r="J85" s="894" t="e">
        <f>#REF!</f>
        <v>#REF!</v>
      </c>
      <c r="K85" s="894"/>
      <c r="L85" s="894"/>
      <c r="M85" s="894"/>
    </row>
    <row r="86" spans="1:100" ht="16.5" hidden="1" customHeight="1">
      <c r="A86" s="716" t="e">
        <f>#REF!</f>
        <v>#REF!</v>
      </c>
      <c r="B86" s="716"/>
      <c r="C86" s="716"/>
      <c r="D86" s="716"/>
      <c r="E86" s="716"/>
      <c r="F86" s="716"/>
      <c r="G86" s="716"/>
      <c r="H86" s="716"/>
      <c r="I86" s="717" t="e">
        <f>#REF!</f>
        <v>#REF!</v>
      </c>
      <c r="J86" s="894" t="e">
        <f>#REF!</f>
        <v>#REF!</v>
      </c>
      <c r="K86" s="894"/>
      <c r="L86" s="894"/>
      <c r="M86" s="894"/>
    </row>
    <row r="87" spans="1:100" ht="16.5" hidden="1" customHeight="1">
      <c r="A87" s="716"/>
      <c r="B87" s="716"/>
      <c r="C87" s="716"/>
      <c r="D87" s="716"/>
      <c r="E87" s="716"/>
      <c r="F87" s="716"/>
      <c r="G87" s="716"/>
      <c r="H87" s="716"/>
      <c r="I87" s="715" t="e">
        <f>#REF!</f>
        <v>#REF!</v>
      </c>
      <c r="J87" s="894" t="e">
        <f>#REF!</f>
        <v>#REF!</v>
      </c>
      <c r="K87" s="894"/>
      <c r="L87" s="894"/>
      <c r="M87" s="894"/>
    </row>
    <row r="88" spans="1:100" ht="20.100000000000001" hidden="1" customHeight="1">
      <c r="A88" s="720" t="e">
        <f>#REF!</f>
        <v>#REF!</v>
      </c>
      <c r="B88" s="720"/>
      <c r="C88" s="720"/>
      <c r="D88" s="720"/>
      <c r="E88" s="720"/>
      <c r="F88" s="720"/>
      <c r="G88" s="720"/>
      <c r="H88" s="720"/>
      <c r="I88" s="715" t="e">
        <f>#REF!</f>
        <v>#REF!</v>
      </c>
      <c r="J88" s="894"/>
      <c r="K88" s="894"/>
      <c r="L88" s="894"/>
      <c r="M88" s="894"/>
    </row>
    <row r="89" spans="1:100" ht="16.5" hidden="1" customHeight="1">
      <c r="A89" s="716" t="e">
        <f>#REF!</f>
        <v>#REF!</v>
      </c>
      <c r="B89" s="716"/>
      <c r="C89" s="716"/>
      <c r="D89" s="716"/>
      <c r="E89" s="716"/>
      <c r="F89" s="716"/>
      <c r="G89" s="716"/>
      <c r="H89" s="716"/>
      <c r="I89" s="717" t="e">
        <f>#REF!</f>
        <v>#REF!</v>
      </c>
      <c r="J89" s="894" t="e">
        <f>#REF!</f>
        <v>#REF!</v>
      </c>
      <c r="K89" s="894"/>
      <c r="L89" s="894"/>
      <c r="M89" s="894"/>
    </row>
    <row r="90" spans="1:100" ht="16.5" hidden="1" customHeight="1">
      <c r="A90" s="716" t="e">
        <f>#REF!</f>
        <v>#REF!</v>
      </c>
      <c r="B90" s="716"/>
      <c r="C90" s="716"/>
      <c r="D90" s="716"/>
      <c r="E90" s="716"/>
      <c r="F90" s="716"/>
      <c r="G90" s="716"/>
      <c r="H90" s="716"/>
      <c r="I90" s="717" t="e">
        <f>#REF!</f>
        <v>#REF!</v>
      </c>
      <c r="J90" s="894" t="e">
        <f>#REF!</f>
        <v>#REF!</v>
      </c>
      <c r="K90" s="894"/>
      <c r="L90" s="894"/>
      <c r="M90" s="894"/>
    </row>
    <row r="91" spans="1:100" ht="20.100000000000001" hidden="1" customHeight="1">
      <c r="A91" s="716" t="e">
        <f>#REF!</f>
        <v>#REF!</v>
      </c>
      <c r="B91" s="716"/>
      <c r="C91" s="716"/>
      <c r="D91" s="716"/>
      <c r="E91" s="716"/>
      <c r="F91" s="716"/>
      <c r="G91" s="716"/>
      <c r="H91" s="716"/>
      <c r="I91" s="717" t="e">
        <f>#REF!</f>
        <v>#REF!</v>
      </c>
      <c r="J91" s="894" t="e">
        <f>#REF!</f>
        <v>#REF!</v>
      </c>
      <c r="K91" s="894"/>
      <c r="L91" s="894"/>
      <c r="M91" s="894"/>
    </row>
    <row r="92" spans="1:100" ht="16.5" hidden="1" customHeight="1">
      <c r="A92" s="716" t="e">
        <f>#REF!</f>
        <v>#REF!</v>
      </c>
      <c r="B92" s="716"/>
      <c r="C92" s="716"/>
      <c r="D92" s="716"/>
      <c r="E92" s="716"/>
      <c r="F92" s="716"/>
      <c r="G92" s="716"/>
      <c r="H92" s="716"/>
      <c r="I92" s="717" t="e">
        <f>#REF!</f>
        <v>#REF!</v>
      </c>
      <c r="J92" s="894" t="e">
        <f>#REF!</f>
        <v>#REF!</v>
      </c>
      <c r="K92" s="894"/>
      <c r="L92" s="894"/>
      <c r="M92" s="894"/>
    </row>
    <row r="93" spans="1:100" s="721" customFormat="1" ht="20.100000000000001" hidden="1" customHeight="1">
      <c r="A93" s="714"/>
      <c r="B93" s="714"/>
      <c r="C93" s="714"/>
      <c r="D93" s="714"/>
      <c r="E93" s="714"/>
      <c r="F93" s="714"/>
      <c r="G93" s="714"/>
      <c r="H93" s="714"/>
      <c r="I93" s="715" t="e">
        <f>#REF!</f>
        <v>#REF!</v>
      </c>
      <c r="J93" s="894" t="e">
        <f>#REF!</f>
        <v>#REF!</v>
      </c>
      <c r="K93" s="894"/>
      <c r="L93" s="894"/>
      <c r="M93" s="894"/>
      <c r="N93" s="661"/>
      <c r="O93" s="661"/>
      <c r="P93" s="661"/>
      <c r="Q93" s="661"/>
      <c r="R93" s="661"/>
      <c r="S93" s="661"/>
      <c r="T93" s="661"/>
      <c r="U93" s="661"/>
      <c r="V93" s="661"/>
      <c r="W93" s="661"/>
      <c r="X93" s="661"/>
      <c r="Y93" s="661"/>
      <c r="Z93" s="661"/>
      <c r="AA93" s="661"/>
      <c r="AB93" s="661"/>
      <c r="AC93" s="661"/>
      <c r="AD93" s="661"/>
      <c r="AE93" s="661"/>
      <c r="AF93" s="661"/>
      <c r="AG93" s="661"/>
      <c r="AH93" s="661"/>
      <c r="AI93" s="661"/>
      <c r="AJ93" s="661"/>
      <c r="AK93" s="661"/>
      <c r="AL93" s="661"/>
      <c r="AM93" s="661"/>
      <c r="AN93" s="661"/>
      <c r="AO93" s="661"/>
      <c r="AP93" s="661"/>
      <c r="AQ93" s="661"/>
      <c r="AR93" s="661"/>
      <c r="AS93" s="661"/>
      <c r="AT93" s="661"/>
      <c r="AU93" s="661"/>
      <c r="AV93" s="661"/>
      <c r="AW93" s="661"/>
      <c r="AX93" s="661"/>
      <c r="AY93" s="661"/>
      <c r="AZ93" s="661"/>
      <c r="BA93" s="661"/>
      <c r="BB93" s="661"/>
      <c r="BC93" s="661"/>
      <c r="BD93" s="661"/>
      <c r="BE93" s="661"/>
      <c r="BF93" s="661"/>
      <c r="BG93" s="661"/>
      <c r="BH93" s="661"/>
      <c r="BI93" s="661"/>
      <c r="BJ93" s="661"/>
      <c r="BK93" s="661"/>
      <c r="BL93" s="661"/>
      <c r="BM93" s="661"/>
      <c r="BN93" s="661"/>
      <c r="BO93" s="661"/>
      <c r="BP93" s="661"/>
      <c r="BQ93" s="661"/>
      <c r="BR93" s="661"/>
      <c r="BS93" s="661"/>
      <c r="BT93" s="661"/>
      <c r="BU93" s="661"/>
      <c r="BV93" s="661"/>
      <c r="BW93" s="661"/>
      <c r="BX93" s="661"/>
      <c r="BY93" s="661"/>
      <c r="BZ93" s="661"/>
      <c r="CA93" s="661"/>
      <c r="CB93" s="661"/>
      <c r="CC93" s="661"/>
      <c r="CD93" s="661"/>
      <c r="CE93" s="661"/>
      <c r="CF93" s="661"/>
      <c r="CG93" s="661"/>
      <c r="CH93" s="661"/>
      <c r="CI93" s="661"/>
      <c r="CJ93" s="661"/>
      <c r="CK93" s="661"/>
      <c r="CL93" s="661"/>
      <c r="CM93" s="661"/>
      <c r="CN93" s="661"/>
      <c r="CO93" s="661"/>
      <c r="CP93" s="661"/>
      <c r="CQ93" s="661"/>
      <c r="CR93" s="661"/>
      <c r="CS93" s="661"/>
      <c r="CT93" s="661"/>
      <c r="CU93" s="661"/>
      <c r="CV93" s="661"/>
    </row>
    <row r="94" spans="1:100" ht="24" hidden="1" customHeight="1">
      <c r="A94" s="720" t="e">
        <f>#REF!</f>
        <v>#REF!</v>
      </c>
      <c r="B94" s="720"/>
      <c r="C94" s="720"/>
      <c r="D94" s="720"/>
      <c r="E94" s="720"/>
      <c r="F94" s="720"/>
      <c r="G94" s="720"/>
      <c r="H94" s="720"/>
      <c r="I94" s="715" t="e">
        <f>#REF!</f>
        <v>#REF!</v>
      </c>
      <c r="J94" s="894"/>
      <c r="K94" s="894"/>
      <c r="L94" s="894"/>
      <c r="M94" s="894"/>
    </row>
    <row r="95" spans="1:100" ht="16.5" hidden="1" customHeight="1">
      <c r="A95" s="716" t="e">
        <f>#REF!</f>
        <v>#REF!</v>
      </c>
      <c r="B95" s="716"/>
      <c r="C95" s="716"/>
      <c r="D95" s="716"/>
      <c r="E95" s="716"/>
      <c r="F95" s="716"/>
      <c r="G95" s="716"/>
      <c r="H95" s="716"/>
      <c r="I95" s="717" t="e">
        <f>#REF!</f>
        <v>#REF!</v>
      </c>
      <c r="J95" s="894" t="e">
        <f>#REF!</f>
        <v>#REF!</v>
      </c>
      <c r="K95" s="894"/>
      <c r="L95" s="894"/>
      <c r="M95" s="894"/>
    </row>
    <row r="96" spans="1:100" ht="16.5" hidden="1" customHeight="1">
      <c r="A96" s="716" t="e">
        <f>#REF!</f>
        <v>#REF!</v>
      </c>
      <c r="B96" s="716"/>
      <c r="C96" s="716"/>
      <c r="D96" s="716"/>
      <c r="E96" s="716"/>
      <c r="F96" s="716"/>
      <c r="G96" s="716"/>
      <c r="H96" s="716"/>
      <c r="I96" s="717" t="e">
        <f>#REF!</f>
        <v>#REF!</v>
      </c>
      <c r="J96" s="894" t="e">
        <f>#REF!</f>
        <v>#REF!</v>
      </c>
      <c r="K96" s="894"/>
      <c r="L96" s="894"/>
      <c r="M96" s="894"/>
    </row>
    <row r="97" spans="1:100" ht="33" hidden="1" customHeight="1">
      <c r="A97" s="716" t="e">
        <f>#REF!</f>
        <v>#REF!</v>
      </c>
      <c r="B97" s="716"/>
      <c r="C97" s="716"/>
      <c r="D97" s="716"/>
      <c r="E97" s="716"/>
      <c r="F97" s="716"/>
      <c r="G97" s="716"/>
      <c r="H97" s="716"/>
      <c r="I97" s="717" t="e">
        <f>#REF!</f>
        <v>#REF!</v>
      </c>
      <c r="J97" s="894" t="e">
        <f>#REF!</f>
        <v>#REF!</v>
      </c>
      <c r="K97" s="894"/>
      <c r="L97" s="894"/>
      <c r="M97" s="894"/>
    </row>
    <row r="98" spans="1:100" s="721" customFormat="1" ht="20.100000000000001" hidden="1" customHeight="1">
      <c r="A98" s="716"/>
      <c r="B98" s="716"/>
      <c r="C98" s="716"/>
      <c r="D98" s="716"/>
      <c r="E98" s="716"/>
      <c r="F98" s="716"/>
      <c r="G98" s="716"/>
      <c r="H98" s="716"/>
      <c r="I98" s="715" t="e">
        <f>#REF!</f>
        <v>#REF!</v>
      </c>
      <c r="J98" s="894" t="e">
        <f>#REF!</f>
        <v>#REF!</v>
      </c>
      <c r="K98" s="894"/>
      <c r="L98" s="894"/>
      <c r="M98" s="894"/>
      <c r="N98" s="661"/>
      <c r="O98" s="661"/>
      <c r="P98" s="661"/>
      <c r="Q98" s="661"/>
      <c r="R98" s="661"/>
      <c r="S98" s="661"/>
      <c r="T98" s="661"/>
      <c r="U98" s="661"/>
      <c r="V98" s="661"/>
      <c r="W98" s="661"/>
      <c r="X98" s="661"/>
      <c r="Y98" s="661"/>
      <c r="Z98" s="661"/>
      <c r="AA98" s="661"/>
      <c r="AB98" s="661"/>
      <c r="AC98" s="661"/>
      <c r="AD98" s="661"/>
      <c r="AE98" s="661"/>
      <c r="AF98" s="661"/>
      <c r="AG98" s="661"/>
      <c r="AH98" s="661"/>
      <c r="AI98" s="661"/>
      <c r="AJ98" s="661"/>
      <c r="AK98" s="661"/>
      <c r="AL98" s="661"/>
      <c r="AM98" s="661"/>
      <c r="AN98" s="661"/>
      <c r="AO98" s="661"/>
      <c r="AP98" s="661"/>
      <c r="AQ98" s="661"/>
      <c r="AR98" s="661"/>
      <c r="AS98" s="661"/>
      <c r="AT98" s="661"/>
      <c r="AU98" s="661"/>
      <c r="AV98" s="661"/>
      <c r="AW98" s="661"/>
      <c r="AX98" s="661"/>
      <c r="AY98" s="661"/>
      <c r="AZ98" s="661"/>
      <c r="BA98" s="661"/>
      <c r="BB98" s="661"/>
      <c r="BC98" s="661"/>
      <c r="BD98" s="661"/>
      <c r="BE98" s="661"/>
      <c r="BF98" s="661"/>
      <c r="BG98" s="661"/>
      <c r="BH98" s="661"/>
      <c r="BI98" s="661"/>
      <c r="BJ98" s="661"/>
      <c r="BK98" s="661"/>
      <c r="BL98" s="661"/>
      <c r="BM98" s="661"/>
      <c r="BN98" s="661"/>
      <c r="BO98" s="661"/>
      <c r="BP98" s="661"/>
      <c r="BQ98" s="661"/>
      <c r="BR98" s="661"/>
      <c r="BS98" s="661"/>
      <c r="BT98" s="661"/>
      <c r="BU98" s="661"/>
      <c r="BV98" s="661"/>
      <c r="BW98" s="661"/>
      <c r="BX98" s="661"/>
      <c r="BY98" s="661"/>
      <c r="BZ98" s="661"/>
      <c r="CA98" s="661"/>
      <c r="CB98" s="661"/>
      <c r="CC98" s="661"/>
      <c r="CD98" s="661"/>
      <c r="CE98" s="661"/>
      <c r="CF98" s="661"/>
      <c r="CG98" s="661"/>
      <c r="CH98" s="661"/>
      <c r="CI98" s="661"/>
      <c r="CJ98" s="661"/>
      <c r="CK98" s="661"/>
      <c r="CL98" s="661"/>
      <c r="CM98" s="661"/>
      <c r="CN98" s="661"/>
      <c r="CO98" s="661"/>
      <c r="CP98" s="661"/>
      <c r="CQ98" s="661"/>
      <c r="CR98" s="661"/>
      <c r="CS98" s="661"/>
      <c r="CT98" s="661"/>
      <c r="CU98" s="661"/>
      <c r="CV98" s="661"/>
    </row>
    <row r="99" spans="1:100" ht="20.100000000000001" hidden="1" customHeight="1">
      <c r="A99" s="720" t="e">
        <f>#REF!</f>
        <v>#REF!</v>
      </c>
      <c r="B99" s="720"/>
      <c r="C99" s="720"/>
      <c r="D99" s="720"/>
      <c r="E99" s="720"/>
      <c r="F99" s="720"/>
      <c r="G99" s="720"/>
      <c r="H99" s="720"/>
      <c r="I99" s="715" t="e">
        <f>#REF!</f>
        <v>#REF!</v>
      </c>
      <c r="J99" s="894"/>
      <c r="K99" s="894"/>
      <c r="L99" s="894"/>
      <c r="M99" s="894"/>
    </row>
    <row r="100" spans="1:100" ht="16.5" hidden="1" customHeight="1">
      <c r="A100" s="716" t="e">
        <f>#REF!</f>
        <v>#REF!</v>
      </c>
      <c r="B100" s="716"/>
      <c r="C100" s="716"/>
      <c r="D100" s="716"/>
      <c r="E100" s="716"/>
      <c r="F100" s="716"/>
      <c r="G100" s="716"/>
      <c r="H100" s="716"/>
      <c r="I100" s="717" t="e">
        <f>#REF!</f>
        <v>#REF!</v>
      </c>
      <c r="J100" s="894" t="e">
        <f>#REF!</f>
        <v>#REF!</v>
      </c>
      <c r="K100" s="894"/>
      <c r="L100" s="894"/>
      <c r="M100" s="894"/>
    </row>
    <row r="101" spans="1:100" ht="16.5" hidden="1" customHeight="1">
      <c r="A101" s="716" t="e">
        <f>#REF!</f>
        <v>#REF!</v>
      </c>
      <c r="B101" s="716"/>
      <c r="C101" s="716"/>
      <c r="D101" s="716"/>
      <c r="E101" s="716"/>
      <c r="F101" s="716"/>
      <c r="G101" s="716"/>
      <c r="H101" s="716"/>
      <c r="I101" s="717" t="e">
        <f>#REF!</f>
        <v>#REF!</v>
      </c>
      <c r="J101" s="894" t="e">
        <f>#REF!</f>
        <v>#REF!</v>
      </c>
      <c r="K101" s="894"/>
      <c r="L101" s="894"/>
      <c r="M101" s="894"/>
    </row>
    <row r="102" spans="1:100" ht="16.5" hidden="1" customHeight="1">
      <c r="A102" s="716" t="e">
        <f>#REF!</f>
        <v>#REF!</v>
      </c>
      <c r="B102" s="716"/>
      <c r="C102" s="716"/>
      <c r="D102" s="716"/>
      <c r="E102" s="716"/>
      <c r="F102" s="716"/>
      <c r="G102" s="716"/>
      <c r="H102" s="716"/>
      <c r="I102" s="717" t="e">
        <f>#REF!</f>
        <v>#REF!</v>
      </c>
      <c r="J102" s="894" t="e">
        <f>#REF!</f>
        <v>#REF!</v>
      </c>
      <c r="K102" s="894"/>
      <c r="L102" s="894"/>
      <c r="M102" s="894"/>
    </row>
    <row r="103" spans="1:100" ht="16.5" hidden="1" customHeight="1">
      <c r="A103" s="716"/>
      <c r="B103" s="716"/>
      <c r="C103" s="716"/>
      <c r="D103" s="716"/>
      <c r="E103" s="716"/>
      <c r="F103" s="716"/>
      <c r="G103" s="716"/>
      <c r="H103" s="716"/>
      <c r="I103" s="715" t="e">
        <f>#REF!</f>
        <v>#REF!</v>
      </c>
      <c r="J103" s="894" t="e">
        <f>#REF!</f>
        <v>#REF!</v>
      </c>
      <c r="K103" s="894"/>
      <c r="L103" s="894"/>
      <c r="M103" s="894"/>
    </row>
    <row r="104" spans="1:100" ht="20.100000000000001" hidden="1" customHeight="1">
      <c r="A104" s="720" t="e">
        <f>#REF!</f>
        <v>#REF!</v>
      </c>
      <c r="B104" s="720"/>
      <c r="C104" s="720"/>
      <c r="D104" s="720"/>
      <c r="E104" s="720"/>
      <c r="F104" s="720"/>
      <c r="G104" s="720"/>
      <c r="H104" s="720"/>
      <c r="I104" s="715" t="e">
        <f>#REF!</f>
        <v>#REF!</v>
      </c>
      <c r="J104" s="894"/>
      <c r="K104" s="894"/>
      <c r="L104" s="894"/>
      <c r="M104" s="894"/>
    </row>
    <row r="105" spans="1:100" ht="16.5" hidden="1" customHeight="1">
      <c r="A105" s="716" t="e">
        <f>#REF!</f>
        <v>#REF!</v>
      </c>
      <c r="B105" s="716"/>
      <c r="C105" s="716"/>
      <c r="D105" s="716"/>
      <c r="E105" s="716"/>
      <c r="F105" s="716"/>
      <c r="G105" s="716"/>
      <c r="H105" s="716"/>
      <c r="I105" s="717" t="e">
        <f>#REF!</f>
        <v>#REF!</v>
      </c>
      <c r="J105" s="894" t="e">
        <f>#REF!</f>
        <v>#REF!</v>
      </c>
      <c r="K105" s="894"/>
      <c r="L105" s="894"/>
      <c r="M105" s="894"/>
    </row>
    <row r="106" spans="1:100" ht="16.5" hidden="1" customHeight="1">
      <c r="A106" s="716" t="e">
        <f>#REF!</f>
        <v>#REF!</v>
      </c>
      <c r="B106" s="716"/>
      <c r="C106" s="716"/>
      <c r="D106" s="716"/>
      <c r="E106" s="716"/>
      <c r="F106" s="716"/>
      <c r="G106" s="716"/>
      <c r="H106" s="716"/>
      <c r="I106" s="717" t="e">
        <f>#REF!</f>
        <v>#REF!</v>
      </c>
      <c r="J106" s="894" t="e">
        <f>#REF!</f>
        <v>#REF!</v>
      </c>
      <c r="K106" s="894"/>
      <c r="L106" s="894"/>
      <c r="M106" s="894"/>
    </row>
    <row r="107" spans="1:100" ht="16.5" hidden="1" customHeight="1">
      <c r="A107" s="716" t="e">
        <f>#REF!</f>
        <v>#REF!</v>
      </c>
      <c r="B107" s="716"/>
      <c r="C107" s="716"/>
      <c r="D107" s="716"/>
      <c r="E107" s="716"/>
      <c r="F107" s="716"/>
      <c r="G107" s="716"/>
      <c r="H107" s="716"/>
      <c r="I107" s="717" t="e">
        <f>#REF!</f>
        <v>#REF!</v>
      </c>
      <c r="J107" s="894" t="e">
        <f>#REF!</f>
        <v>#REF!</v>
      </c>
      <c r="K107" s="894"/>
      <c r="L107" s="894"/>
      <c r="M107" s="894"/>
    </row>
    <row r="108" spans="1:100" ht="16.5" hidden="1" customHeight="1">
      <c r="A108" s="716" t="e">
        <f>#REF!</f>
        <v>#REF!</v>
      </c>
      <c r="B108" s="716"/>
      <c r="C108" s="716"/>
      <c r="D108" s="716"/>
      <c r="E108" s="716"/>
      <c r="F108" s="716"/>
      <c r="G108" s="716"/>
      <c r="H108" s="716"/>
      <c r="I108" s="717" t="e">
        <f>#REF!</f>
        <v>#REF!</v>
      </c>
      <c r="J108" s="894" t="e">
        <f>#REF!</f>
        <v>#REF!</v>
      </c>
      <c r="K108" s="894"/>
      <c r="L108" s="894"/>
      <c r="M108" s="894"/>
    </row>
    <row r="109" spans="1:100" s="721" customFormat="1" ht="20.100000000000001" hidden="1" customHeight="1">
      <c r="A109" s="716"/>
      <c r="B109" s="716"/>
      <c r="C109" s="716"/>
      <c r="D109" s="716"/>
      <c r="E109" s="716"/>
      <c r="F109" s="716"/>
      <c r="G109" s="716"/>
      <c r="H109" s="716"/>
      <c r="I109" s="715" t="e">
        <f>#REF!</f>
        <v>#REF!</v>
      </c>
      <c r="J109" s="894" t="e">
        <f>#REF!</f>
        <v>#REF!</v>
      </c>
      <c r="K109" s="894"/>
      <c r="L109" s="894"/>
      <c r="M109" s="894"/>
      <c r="N109" s="661"/>
      <c r="O109" s="661"/>
      <c r="P109" s="661"/>
      <c r="Q109" s="661"/>
      <c r="R109" s="661"/>
      <c r="S109" s="661"/>
      <c r="T109" s="661"/>
      <c r="U109" s="661"/>
      <c r="V109" s="661"/>
      <c r="W109" s="661"/>
      <c r="X109" s="661"/>
      <c r="Y109" s="661"/>
      <c r="Z109" s="661"/>
      <c r="AA109" s="661"/>
      <c r="AB109" s="661"/>
      <c r="AC109" s="661"/>
      <c r="AD109" s="661"/>
      <c r="AE109" s="661"/>
      <c r="AF109" s="661"/>
      <c r="AG109" s="661"/>
      <c r="AH109" s="661"/>
      <c r="AI109" s="661"/>
      <c r="AJ109" s="661"/>
      <c r="AK109" s="661"/>
      <c r="AL109" s="661"/>
      <c r="AM109" s="661"/>
      <c r="AN109" s="661"/>
      <c r="AO109" s="661"/>
      <c r="AP109" s="661"/>
      <c r="AQ109" s="661"/>
      <c r="AR109" s="661"/>
      <c r="AS109" s="661"/>
      <c r="AT109" s="661"/>
      <c r="AU109" s="661"/>
      <c r="AV109" s="661"/>
      <c r="AW109" s="661"/>
      <c r="AX109" s="661"/>
      <c r="AY109" s="661"/>
      <c r="AZ109" s="661"/>
      <c r="BA109" s="661"/>
      <c r="BB109" s="661"/>
      <c r="BC109" s="661"/>
      <c r="BD109" s="661"/>
      <c r="BE109" s="661"/>
      <c r="BF109" s="661"/>
      <c r="BG109" s="661"/>
      <c r="BH109" s="661"/>
      <c r="BI109" s="661"/>
      <c r="BJ109" s="661"/>
      <c r="BK109" s="661"/>
      <c r="BL109" s="661"/>
      <c r="BM109" s="661"/>
      <c r="BN109" s="661"/>
      <c r="BO109" s="661"/>
      <c r="BP109" s="661"/>
      <c r="BQ109" s="661"/>
      <c r="BR109" s="661"/>
      <c r="BS109" s="661"/>
      <c r="BT109" s="661"/>
      <c r="BU109" s="661"/>
      <c r="BV109" s="661"/>
      <c r="BW109" s="661"/>
      <c r="BX109" s="661"/>
      <c r="BY109" s="661"/>
      <c r="BZ109" s="661"/>
      <c r="CA109" s="661"/>
      <c r="CB109" s="661"/>
      <c r="CC109" s="661"/>
      <c r="CD109" s="661"/>
      <c r="CE109" s="661"/>
      <c r="CF109" s="661"/>
      <c r="CG109" s="661"/>
      <c r="CH109" s="661"/>
      <c r="CI109" s="661"/>
      <c r="CJ109" s="661"/>
      <c r="CK109" s="661"/>
      <c r="CL109" s="661"/>
      <c r="CM109" s="661"/>
      <c r="CN109" s="661"/>
      <c r="CO109" s="661"/>
      <c r="CP109" s="661"/>
      <c r="CQ109" s="661"/>
      <c r="CR109" s="661"/>
      <c r="CS109" s="661"/>
      <c r="CT109" s="661"/>
      <c r="CU109" s="661"/>
      <c r="CV109" s="661"/>
    </row>
    <row r="110" spans="1:100" ht="20.100000000000001" hidden="1" customHeight="1">
      <c r="A110" s="722"/>
      <c r="B110" s="722"/>
      <c r="C110" s="722"/>
      <c r="D110" s="722"/>
      <c r="E110" s="722"/>
      <c r="F110" s="722"/>
      <c r="G110" s="722"/>
      <c r="H110" s="722"/>
      <c r="I110" s="715" t="e">
        <f>#REF!</f>
        <v>#REF!</v>
      </c>
      <c r="J110" s="894" t="e">
        <f>#REF!</f>
        <v>#REF!</v>
      </c>
      <c r="K110" s="894"/>
      <c r="L110" s="894"/>
      <c r="M110" s="894"/>
    </row>
    <row r="111" spans="1:100" ht="16.5" hidden="1" customHeight="1">
      <c r="A111" s="722"/>
      <c r="B111" s="722"/>
      <c r="C111" s="722"/>
      <c r="D111" s="722"/>
      <c r="E111" s="722"/>
      <c r="F111" s="722"/>
      <c r="G111" s="722"/>
      <c r="H111" s="722"/>
      <c r="I111" s="715"/>
      <c r="J111" s="894"/>
      <c r="K111" s="894"/>
      <c r="L111" s="894"/>
      <c r="M111" s="894"/>
    </row>
    <row r="112" spans="1:100" ht="20.100000000000001" hidden="1" customHeight="1">
      <c r="A112" s="719" t="e">
        <f>#REF!</f>
        <v>#REF!</v>
      </c>
      <c r="B112" s="719"/>
      <c r="C112" s="719"/>
      <c r="D112" s="719"/>
      <c r="E112" s="719"/>
      <c r="F112" s="719"/>
      <c r="G112" s="719"/>
      <c r="H112" s="719"/>
      <c r="I112" s="715" t="e">
        <f>#REF!</f>
        <v>#REF!</v>
      </c>
      <c r="J112" s="894"/>
      <c r="K112" s="894"/>
      <c r="L112" s="894"/>
      <c r="M112" s="894"/>
    </row>
    <row r="113" spans="1:13" ht="30" hidden="1" customHeight="1">
      <c r="A113" s="720" t="e">
        <f>#REF!</f>
        <v>#REF!</v>
      </c>
      <c r="B113" s="720"/>
      <c r="C113" s="720"/>
      <c r="D113" s="720"/>
      <c r="E113" s="720"/>
      <c r="F113" s="720"/>
      <c r="G113" s="720"/>
      <c r="H113" s="720"/>
      <c r="I113" s="715" t="e">
        <f>#REF!</f>
        <v>#REF!</v>
      </c>
      <c r="J113" s="894"/>
      <c r="K113" s="894"/>
      <c r="L113" s="894"/>
      <c r="M113" s="894"/>
    </row>
    <row r="114" spans="1:13" ht="16.5" hidden="1" customHeight="1">
      <c r="A114" s="716" t="e">
        <f>#REF!</f>
        <v>#REF!</v>
      </c>
      <c r="B114" s="716"/>
      <c r="C114" s="716"/>
      <c r="D114" s="716"/>
      <c r="E114" s="716"/>
      <c r="F114" s="716"/>
      <c r="G114" s="716"/>
      <c r="H114" s="716"/>
      <c r="I114" s="717" t="e">
        <f>#REF!</f>
        <v>#REF!</v>
      </c>
      <c r="J114" s="894" t="e">
        <f>#REF!</f>
        <v>#REF!</v>
      </c>
      <c r="K114" s="894"/>
      <c r="L114" s="894"/>
      <c r="M114" s="894"/>
    </row>
    <row r="115" spans="1:13" ht="16.5" hidden="1" customHeight="1">
      <c r="A115" s="716" t="e">
        <f>#REF!</f>
        <v>#REF!</v>
      </c>
      <c r="B115" s="716"/>
      <c r="C115" s="716"/>
      <c r="D115" s="716"/>
      <c r="E115" s="716"/>
      <c r="F115" s="716"/>
      <c r="G115" s="716"/>
      <c r="H115" s="716"/>
      <c r="I115" s="717" t="e">
        <f>#REF!</f>
        <v>#REF!</v>
      </c>
      <c r="J115" s="894" t="e">
        <f>#REF!</f>
        <v>#REF!</v>
      </c>
      <c r="K115" s="894"/>
      <c r="L115" s="894"/>
      <c r="M115" s="894"/>
    </row>
    <row r="116" spans="1:13" ht="16.5" hidden="1" customHeight="1">
      <c r="A116" s="716" t="e">
        <f>#REF!</f>
        <v>#REF!</v>
      </c>
      <c r="B116" s="716"/>
      <c r="C116" s="716"/>
      <c r="D116" s="716"/>
      <c r="E116" s="716"/>
      <c r="F116" s="716"/>
      <c r="G116" s="716"/>
      <c r="H116" s="716"/>
      <c r="I116" s="717" t="e">
        <f>#REF!</f>
        <v>#REF!</v>
      </c>
      <c r="J116" s="894" t="e">
        <f>#REF!</f>
        <v>#REF!</v>
      </c>
      <c r="K116" s="894"/>
      <c r="L116" s="894"/>
      <c r="M116" s="894"/>
    </row>
    <row r="117" spans="1:13" ht="20.100000000000001" hidden="1" customHeight="1">
      <c r="A117" s="723"/>
      <c r="B117" s="723"/>
      <c r="C117" s="723"/>
      <c r="D117" s="723"/>
      <c r="E117" s="723"/>
      <c r="F117" s="723"/>
      <c r="G117" s="723"/>
      <c r="H117" s="723"/>
      <c r="I117" s="715" t="e">
        <f>#REF!</f>
        <v>#REF!</v>
      </c>
      <c r="J117" s="894" t="e">
        <f>#REF!</f>
        <v>#REF!</v>
      </c>
      <c r="K117" s="894"/>
      <c r="L117" s="894"/>
      <c r="M117" s="894"/>
    </row>
    <row r="118" spans="1:13" ht="20.100000000000001" hidden="1" customHeight="1">
      <c r="A118" s="722"/>
      <c r="B118" s="722"/>
      <c r="C118" s="722"/>
      <c r="D118" s="722"/>
      <c r="E118" s="722"/>
      <c r="F118" s="722"/>
      <c r="G118" s="722"/>
      <c r="H118" s="722"/>
      <c r="I118" s="715" t="e">
        <f>#REF!</f>
        <v>#REF!</v>
      </c>
      <c r="J118" s="894" t="e">
        <f>#REF!</f>
        <v>#REF!</v>
      </c>
      <c r="K118" s="894"/>
      <c r="L118" s="894"/>
      <c r="M118" s="894"/>
    </row>
    <row r="119" spans="1:13" ht="20.100000000000001" hidden="1" customHeight="1">
      <c r="A119" s="714" t="e">
        <f>#REF!</f>
        <v>#REF!</v>
      </c>
      <c r="B119" s="714"/>
      <c r="C119" s="714"/>
      <c r="D119" s="714"/>
      <c r="E119" s="714"/>
      <c r="F119" s="714"/>
      <c r="G119" s="714"/>
      <c r="H119" s="714"/>
      <c r="I119" s="715" t="e">
        <f>#REF!</f>
        <v>#REF!</v>
      </c>
      <c r="J119" s="894"/>
      <c r="K119" s="894"/>
      <c r="L119" s="894"/>
      <c r="M119" s="894"/>
    </row>
    <row r="120" spans="1:13" ht="30" hidden="1" customHeight="1">
      <c r="A120" s="719" t="e">
        <f>#REF!</f>
        <v>#REF!</v>
      </c>
      <c r="B120" s="719"/>
      <c r="C120" s="719"/>
      <c r="D120" s="719"/>
      <c r="E120" s="719"/>
      <c r="F120" s="719"/>
      <c r="G120" s="719"/>
      <c r="H120" s="719"/>
      <c r="I120" s="715" t="e">
        <f>#REF!</f>
        <v>#REF!</v>
      </c>
      <c r="J120" s="894"/>
      <c r="K120" s="894"/>
      <c r="L120" s="894"/>
      <c r="M120" s="894"/>
    </row>
    <row r="121" spans="1:13" ht="20.100000000000001" hidden="1" customHeight="1">
      <c r="A121" s="716" t="e">
        <f>#REF!</f>
        <v>#REF!</v>
      </c>
      <c r="B121" s="716"/>
      <c r="C121" s="716"/>
      <c r="D121" s="716"/>
      <c r="E121" s="716"/>
      <c r="F121" s="716"/>
      <c r="G121" s="716"/>
      <c r="H121" s="716"/>
      <c r="I121" s="717" t="e">
        <f>#REF!</f>
        <v>#REF!</v>
      </c>
      <c r="J121" s="894" t="e">
        <f>#REF!</f>
        <v>#REF!</v>
      </c>
      <c r="K121" s="894"/>
      <c r="L121" s="894"/>
      <c r="M121" s="894"/>
    </row>
    <row r="122" spans="1:13" ht="20.100000000000001" hidden="1" customHeight="1">
      <c r="A122" s="716" t="e">
        <f>#REF!</f>
        <v>#REF!</v>
      </c>
      <c r="B122" s="716"/>
      <c r="C122" s="716"/>
      <c r="D122" s="716"/>
      <c r="E122" s="716"/>
      <c r="F122" s="716"/>
      <c r="G122" s="716"/>
      <c r="H122" s="716"/>
      <c r="I122" s="717" t="e">
        <f>#REF!</f>
        <v>#REF!</v>
      </c>
      <c r="J122" s="894" t="e">
        <f>#REF!</f>
        <v>#REF!</v>
      </c>
      <c r="K122" s="894"/>
      <c r="L122" s="894"/>
      <c r="M122" s="894"/>
    </row>
    <row r="123" spans="1:13" ht="20.100000000000001" hidden="1" customHeight="1">
      <c r="A123" s="716" t="e">
        <f>#REF!</f>
        <v>#REF!</v>
      </c>
      <c r="B123" s="716"/>
      <c r="C123" s="716"/>
      <c r="D123" s="716"/>
      <c r="E123" s="716"/>
      <c r="F123" s="716"/>
      <c r="G123" s="716"/>
      <c r="H123" s="716"/>
      <c r="I123" s="717" t="e">
        <f>#REF!</f>
        <v>#REF!</v>
      </c>
      <c r="J123" s="894" t="e">
        <f>#REF!</f>
        <v>#REF!</v>
      </c>
      <c r="K123" s="894"/>
      <c r="L123" s="894"/>
      <c r="M123" s="894"/>
    </row>
    <row r="124" spans="1:13" ht="20.100000000000001" hidden="1" customHeight="1">
      <c r="A124" s="716" t="e">
        <f>#REF!</f>
        <v>#REF!</v>
      </c>
      <c r="B124" s="716"/>
      <c r="C124" s="716"/>
      <c r="D124" s="716"/>
      <c r="E124" s="716"/>
      <c r="F124" s="716"/>
      <c r="G124" s="716"/>
      <c r="H124" s="716"/>
      <c r="I124" s="717" t="e">
        <f>#REF!</f>
        <v>#REF!</v>
      </c>
      <c r="J124" s="894" t="e">
        <f>#REF!</f>
        <v>#REF!</v>
      </c>
      <c r="K124" s="894"/>
      <c r="L124" s="894"/>
      <c r="M124" s="894"/>
    </row>
    <row r="125" spans="1:13" ht="20.100000000000001" hidden="1" customHeight="1">
      <c r="A125" s="716" t="e">
        <f>#REF!</f>
        <v>#REF!</v>
      </c>
      <c r="B125" s="716"/>
      <c r="C125" s="716"/>
      <c r="D125" s="716"/>
      <c r="E125" s="716"/>
      <c r="F125" s="716"/>
      <c r="G125" s="716"/>
      <c r="H125" s="716"/>
      <c r="I125" s="717" t="e">
        <f>#REF!</f>
        <v>#REF!</v>
      </c>
      <c r="J125" s="894" t="e">
        <f>#REF!</f>
        <v>#REF!</v>
      </c>
      <c r="K125" s="894"/>
      <c r="L125" s="894"/>
      <c r="M125" s="894"/>
    </row>
    <row r="126" spans="1:13" ht="20.100000000000001" hidden="1" customHeight="1">
      <c r="A126" s="718"/>
      <c r="B126" s="718"/>
      <c r="C126" s="718"/>
      <c r="D126" s="718"/>
      <c r="E126" s="718"/>
      <c r="F126" s="718"/>
      <c r="G126" s="718"/>
      <c r="H126" s="718"/>
      <c r="I126" s="715" t="e">
        <f>#REF!</f>
        <v>#REF!</v>
      </c>
      <c r="J126" s="894" t="e">
        <f>#REF!</f>
        <v>#REF!</v>
      </c>
      <c r="K126" s="894"/>
      <c r="L126" s="894"/>
      <c r="M126" s="894"/>
    </row>
    <row r="127" spans="1:13" ht="20.100000000000001" hidden="1" customHeight="1">
      <c r="A127" s="719" t="e">
        <f>#REF!</f>
        <v>#REF!</v>
      </c>
      <c r="B127" s="719"/>
      <c r="C127" s="719"/>
      <c r="D127" s="719"/>
      <c r="E127" s="719"/>
      <c r="F127" s="719"/>
      <c r="G127" s="719"/>
      <c r="H127" s="719"/>
      <c r="I127" s="715" t="e">
        <f>#REF!</f>
        <v>#REF!</v>
      </c>
      <c r="J127" s="894"/>
      <c r="K127" s="894"/>
      <c r="L127" s="894"/>
      <c r="M127" s="894"/>
    </row>
    <row r="128" spans="1:13" ht="20.100000000000001" hidden="1" customHeight="1">
      <c r="A128" s="716" t="e">
        <f>#REF!</f>
        <v>#REF!</v>
      </c>
      <c r="B128" s="716"/>
      <c r="C128" s="716"/>
      <c r="D128" s="716"/>
      <c r="E128" s="716"/>
      <c r="F128" s="716"/>
      <c r="G128" s="716"/>
      <c r="H128" s="716"/>
      <c r="I128" s="724" t="e">
        <f>#REF!</f>
        <v>#REF!</v>
      </c>
      <c r="J128" s="894" t="e">
        <f>#REF!</f>
        <v>#REF!</v>
      </c>
      <c r="K128" s="894"/>
      <c r="L128" s="894"/>
      <c r="M128" s="894"/>
    </row>
    <row r="129" spans="1:13" ht="20.100000000000001" hidden="1" customHeight="1">
      <c r="A129" s="716" t="e">
        <f>#REF!</f>
        <v>#REF!</v>
      </c>
      <c r="B129" s="716"/>
      <c r="C129" s="716"/>
      <c r="D129" s="716"/>
      <c r="E129" s="716"/>
      <c r="F129" s="716"/>
      <c r="G129" s="716"/>
      <c r="H129" s="716"/>
      <c r="I129" s="724" t="e">
        <f>#REF!</f>
        <v>#REF!</v>
      </c>
      <c r="J129" s="894" t="e">
        <f>#REF!</f>
        <v>#REF!</v>
      </c>
      <c r="K129" s="894"/>
      <c r="L129" s="894"/>
      <c r="M129" s="894"/>
    </row>
    <row r="130" spans="1:13" ht="20.100000000000001" hidden="1" customHeight="1">
      <c r="A130" s="716" t="e">
        <f>#REF!</f>
        <v>#REF!</v>
      </c>
      <c r="B130" s="716"/>
      <c r="C130" s="716"/>
      <c r="D130" s="716"/>
      <c r="E130" s="716"/>
      <c r="F130" s="716"/>
      <c r="G130" s="716"/>
      <c r="H130" s="716"/>
      <c r="I130" s="724" t="e">
        <f>#REF!</f>
        <v>#REF!</v>
      </c>
      <c r="J130" s="894" t="e">
        <f>#REF!</f>
        <v>#REF!</v>
      </c>
      <c r="K130" s="894"/>
      <c r="L130" s="894"/>
      <c r="M130" s="894"/>
    </row>
    <row r="131" spans="1:13" ht="20.100000000000001" hidden="1" customHeight="1">
      <c r="A131" s="716" t="e">
        <f>#REF!</f>
        <v>#REF!</v>
      </c>
      <c r="B131" s="716"/>
      <c r="C131" s="716"/>
      <c r="D131" s="716"/>
      <c r="E131" s="716"/>
      <c r="F131" s="716"/>
      <c r="G131" s="716"/>
      <c r="H131" s="716"/>
      <c r="I131" s="724" t="e">
        <f>#REF!</f>
        <v>#REF!</v>
      </c>
      <c r="J131" s="894" t="e">
        <f>#REF!</f>
        <v>#REF!</v>
      </c>
      <c r="K131" s="894"/>
      <c r="L131" s="894"/>
      <c r="M131" s="894"/>
    </row>
    <row r="132" spans="1:13" ht="20.100000000000001" hidden="1" customHeight="1">
      <c r="A132" s="716" t="e">
        <f>#REF!</f>
        <v>#REF!</v>
      </c>
      <c r="B132" s="716"/>
      <c r="C132" s="716"/>
      <c r="D132" s="716"/>
      <c r="E132" s="716"/>
      <c r="F132" s="716"/>
      <c r="G132" s="716"/>
      <c r="H132" s="716"/>
      <c r="I132" s="724" t="e">
        <f>#REF!</f>
        <v>#REF!</v>
      </c>
      <c r="J132" s="894" t="e">
        <f>#REF!</f>
        <v>#REF!</v>
      </c>
      <c r="K132" s="894"/>
      <c r="L132" s="894"/>
      <c r="M132" s="894"/>
    </row>
    <row r="133" spans="1:13" ht="20.100000000000001" hidden="1" customHeight="1">
      <c r="A133" s="716" t="e">
        <f>#REF!</f>
        <v>#REF!</v>
      </c>
      <c r="B133" s="716"/>
      <c r="C133" s="716"/>
      <c r="D133" s="716"/>
      <c r="E133" s="716"/>
      <c r="F133" s="716"/>
      <c r="G133" s="716"/>
      <c r="H133" s="716"/>
      <c r="I133" s="724" t="e">
        <f>#REF!</f>
        <v>#REF!</v>
      </c>
      <c r="J133" s="894" t="e">
        <f>#REF!</f>
        <v>#REF!</v>
      </c>
      <c r="K133" s="894"/>
      <c r="L133" s="894"/>
      <c r="M133" s="894"/>
    </row>
    <row r="134" spans="1:13" ht="20.100000000000001" hidden="1" customHeight="1">
      <c r="A134" s="716"/>
      <c r="B134" s="716"/>
      <c r="C134" s="716"/>
      <c r="D134" s="716"/>
      <c r="E134" s="716"/>
      <c r="F134" s="716"/>
      <c r="G134" s="716"/>
      <c r="H134" s="716"/>
      <c r="I134" s="715" t="e">
        <f>#REF!</f>
        <v>#REF!</v>
      </c>
      <c r="J134" s="894" t="e">
        <f>#REF!</f>
        <v>#REF!</v>
      </c>
      <c r="K134" s="894"/>
      <c r="L134" s="894"/>
      <c r="M134" s="894"/>
    </row>
    <row r="135" spans="1:13" ht="35.25" hidden="1" customHeight="1">
      <c r="A135" s="719" t="e">
        <f>#REF!</f>
        <v>#REF!</v>
      </c>
      <c r="B135" s="719"/>
      <c r="C135" s="719"/>
      <c r="D135" s="719"/>
      <c r="E135" s="719"/>
      <c r="F135" s="719"/>
      <c r="G135" s="719"/>
      <c r="H135" s="719"/>
      <c r="I135" s="715" t="e">
        <f>#REF!</f>
        <v>#REF!</v>
      </c>
      <c r="J135" s="894"/>
      <c r="K135" s="894"/>
      <c r="L135" s="894"/>
      <c r="M135" s="894"/>
    </row>
    <row r="136" spans="1:13" ht="19.5" hidden="1" customHeight="1">
      <c r="A136" s="716" t="e">
        <f>#REF!</f>
        <v>#REF!</v>
      </c>
      <c r="B136" s="716"/>
      <c r="C136" s="716"/>
      <c r="D136" s="716"/>
      <c r="E136" s="716"/>
      <c r="F136" s="716"/>
      <c r="G136" s="716"/>
      <c r="H136" s="716"/>
      <c r="I136" s="724" t="e">
        <f>#REF!</f>
        <v>#REF!</v>
      </c>
      <c r="J136" s="894" t="e">
        <f>#REF!</f>
        <v>#REF!</v>
      </c>
      <c r="K136" s="894"/>
      <c r="L136" s="894"/>
      <c r="M136" s="894"/>
    </row>
    <row r="137" spans="1:13" ht="19.5" hidden="1" customHeight="1">
      <c r="A137" s="716" t="e">
        <f>#REF!</f>
        <v>#REF!</v>
      </c>
      <c r="B137" s="716"/>
      <c r="C137" s="716"/>
      <c r="D137" s="716"/>
      <c r="E137" s="716"/>
      <c r="F137" s="716"/>
      <c r="G137" s="716"/>
      <c r="H137" s="716"/>
      <c r="I137" s="724" t="e">
        <f>#REF!</f>
        <v>#REF!</v>
      </c>
      <c r="J137" s="894" t="e">
        <f>#REF!</f>
        <v>#REF!</v>
      </c>
      <c r="K137" s="894"/>
      <c r="L137" s="894"/>
      <c r="M137" s="894"/>
    </row>
    <row r="138" spans="1:13" ht="19.5" hidden="1" customHeight="1">
      <c r="A138" s="716" t="e">
        <f>#REF!</f>
        <v>#REF!</v>
      </c>
      <c r="B138" s="716"/>
      <c r="C138" s="716"/>
      <c r="D138" s="716"/>
      <c r="E138" s="716"/>
      <c r="F138" s="716"/>
      <c r="G138" s="716"/>
      <c r="H138" s="716"/>
      <c r="I138" s="724" t="e">
        <f>#REF!</f>
        <v>#REF!</v>
      </c>
      <c r="J138" s="894" t="e">
        <f>#REF!</f>
        <v>#REF!</v>
      </c>
      <c r="K138" s="894"/>
      <c r="L138" s="894"/>
      <c r="M138" s="894"/>
    </row>
    <row r="139" spans="1:13" ht="19.5" hidden="1" customHeight="1">
      <c r="A139" s="716" t="e">
        <f>#REF!</f>
        <v>#REF!</v>
      </c>
      <c r="B139" s="716"/>
      <c r="C139" s="716"/>
      <c r="D139" s="716"/>
      <c r="E139" s="716"/>
      <c r="F139" s="716"/>
      <c r="G139" s="716"/>
      <c r="H139" s="716"/>
      <c r="I139" s="724" t="e">
        <f>#REF!</f>
        <v>#REF!</v>
      </c>
      <c r="J139" s="894" t="e">
        <f>#REF!</f>
        <v>#REF!</v>
      </c>
      <c r="K139" s="894"/>
      <c r="L139" s="894"/>
      <c r="M139" s="894"/>
    </row>
    <row r="140" spans="1:13" ht="33" hidden="1" customHeight="1">
      <c r="A140" s="716" t="e">
        <f>#REF!</f>
        <v>#REF!</v>
      </c>
      <c r="B140" s="716"/>
      <c r="C140" s="716"/>
      <c r="D140" s="716"/>
      <c r="E140" s="716"/>
      <c r="F140" s="716"/>
      <c r="G140" s="716"/>
      <c r="H140" s="716"/>
      <c r="I140" s="724" t="e">
        <f>#REF!</f>
        <v>#REF!</v>
      </c>
      <c r="J140" s="894" t="e">
        <f>#REF!</f>
        <v>#REF!</v>
      </c>
      <c r="K140" s="894"/>
      <c r="L140" s="894"/>
      <c r="M140" s="894"/>
    </row>
    <row r="141" spans="1:13" ht="19.5" hidden="1" customHeight="1">
      <c r="A141" s="716" t="e">
        <f>#REF!</f>
        <v>#REF!</v>
      </c>
      <c r="B141" s="716"/>
      <c r="C141" s="716"/>
      <c r="D141" s="716"/>
      <c r="E141" s="716"/>
      <c r="F141" s="716"/>
      <c r="G141" s="716"/>
      <c r="H141" s="716"/>
      <c r="I141" s="724" t="e">
        <f>#REF!</f>
        <v>#REF!</v>
      </c>
      <c r="J141" s="894" t="e">
        <f>#REF!</f>
        <v>#REF!</v>
      </c>
      <c r="K141" s="894"/>
      <c r="L141" s="894"/>
      <c r="M141" s="894"/>
    </row>
    <row r="142" spans="1:13" ht="19.5" hidden="1" customHeight="1">
      <c r="A142" s="716" t="e">
        <f>#REF!</f>
        <v>#REF!</v>
      </c>
      <c r="B142" s="716"/>
      <c r="C142" s="716"/>
      <c r="D142" s="716"/>
      <c r="E142" s="716"/>
      <c r="F142" s="716"/>
      <c r="G142" s="716"/>
      <c r="H142" s="716"/>
      <c r="I142" s="724" t="e">
        <f>#REF!</f>
        <v>#REF!</v>
      </c>
      <c r="J142" s="894" t="e">
        <f>#REF!</f>
        <v>#REF!</v>
      </c>
      <c r="K142" s="894"/>
      <c r="L142" s="894"/>
      <c r="M142" s="894"/>
    </row>
    <row r="143" spans="1:13" ht="19.5" hidden="1" customHeight="1">
      <c r="A143" s="716" t="e">
        <f>#REF!</f>
        <v>#REF!</v>
      </c>
      <c r="B143" s="716"/>
      <c r="C143" s="716"/>
      <c r="D143" s="716"/>
      <c r="E143" s="716"/>
      <c r="F143" s="716"/>
      <c r="G143" s="716"/>
      <c r="H143" s="716"/>
      <c r="I143" s="724" t="e">
        <f>#REF!</f>
        <v>#REF!</v>
      </c>
      <c r="J143" s="894" t="e">
        <f>#REF!</f>
        <v>#REF!</v>
      </c>
      <c r="K143" s="894"/>
      <c r="L143" s="894"/>
      <c r="M143" s="894"/>
    </row>
    <row r="144" spans="1:13" ht="19.5" hidden="1" customHeight="1">
      <c r="A144" s="716" t="e">
        <f>#REF!</f>
        <v>#REF!</v>
      </c>
      <c r="B144" s="716"/>
      <c r="C144" s="716"/>
      <c r="D144" s="716"/>
      <c r="E144" s="716"/>
      <c r="F144" s="716"/>
      <c r="G144" s="716"/>
      <c r="H144" s="716"/>
      <c r="I144" s="724" t="e">
        <f>#REF!</f>
        <v>#REF!</v>
      </c>
      <c r="J144" s="894" t="e">
        <f>#REF!</f>
        <v>#REF!</v>
      </c>
      <c r="K144" s="894"/>
      <c r="L144" s="894"/>
      <c r="M144" s="894"/>
    </row>
    <row r="145" spans="1:13" ht="19.5" hidden="1" customHeight="1">
      <c r="A145" s="716"/>
      <c r="B145" s="716"/>
      <c r="C145" s="716"/>
      <c r="D145" s="716"/>
      <c r="E145" s="716"/>
      <c r="F145" s="716"/>
      <c r="G145" s="716"/>
      <c r="H145" s="716"/>
      <c r="I145" s="715" t="e">
        <f>#REF!</f>
        <v>#REF!</v>
      </c>
      <c r="J145" s="894" t="e">
        <f>#REF!</f>
        <v>#REF!</v>
      </c>
      <c r="K145" s="894"/>
      <c r="L145" s="894"/>
      <c r="M145" s="894"/>
    </row>
    <row r="146" spans="1:13" ht="19.5" hidden="1" customHeight="1">
      <c r="A146" s="719" t="e">
        <f>#REF!</f>
        <v>#REF!</v>
      </c>
      <c r="B146" s="719"/>
      <c r="C146" s="719"/>
      <c r="D146" s="719"/>
      <c r="E146" s="719"/>
      <c r="F146" s="719"/>
      <c r="G146" s="719"/>
      <c r="H146" s="719"/>
      <c r="I146" s="715" t="e">
        <f>#REF!</f>
        <v>#REF!</v>
      </c>
      <c r="J146" s="894"/>
      <c r="K146" s="894"/>
      <c r="L146" s="894"/>
      <c r="M146" s="894"/>
    </row>
    <row r="147" spans="1:13" ht="19.5" hidden="1" customHeight="1">
      <c r="A147" s="716" t="e">
        <f>#REF!</f>
        <v>#REF!</v>
      </c>
      <c r="B147" s="716"/>
      <c r="C147" s="716"/>
      <c r="D147" s="716"/>
      <c r="E147" s="716"/>
      <c r="F147" s="716"/>
      <c r="G147" s="716"/>
      <c r="H147" s="716"/>
      <c r="I147" s="717" t="e">
        <f>#REF!</f>
        <v>#REF!</v>
      </c>
      <c r="J147" s="894" t="e">
        <f>#REF!</f>
        <v>#REF!</v>
      </c>
      <c r="K147" s="894"/>
      <c r="L147" s="894"/>
      <c r="M147" s="894"/>
    </row>
    <row r="148" spans="1:13" ht="19.5" hidden="1" customHeight="1">
      <c r="A148" s="716" t="e">
        <f>#REF!</f>
        <v>#REF!</v>
      </c>
      <c r="B148" s="716"/>
      <c r="C148" s="716"/>
      <c r="D148" s="716"/>
      <c r="E148" s="716"/>
      <c r="F148" s="716"/>
      <c r="G148" s="716"/>
      <c r="H148" s="716"/>
      <c r="I148" s="717" t="e">
        <f>#REF!</f>
        <v>#REF!</v>
      </c>
      <c r="J148" s="894" t="e">
        <f>#REF!</f>
        <v>#REF!</v>
      </c>
      <c r="K148" s="894"/>
      <c r="L148" s="894"/>
      <c r="M148" s="894"/>
    </row>
    <row r="149" spans="1:13" ht="19.5" hidden="1" customHeight="1">
      <c r="A149" s="716" t="e">
        <f>#REF!</f>
        <v>#REF!</v>
      </c>
      <c r="B149" s="716"/>
      <c r="C149" s="716"/>
      <c r="D149" s="716"/>
      <c r="E149" s="716"/>
      <c r="F149" s="716"/>
      <c r="G149" s="716"/>
      <c r="H149" s="716"/>
      <c r="I149" s="717" t="e">
        <f>#REF!</f>
        <v>#REF!</v>
      </c>
      <c r="J149" s="894" t="e">
        <f>#REF!</f>
        <v>#REF!</v>
      </c>
      <c r="K149" s="894"/>
      <c r="L149" s="894"/>
      <c r="M149" s="894"/>
    </row>
    <row r="150" spans="1:13" ht="19.5" hidden="1" customHeight="1">
      <c r="A150" s="716"/>
      <c r="B150" s="716"/>
      <c r="C150" s="716"/>
      <c r="D150" s="716"/>
      <c r="E150" s="716"/>
      <c r="F150" s="716"/>
      <c r="G150" s="716"/>
      <c r="H150" s="716"/>
      <c r="I150" s="715" t="e">
        <f>#REF!</f>
        <v>#REF!</v>
      </c>
      <c r="J150" s="894" t="e">
        <f>#REF!</f>
        <v>#REF!</v>
      </c>
      <c r="K150" s="894"/>
      <c r="L150" s="894"/>
      <c r="M150" s="894"/>
    </row>
    <row r="151" spans="1:13" ht="33" hidden="1" customHeight="1">
      <c r="A151" s="719" t="e">
        <f>#REF!</f>
        <v>#REF!</v>
      </c>
      <c r="B151" s="719"/>
      <c r="C151" s="719"/>
      <c r="D151" s="719"/>
      <c r="E151" s="719"/>
      <c r="F151" s="719"/>
      <c r="G151" s="719"/>
      <c r="H151" s="719"/>
      <c r="I151" s="715" t="e">
        <f>#REF!</f>
        <v>#REF!</v>
      </c>
      <c r="J151" s="894"/>
      <c r="K151" s="894"/>
      <c r="L151" s="894"/>
      <c r="M151" s="894"/>
    </row>
    <row r="152" spans="1:13" ht="19.5" hidden="1" customHeight="1">
      <c r="A152" s="716" t="e">
        <f>#REF!</f>
        <v>#REF!</v>
      </c>
      <c r="B152" s="716"/>
      <c r="C152" s="716"/>
      <c r="D152" s="716"/>
      <c r="E152" s="716"/>
      <c r="F152" s="716"/>
      <c r="G152" s="716"/>
      <c r="H152" s="716"/>
      <c r="I152" s="717" t="e">
        <f>#REF!</f>
        <v>#REF!</v>
      </c>
      <c r="J152" s="894" t="e">
        <f>#REF!</f>
        <v>#REF!</v>
      </c>
      <c r="K152" s="894"/>
      <c r="L152" s="894"/>
      <c r="M152" s="894"/>
    </row>
    <row r="153" spans="1:13" ht="19.5" hidden="1" customHeight="1">
      <c r="A153" s="716" t="e">
        <f>#REF!</f>
        <v>#REF!</v>
      </c>
      <c r="B153" s="716"/>
      <c r="C153" s="716"/>
      <c r="D153" s="716"/>
      <c r="E153" s="716"/>
      <c r="F153" s="716"/>
      <c r="G153" s="716"/>
      <c r="H153" s="716"/>
      <c r="I153" s="717" t="e">
        <f>#REF!</f>
        <v>#REF!</v>
      </c>
      <c r="J153" s="894" t="e">
        <f>#REF!</f>
        <v>#REF!</v>
      </c>
      <c r="K153" s="894"/>
      <c r="L153" s="894"/>
      <c r="M153" s="894"/>
    </row>
    <row r="154" spans="1:13" ht="19.5" hidden="1" customHeight="1">
      <c r="A154" s="716" t="e">
        <f>#REF!</f>
        <v>#REF!</v>
      </c>
      <c r="B154" s="716"/>
      <c r="C154" s="716"/>
      <c r="D154" s="716"/>
      <c r="E154" s="716"/>
      <c r="F154" s="716"/>
      <c r="G154" s="716"/>
      <c r="H154" s="716"/>
      <c r="I154" s="717" t="e">
        <f>#REF!</f>
        <v>#REF!</v>
      </c>
      <c r="J154" s="894" t="e">
        <f>#REF!</f>
        <v>#REF!</v>
      </c>
      <c r="K154" s="894"/>
      <c r="L154" s="894"/>
      <c r="M154" s="894"/>
    </row>
    <row r="155" spans="1:13" ht="19.5" hidden="1" customHeight="1">
      <c r="A155" s="716"/>
      <c r="B155" s="716"/>
      <c r="C155" s="716"/>
      <c r="D155" s="716"/>
      <c r="E155" s="716"/>
      <c r="F155" s="716"/>
      <c r="G155" s="716"/>
      <c r="H155" s="716"/>
      <c r="I155" s="715" t="e">
        <f>#REF!</f>
        <v>#REF!</v>
      </c>
      <c r="J155" s="894" t="e">
        <f>#REF!</f>
        <v>#REF!</v>
      </c>
      <c r="K155" s="894"/>
      <c r="L155" s="894"/>
      <c r="M155" s="894"/>
    </row>
    <row r="156" spans="1:13" ht="19.5" hidden="1" customHeight="1">
      <c r="A156" s="719" t="e">
        <f>#REF!</f>
        <v>#REF!</v>
      </c>
      <c r="B156" s="719"/>
      <c r="C156" s="719"/>
      <c r="D156" s="719"/>
      <c r="E156" s="719"/>
      <c r="F156" s="719"/>
      <c r="G156" s="719"/>
      <c r="H156" s="719"/>
      <c r="I156" s="715" t="e">
        <f>#REF!</f>
        <v>#REF!</v>
      </c>
      <c r="J156" s="894"/>
      <c r="K156" s="894"/>
      <c r="L156" s="894"/>
      <c r="M156" s="894"/>
    </row>
    <row r="157" spans="1:13" ht="19.5" hidden="1" customHeight="1">
      <c r="A157" s="716" t="e">
        <f>#REF!</f>
        <v>#REF!</v>
      </c>
      <c r="B157" s="716"/>
      <c r="C157" s="716"/>
      <c r="D157" s="716"/>
      <c r="E157" s="716"/>
      <c r="F157" s="716"/>
      <c r="G157" s="716"/>
      <c r="H157" s="716"/>
      <c r="I157" s="717" t="e">
        <f>#REF!</f>
        <v>#REF!</v>
      </c>
      <c r="J157" s="894" t="e">
        <f>#REF!</f>
        <v>#REF!</v>
      </c>
      <c r="K157" s="894"/>
      <c r="L157" s="894"/>
      <c r="M157" s="894"/>
    </row>
    <row r="158" spans="1:13" ht="19.5" hidden="1" customHeight="1">
      <c r="A158" s="716" t="e">
        <f>#REF!</f>
        <v>#REF!</v>
      </c>
      <c r="B158" s="716"/>
      <c r="C158" s="716"/>
      <c r="D158" s="716"/>
      <c r="E158" s="716"/>
      <c r="F158" s="716"/>
      <c r="G158" s="716"/>
      <c r="H158" s="716"/>
      <c r="I158" s="717" t="e">
        <f>#REF!</f>
        <v>#REF!</v>
      </c>
      <c r="J158" s="894" t="e">
        <f>#REF!</f>
        <v>#REF!</v>
      </c>
      <c r="K158" s="894"/>
      <c r="L158" s="894"/>
      <c r="M158" s="894"/>
    </row>
    <row r="159" spans="1:13" ht="19.5" hidden="1" customHeight="1">
      <c r="A159" s="716"/>
      <c r="B159" s="716"/>
      <c r="C159" s="716"/>
      <c r="D159" s="716"/>
      <c r="E159" s="716"/>
      <c r="F159" s="716"/>
      <c r="G159" s="716"/>
      <c r="H159" s="716"/>
      <c r="I159" s="715" t="e">
        <f>#REF!</f>
        <v>#REF!</v>
      </c>
      <c r="J159" s="894" t="e">
        <f>#REF!</f>
        <v>#REF!</v>
      </c>
      <c r="K159" s="894"/>
      <c r="L159" s="894"/>
      <c r="M159" s="894"/>
    </row>
    <row r="160" spans="1:13" ht="33" hidden="1" customHeight="1">
      <c r="A160" s="719" t="e">
        <f>#REF!</f>
        <v>#REF!</v>
      </c>
      <c r="B160" s="719"/>
      <c r="C160" s="719"/>
      <c r="D160" s="719"/>
      <c r="E160" s="719"/>
      <c r="F160" s="719"/>
      <c r="G160" s="719"/>
      <c r="H160" s="719"/>
      <c r="I160" s="715" t="e">
        <f>#REF!</f>
        <v>#REF!</v>
      </c>
      <c r="J160" s="894"/>
      <c r="K160" s="894"/>
      <c r="L160" s="894"/>
      <c r="M160" s="894"/>
    </row>
    <row r="161" spans="1:13" ht="19.5" hidden="1" customHeight="1">
      <c r="A161" s="716" t="e">
        <f>#REF!</f>
        <v>#REF!</v>
      </c>
      <c r="B161" s="716"/>
      <c r="C161" s="716"/>
      <c r="D161" s="716"/>
      <c r="E161" s="716"/>
      <c r="F161" s="716"/>
      <c r="G161" s="716"/>
      <c r="H161" s="716"/>
      <c r="I161" s="717" t="e">
        <f>#REF!</f>
        <v>#REF!</v>
      </c>
      <c r="J161" s="894" t="e">
        <f>#REF!</f>
        <v>#REF!</v>
      </c>
      <c r="K161" s="894"/>
      <c r="L161" s="894"/>
      <c r="M161" s="894"/>
    </row>
    <row r="162" spans="1:13" ht="19.5" hidden="1" customHeight="1">
      <c r="A162" s="716" t="e">
        <f>#REF!</f>
        <v>#REF!</v>
      </c>
      <c r="B162" s="716"/>
      <c r="C162" s="716"/>
      <c r="D162" s="716"/>
      <c r="E162" s="716"/>
      <c r="F162" s="716"/>
      <c r="G162" s="716"/>
      <c r="H162" s="716"/>
      <c r="I162" s="717" t="e">
        <f>#REF!</f>
        <v>#REF!</v>
      </c>
      <c r="J162" s="894" t="e">
        <f>#REF!</f>
        <v>#REF!</v>
      </c>
      <c r="K162" s="894"/>
      <c r="L162" s="894"/>
      <c r="M162" s="894"/>
    </row>
    <row r="163" spans="1:13" ht="19.5" hidden="1" customHeight="1">
      <c r="A163" s="716" t="e">
        <f>#REF!</f>
        <v>#REF!</v>
      </c>
      <c r="B163" s="716"/>
      <c r="C163" s="716"/>
      <c r="D163" s="716"/>
      <c r="E163" s="716"/>
      <c r="F163" s="716"/>
      <c r="G163" s="716"/>
      <c r="H163" s="716"/>
      <c r="I163" s="717" t="e">
        <f>#REF!</f>
        <v>#REF!</v>
      </c>
      <c r="J163" s="894" t="e">
        <f>#REF!</f>
        <v>#REF!</v>
      </c>
      <c r="K163" s="894"/>
      <c r="L163" s="894"/>
      <c r="M163" s="894"/>
    </row>
    <row r="164" spans="1:13" ht="19.5" hidden="1" customHeight="1">
      <c r="A164" s="716" t="e">
        <f>#REF!</f>
        <v>#REF!</v>
      </c>
      <c r="B164" s="716"/>
      <c r="C164" s="716"/>
      <c r="D164" s="716"/>
      <c r="E164" s="716"/>
      <c r="F164" s="716"/>
      <c r="G164" s="716"/>
      <c r="H164" s="716"/>
      <c r="I164" s="717" t="e">
        <f>#REF!</f>
        <v>#REF!</v>
      </c>
      <c r="J164" s="894" t="e">
        <f>#REF!</f>
        <v>#REF!</v>
      </c>
      <c r="K164" s="894"/>
      <c r="L164" s="894"/>
      <c r="M164" s="894"/>
    </row>
    <row r="165" spans="1:13" ht="19.5" hidden="1" customHeight="1">
      <c r="A165" s="716" t="e">
        <f>#REF!</f>
        <v>#REF!</v>
      </c>
      <c r="B165" s="716"/>
      <c r="C165" s="716"/>
      <c r="D165" s="716"/>
      <c r="E165" s="716"/>
      <c r="F165" s="716"/>
      <c r="G165" s="716"/>
      <c r="H165" s="716"/>
      <c r="I165" s="717" t="e">
        <f>#REF!</f>
        <v>#REF!</v>
      </c>
      <c r="J165" s="894" t="e">
        <f>#REF!</f>
        <v>#REF!</v>
      </c>
      <c r="K165" s="894"/>
      <c r="L165" s="894"/>
      <c r="M165" s="894"/>
    </row>
    <row r="166" spans="1:13" ht="19.5" hidden="1" customHeight="1">
      <c r="A166" s="716" t="e">
        <f>#REF!</f>
        <v>#REF!</v>
      </c>
      <c r="B166" s="716"/>
      <c r="C166" s="716"/>
      <c r="D166" s="716"/>
      <c r="E166" s="716"/>
      <c r="F166" s="716"/>
      <c r="G166" s="716"/>
      <c r="H166" s="716"/>
      <c r="I166" s="717" t="e">
        <f>#REF!</f>
        <v>#REF!</v>
      </c>
      <c r="J166" s="894" t="e">
        <f>#REF!</f>
        <v>#REF!</v>
      </c>
      <c r="K166" s="894"/>
      <c r="L166" s="894"/>
      <c r="M166" s="894"/>
    </row>
    <row r="167" spans="1:13" ht="19.5" hidden="1" customHeight="1">
      <c r="A167" s="716"/>
      <c r="B167" s="716"/>
      <c r="C167" s="716"/>
      <c r="D167" s="716"/>
      <c r="E167" s="716"/>
      <c r="F167" s="716"/>
      <c r="G167" s="716"/>
      <c r="H167" s="716"/>
      <c r="I167" s="715" t="e">
        <f>#REF!</f>
        <v>#REF!</v>
      </c>
      <c r="J167" s="894" t="e">
        <f>#REF!</f>
        <v>#REF!</v>
      </c>
      <c r="K167" s="894"/>
      <c r="L167" s="894"/>
      <c r="M167" s="894"/>
    </row>
    <row r="168" spans="1:13" ht="33" hidden="1" customHeight="1">
      <c r="A168" s="719" t="e">
        <f>#REF!</f>
        <v>#REF!</v>
      </c>
      <c r="B168" s="719"/>
      <c r="C168" s="719"/>
      <c r="D168" s="719"/>
      <c r="E168" s="719"/>
      <c r="F168" s="719"/>
      <c r="G168" s="719"/>
      <c r="H168" s="719"/>
      <c r="I168" s="715" t="e">
        <f>#REF!</f>
        <v>#REF!</v>
      </c>
      <c r="J168" s="894"/>
      <c r="K168" s="894"/>
      <c r="L168" s="894"/>
      <c r="M168" s="894"/>
    </row>
    <row r="169" spans="1:13" ht="33" hidden="1" customHeight="1">
      <c r="A169" s="716" t="e">
        <f>#REF!</f>
        <v>#REF!</v>
      </c>
      <c r="B169" s="716"/>
      <c r="C169" s="716"/>
      <c r="D169" s="716"/>
      <c r="E169" s="716"/>
      <c r="F169" s="716"/>
      <c r="G169" s="716"/>
      <c r="H169" s="716"/>
      <c r="I169" s="717" t="e">
        <f>#REF!</f>
        <v>#REF!</v>
      </c>
      <c r="J169" s="894" t="e">
        <f>#REF!</f>
        <v>#REF!</v>
      </c>
      <c r="K169" s="894"/>
      <c r="L169" s="894"/>
      <c r="M169" s="894"/>
    </row>
    <row r="170" spans="1:13" ht="19.5" hidden="1" customHeight="1">
      <c r="A170" s="716" t="e">
        <f>#REF!</f>
        <v>#REF!</v>
      </c>
      <c r="B170" s="716"/>
      <c r="C170" s="716"/>
      <c r="D170" s="716"/>
      <c r="E170" s="716"/>
      <c r="F170" s="716"/>
      <c r="G170" s="716"/>
      <c r="H170" s="716"/>
      <c r="I170" s="717" t="e">
        <f>#REF!</f>
        <v>#REF!</v>
      </c>
      <c r="J170" s="894" t="e">
        <f>#REF!</f>
        <v>#REF!</v>
      </c>
      <c r="K170" s="894"/>
      <c r="L170" s="894"/>
      <c r="M170" s="894"/>
    </row>
    <row r="171" spans="1:13" ht="19.5" hidden="1" customHeight="1">
      <c r="A171" s="716" t="e">
        <f>#REF!</f>
        <v>#REF!</v>
      </c>
      <c r="B171" s="716"/>
      <c r="C171" s="716"/>
      <c r="D171" s="716"/>
      <c r="E171" s="716"/>
      <c r="F171" s="716"/>
      <c r="G171" s="716"/>
      <c r="H171" s="716"/>
      <c r="I171" s="717" t="e">
        <f>#REF!</f>
        <v>#REF!</v>
      </c>
      <c r="J171" s="894" t="e">
        <f>#REF!</f>
        <v>#REF!</v>
      </c>
      <c r="K171" s="894"/>
      <c r="L171" s="894"/>
      <c r="M171" s="894"/>
    </row>
    <row r="172" spans="1:13" ht="19.5" hidden="1" customHeight="1">
      <c r="A172" s="716" t="e">
        <f>#REF!</f>
        <v>#REF!</v>
      </c>
      <c r="B172" s="716"/>
      <c r="C172" s="716"/>
      <c r="D172" s="716"/>
      <c r="E172" s="716"/>
      <c r="F172" s="716"/>
      <c r="G172" s="716"/>
      <c r="H172" s="716"/>
      <c r="I172" s="715" t="e">
        <f>#REF!</f>
        <v>#REF!</v>
      </c>
      <c r="J172" s="894" t="e">
        <f>#REF!</f>
        <v>#REF!</v>
      </c>
      <c r="K172" s="894"/>
      <c r="L172" s="894"/>
      <c r="M172" s="894"/>
    </row>
    <row r="173" spans="1:13" ht="33" hidden="1" customHeight="1">
      <c r="A173" s="719" t="e">
        <f>#REF!</f>
        <v>#REF!</v>
      </c>
      <c r="B173" s="719"/>
      <c r="C173" s="719"/>
      <c r="D173" s="719"/>
      <c r="E173" s="719"/>
      <c r="F173" s="719"/>
      <c r="G173" s="719"/>
      <c r="H173" s="719"/>
      <c r="I173" s="715" t="e">
        <f>#REF!</f>
        <v>#REF!</v>
      </c>
      <c r="J173" s="894"/>
      <c r="K173" s="894"/>
      <c r="L173" s="894"/>
      <c r="M173" s="894"/>
    </row>
    <row r="174" spans="1:13" ht="19.5" hidden="1" customHeight="1">
      <c r="A174" s="716" t="e">
        <f>#REF!</f>
        <v>#REF!</v>
      </c>
      <c r="B174" s="716"/>
      <c r="C174" s="716"/>
      <c r="D174" s="716"/>
      <c r="E174" s="716"/>
      <c r="F174" s="716"/>
      <c r="G174" s="716"/>
      <c r="H174" s="716"/>
      <c r="I174" s="717" t="e">
        <f>#REF!</f>
        <v>#REF!</v>
      </c>
      <c r="J174" s="894" t="e">
        <f>#REF!</f>
        <v>#REF!</v>
      </c>
      <c r="K174" s="894"/>
      <c r="L174" s="894"/>
      <c r="M174" s="894"/>
    </row>
    <row r="175" spans="1:13" ht="19.5" hidden="1" customHeight="1">
      <c r="A175" s="716" t="e">
        <f>#REF!</f>
        <v>#REF!</v>
      </c>
      <c r="B175" s="716"/>
      <c r="C175" s="716"/>
      <c r="D175" s="716"/>
      <c r="E175" s="716"/>
      <c r="F175" s="716"/>
      <c r="G175" s="716"/>
      <c r="H175" s="716"/>
      <c r="I175" s="717" t="e">
        <f>#REF!</f>
        <v>#REF!</v>
      </c>
      <c r="J175" s="894" t="e">
        <f>#REF!</f>
        <v>#REF!</v>
      </c>
      <c r="K175" s="894"/>
      <c r="L175" s="894"/>
      <c r="M175" s="894"/>
    </row>
    <row r="176" spans="1:13" ht="32.25" hidden="1" customHeight="1">
      <c r="A176" s="716" t="e">
        <f>#REF!</f>
        <v>#REF!</v>
      </c>
      <c r="B176" s="716"/>
      <c r="C176" s="716"/>
      <c r="D176" s="716"/>
      <c r="E176" s="716"/>
      <c r="F176" s="716"/>
      <c r="G176" s="716"/>
      <c r="H176" s="716"/>
      <c r="I176" s="717" t="e">
        <f>#REF!</f>
        <v>#REF!</v>
      </c>
      <c r="J176" s="894" t="e">
        <f>#REF!</f>
        <v>#REF!</v>
      </c>
      <c r="K176" s="894"/>
      <c r="L176" s="894"/>
      <c r="M176" s="894"/>
    </row>
    <row r="177" spans="1:100" ht="19.5" hidden="1" customHeight="1">
      <c r="A177" s="716" t="e">
        <f>#REF!</f>
        <v>#REF!</v>
      </c>
      <c r="B177" s="716"/>
      <c r="C177" s="716"/>
      <c r="D177" s="716"/>
      <c r="E177" s="716"/>
      <c r="F177" s="716"/>
      <c r="G177" s="716"/>
      <c r="H177" s="716"/>
      <c r="I177" s="717" t="e">
        <f>#REF!</f>
        <v>#REF!</v>
      </c>
      <c r="J177" s="894" t="e">
        <f>#REF!</f>
        <v>#REF!</v>
      </c>
      <c r="K177" s="894"/>
      <c r="L177" s="894"/>
      <c r="M177" s="894"/>
    </row>
    <row r="178" spans="1:100" ht="19.5" hidden="1" customHeight="1">
      <c r="A178" s="718"/>
      <c r="B178" s="718"/>
      <c r="C178" s="718"/>
      <c r="D178" s="718"/>
      <c r="E178" s="718"/>
      <c r="F178" s="718"/>
      <c r="G178" s="718"/>
      <c r="H178" s="718"/>
      <c r="I178" s="715" t="e">
        <f>#REF!</f>
        <v>#REF!</v>
      </c>
      <c r="J178" s="894" t="e">
        <f>#REF!</f>
        <v>#REF!</v>
      </c>
      <c r="K178" s="894"/>
      <c r="L178" s="894"/>
      <c r="M178" s="894"/>
    </row>
    <row r="179" spans="1:100" ht="16.5" hidden="1" customHeight="1">
      <c r="A179" s="714"/>
      <c r="B179" s="714"/>
      <c r="C179" s="714"/>
      <c r="D179" s="714"/>
      <c r="E179" s="714"/>
      <c r="F179" s="714"/>
      <c r="G179" s="714"/>
      <c r="H179" s="714"/>
      <c r="I179" s="715" t="e">
        <f>#REF!</f>
        <v>#REF!</v>
      </c>
      <c r="J179" s="894" t="e">
        <f>#REF!</f>
        <v>#REF!</v>
      </c>
      <c r="K179" s="894"/>
      <c r="L179" s="894"/>
      <c r="M179" s="894"/>
    </row>
    <row r="180" spans="1:100" ht="19.5" hidden="1" customHeight="1">
      <c r="A180" s="722"/>
      <c r="B180" s="722"/>
      <c r="C180" s="722"/>
      <c r="D180" s="722"/>
      <c r="E180" s="722"/>
      <c r="F180" s="722"/>
      <c r="G180" s="722"/>
      <c r="H180" s="722"/>
      <c r="I180" s="715" t="e">
        <f>#REF!</f>
        <v>#REF!</v>
      </c>
      <c r="J180" s="894" t="e">
        <f>#REF!</f>
        <v>#REF!</v>
      </c>
      <c r="K180" s="894"/>
      <c r="L180" s="894"/>
      <c r="M180" s="894"/>
    </row>
    <row r="181" spans="1:100" s="697" customFormat="1">
      <c r="A181" s="725"/>
      <c r="B181" s="725"/>
      <c r="C181" s="725"/>
      <c r="D181" s="725"/>
      <c r="E181" s="725"/>
      <c r="F181" s="725"/>
      <c r="G181" s="725"/>
      <c r="H181" s="725"/>
      <c r="I181" s="726"/>
      <c r="J181" s="895"/>
      <c r="K181" s="895"/>
      <c r="L181" s="895"/>
      <c r="M181" s="895"/>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1"/>
      <c r="AK181" s="661"/>
      <c r="AL181" s="661"/>
      <c r="AM181" s="661"/>
      <c r="AN181" s="661"/>
      <c r="AO181" s="661"/>
      <c r="AP181" s="661"/>
      <c r="AQ181" s="661"/>
      <c r="AR181" s="661"/>
      <c r="AS181" s="661"/>
      <c r="AT181" s="661"/>
      <c r="AU181" s="661"/>
      <c r="AV181" s="661"/>
      <c r="AW181" s="661"/>
      <c r="AX181" s="661"/>
      <c r="AY181" s="661"/>
      <c r="AZ181" s="661"/>
      <c r="BA181" s="661"/>
      <c r="BB181" s="661"/>
      <c r="BC181" s="661"/>
      <c r="BD181" s="661"/>
      <c r="BE181" s="661"/>
      <c r="BF181" s="661"/>
      <c r="BG181" s="661"/>
      <c r="BH181" s="661"/>
      <c r="BI181" s="661"/>
      <c r="BJ181" s="661"/>
      <c r="BK181" s="661"/>
      <c r="BL181" s="661"/>
      <c r="BM181" s="661"/>
      <c r="BN181" s="661"/>
      <c r="BO181" s="661"/>
      <c r="BP181" s="661"/>
      <c r="BQ181" s="661"/>
      <c r="BR181" s="661"/>
      <c r="BS181" s="661"/>
      <c r="BT181" s="661"/>
      <c r="BU181" s="661"/>
      <c r="BV181" s="661"/>
      <c r="BW181" s="661"/>
      <c r="BX181" s="661"/>
      <c r="BY181" s="661"/>
      <c r="BZ181" s="661"/>
      <c r="CA181" s="661"/>
      <c r="CB181" s="661"/>
      <c r="CC181" s="661"/>
      <c r="CD181" s="661"/>
      <c r="CE181" s="661"/>
      <c r="CF181" s="661"/>
      <c r="CG181" s="661"/>
      <c r="CH181" s="661"/>
      <c r="CI181" s="661"/>
      <c r="CJ181" s="661"/>
      <c r="CK181" s="661"/>
      <c r="CL181" s="661"/>
      <c r="CM181" s="661"/>
      <c r="CN181" s="661"/>
      <c r="CO181" s="661"/>
      <c r="CP181" s="661"/>
      <c r="CQ181" s="661"/>
      <c r="CR181" s="661"/>
      <c r="CS181" s="661"/>
      <c r="CT181" s="661"/>
      <c r="CU181" s="661"/>
      <c r="CV181" s="661"/>
    </row>
    <row r="182" spans="1:100" s="697" customFormat="1">
      <c r="A182" s="694"/>
      <c r="B182" s="694"/>
      <c r="C182" s="694"/>
      <c r="D182" s="694"/>
      <c r="E182" s="694"/>
      <c r="F182" s="694"/>
      <c r="G182" s="694"/>
      <c r="H182" s="694"/>
      <c r="I182" s="695"/>
      <c r="J182" s="696"/>
      <c r="K182" s="696"/>
      <c r="L182" s="696"/>
      <c r="M182" s="696"/>
      <c r="N182" s="661"/>
      <c r="O182" s="661"/>
      <c r="P182" s="661"/>
      <c r="Q182" s="661"/>
      <c r="R182" s="661"/>
      <c r="S182" s="661"/>
      <c r="T182" s="661"/>
      <c r="U182" s="661"/>
      <c r="V182" s="661"/>
      <c r="W182" s="661"/>
      <c r="X182" s="661"/>
      <c r="Y182" s="661"/>
      <c r="Z182" s="661"/>
      <c r="AA182" s="661"/>
      <c r="AB182" s="661"/>
      <c r="AC182" s="661"/>
      <c r="AD182" s="661"/>
      <c r="AE182" s="661"/>
      <c r="AF182" s="661"/>
      <c r="AG182" s="661"/>
      <c r="AH182" s="661"/>
      <c r="AI182" s="661"/>
      <c r="AJ182" s="661"/>
      <c r="AK182" s="661"/>
      <c r="AL182" s="661"/>
      <c r="AM182" s="661"/>
      <c r="AN182" s="661"/>
      <c r="AO182" s="661"/>
      <c r="AP182" s="661"/>
      <c r="AQ182" s="661"/>
      <c r="AR182" s="661"/>
      <c r="AS182" s="661"/>
      <c r="AT182" s="661"/>
      <c r="AU182" s="661"/>
      <c r="AV182" s="661"/>
      <c r="AW182" s="661"/>
      <c r="AX182" s="661"/>
      <c r="AY182" s="661"/>
      <c r="AZ182" s="661"/>
      <c r="BA182" s="661"/>
      <c r="BB182" s="661"/>
      <c r="BC182" s="661"/>
      <c r="BD182" s="661"/>
      <c r="BE182" s="661"/>
      <c r="BF182" s="661"/>
      <c r="BG182" s="661"/>
      <c r="BH182" s="661"/>
      <c r="BI182" s="661"/>
      <c r="BJ182" s="661"/>
      <c r="BK182" s="661"/>
      <c r="BL182" s="661"/>
      <c r="BM182" s="661"/>
      <c r="BN182" s="661"/>
      <c r="BO182" s="661"/>
      <c r="BP182" s="661"/>
      <c r="BQ182" s="661"/>
      <c r="BR182" s="661"/>
      <c r="BS182" s="661"/>
      <c r="BT182" s="661"/>
      <c r="BU182" s="661"/>
      <c r="BV182" s="661"/>
      <c r="BW182" s="661"/>
      <c r="BX182" s="661"/>
      <c r="BY182" s="661"/>
      <c r="BZ182" s="661"/>
      <c r="CA182" s="661"/>
      <c r="CB182" s="661"/>
      <c r="CC182" s="661"/>
      <c r="CD182" s="661"/>
      <c r="CE182" s="661"/>
      <c r="CF182" s="661"/>
      <c r="CG182" s="661"/>
      <c r="CH182" s="661"/>
      <c r="CI182" s="661"/>
      <c r="CJ182" s="661"/>
      <c r="CK182" s="661"/>
      <c r="CL182" s="661"/>
      <c r="CM182" s="661"/>
      <c r="CN182" s="661"/>
      <c r="CO182" s="661"/>
      <c r="CP182" s="661"/>
      <c r="CQ182" s="661"/>
      <c r="CR182" s="661"/>
      <c r="CS182" s="661"/>
      <c r="CT182" s="661"/>
      <c r="CU182" s="661"/>
      <c r="CV182" s="661"/>
    </row>
    <row r="183" spans="1:100" s="697" customFormat="1">
      <c r="A183" s="694"/>
      <c r="B183" s="694"/>
      <c r="C183" s="694"/>
      <c r="D183" s="694"/>
      <c r="E183" s="694"/>
      <c r="F183" s="694"/>
      <c r="G183" s="694"/>
      <c r="H183" s="694"/>
      <c r="I183" s="695"/>
      <c r="J183" s="696"/>
      <c r="K183" s="696"/>
      <c r="L183" s="696"/>
      <c r="M183" s="696"/>
      <c r="N183" s="661"/>
      <c r="O183" s="661"/>
      <c r="P183" s="661"/>
      <c r="Q183" s="661"/>
      <c r="R183" s="661"/>
      <c r="S183" s="661"/>
      <c r="T183" s="661"/>
      <c r="U183" s="661"/>
      <c r="V183" s="661"/>
      <c r="W183" s="661"/>
      <c r="X183" s="661"/>
      <c r="Y183" s="661"/>
      <c r="Z183" s="661"/>
      <c r="AA183" s="661"/>
      <c r="AB183" s="661"/>
      <c r="AC183" s="661"/>
      <c r="AD183" s="661"/>
      <c r="AE183" s="661"/>
      <c r="AF183" s="661"/>
      <c r="AG183" s="661"/>
      <c r="AH183" s="661"/>
      <c r="AI183" s="661"/>
      <c r="AJ183" s="661"/>
      <c r="AK183" s="661"/>
      <c r="AL183" s="661"/>
      <c r="AM183" s="661"/>
      <c r="AN183" s="661"/>
      <c r="AO183" s="661"/>
      <c r="AP183" s="661"/>
      <c r="AQ183" s="661"/>
      <c r="AR183" s="661"/>
      <c r="AS183" s="661"/>
      <c r="AT183" s="661"/>
      <c r="AU183" s="661"/>
      <c r="AV183" s="661"/>
      <c r="AW183" s="661"/>
      <c r="AX183" s="661"/>
      <c r="AY183" s="661"/>
      <c r="AZ183" s="661"/>
      <c r="BA183" s="661"/>
      <c r="BB183" s="661"/>
      <c r="BC183" s="661"/>
      <c r="BD183" s="661"/>
      <c r="BE183" s="661"/>
      <c r="BF183" s="661"/>
      <c r="BG183" s="661"/>
      <c r="BH183" s="661"/>
      <c r="BI183" s="661"/>
      <c r="BJ183" s="661"/>
      <c r="BK183" s="661"/>
      <c r="BL183" s="661"/>
      <c r="BM183" s="661"/>
      <c r="BN183" s="661"/>
      <c r="BO183" s="661"/>
      <c r="BP183" s="661"/>
      <c r="BQ183" s="661"/>
      <c r="BR183" s="661"/>
      <c r="BS183" s="661"/>
      <c r="BT183" s="661"/>
      <c r="BU183" s="661"/>
      <c r="BV183" s="661"/>
      <c r="BW183" s="661"/>
      <c r="BX183" s="661"/>
      <c r="BY183" s="661"/>
      <c r="BZ183" s="661"/>
      <c r="CA183" s="661"/>
      <c r="CB183" s="661"/>
      <c r="CC183" s="661"/>
      <c r="CD183" s="661"/>
      <c r="CE183" s="661"/>
      <c r="CF183" s="661"/>
      <c r="CG183" s="661"/>
      <c r="CH183" s="661"/>
      <c r="CI183" s="661"/>
      <c r="CJ183" s="661"/>
      <c r="CK183" s="661"/>
      <c r="CL183" s="661"/>
      <c r="CM183" s="661"/>
      <c r="CN183" s="661"/>
      <c r="CO183" s="661"/>
      <c r="CP183" s="661"/>
      <c r="CQ183" s="661"/>
      <c r="CR183" s="661"/>
      <c r="CS183" s="661"/>
      <c r="CT183" s="661"/>
      <c r="CU183" s="661"/>
      <c r="CV183" s="661"/>
    </row>
  </sheetData>
  <sheetProtection algorithmName="SHA-512" hashValue="QmP5shRc3LvxCQBFVFx1ubLSfL1ZM8J4Wj6+JYlCKj431HRr71pi0U2WrEF+9Y9qYB9hnxpdH2VJwyHAso+7kQ==" saltValue="9q/dkjidDBfa/4/VrU+4aQ==" spinCount="100000" sheet="1" formatColumns="0" formatRows="0" selectLockedCells="1"/>
  <customSheetViews>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3"/>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4"/>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5"/>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8"/>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9"/>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12"/>
    </customSheetView>
    <customSheetView guid="{C497F4E0-7D3E-4065-935D-7086BE9276FE}"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0"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5" zoomScaleNormal="70" zoomScaleSheetLayoutView="100" workbookViewId="0">
      <selection activeCell="G15" sqref="G15"/>
    </sheetView>
  </sheetViews>
  <sheetFormatPr defaultRowHeight="16.5"/>
  <cols>
    <col min="1" max="2" width="5.7109375" style="116" customWidth="1"/>
    <col min="3" max="3" width="24.7109375" style="116" customWidth="1"/>
    <col min="4" max="4" width="15.28515625" style="116" customWidth="1"/>
    <col min="5" max="5" width="28.7109375" style="116" customWidth="1"/>
    <col min="6" max="6" width="14.7109375" style="116" customWidth="1"/>
    <col min="7" max="7" width="19.5703125" style="116" customWidth="1"/>
    <col min="8" max="8" width="23.7109375" style="104" hidden="1" customWidth="1"/>
    <col min="9" max="9" width="18" style="105" hidden="1" customWidth="1"/>
    <col min="10" max="10" width="16.85546875" style="106" hidden="1" customWidth="1"/>
    <col min="11" max="11" width="14.5703125" style="106" hidden="1" customWidth="1"/>
    <col min="12" max="12" width="18.5703125" style="106" hidden="1" customWidth="1"/>
    <col min="13" max="13" width="16.28515625" style="106" customWidth="1"/>
    <col min="14" max="14" width="39.7109375" style="106" customWidth="1"/>
    <col min="15" max="15" width="24.28515625" style="106" customWidth="1"/>
    <col min="16" max="17" width="16.28515625" style="106" customWidth="1"/>
    <col min="18" max="19" width="10.28515625" style="107" customWidth="1"/>
    <col min="20" max="20" width="9.140625" style="107" customWidth="1"/>
    <col min="21" max="21" width="9.140625" style="108" customWidth="1"/>
    <col min="22" max="23" width="9.140625" style="108"/>
    <col min="24" max="25" width="9.140625" style="109"/>
    <col min="26" max="16384" width="9.140625" style="110"/>
  </cols>
  <sheetData>
    <row r="1" spans="1:25" s="102" customFormat="1" ht="39.950000000000003" customHeight="1">
      <c r="A1" s="934" t="s">
        <v>155</v>
      </c>
      <c r="B1" s="934"/>
      <c r="C1" s="934"/>
      <c r="D1" s="934"/>
      <c r="E1" s="934"/>
      <c r="F1" s="934"/>
      <c r="G1" s="934"/>
      <c r="H1" s="97"/>
      <c r="I1" s="98"/>
      <c r="J1" s="99"/>
      <c r="K1" s="99"/>
      <c r="L1" s="99"/>
      <c r="M1" s="99"/>
      <c r="N1" s="99"/>
      <c r="O1" s="99"/>
      <c r="P1" s="99"/>
      <c r="Q1" s="99"/>
      <c r="R1" s="99"/>
      <c r="S1" s="99"/>
      <c r="T1" s="99"/>
      <c r="U1" s="100"/>
      <c r="V1" s="100"/>
      <c r="W1" s="100"/>
      <c r="X1" s="101"/>
      <c r="Y1" s="101"/>
    </row>
    <row r="2" spans="1:25" ht="18" customHeight="1">
      <c r="A2" s="68" t="str">
        <f>Cover!B3</f>
        <v>NR2/NT/W-MISC/DOM/J01/25/07157</v>
      </c>
      <c r="B2" s="68"/>
      <c r="C2" s="69"/>
      <c r="D2" s="103"/>
      <c r="E2" s="103"/>
      <c r="F2" s="103"/>
      <c r="G2" s="71" t="s">
        <v>156</v>
      </c>
    </row>
    <row r="3" spans="1:25" ht="12.75" customHeight="1">
      <c r="A3" s="72"/>
      <c r="B3" s="72"/>
      <c r="C3" s="73"/>
      <c r="D3" s="92"/>
      <c r="E3" s="92"/>
      <c r="F3" s="92"/>
      <c r="G3" s="74"/>
    </row>
    <row r="4" spans="1:25" ht="18.95" customHeight="1">
      <c r="A4" s="935" t="s">
        <v>157</v>
      </c>
      <c r="B4" s="935"/>
      <c r="C4" s="935"/>
      <c r="D4" s="935"/>
      <c r="E4" s="935"/>
      <c r="F4" s="935"/>
      <c r="G4" s="935"/>
    </row>
    <row r="5" spans="1:25" ht="21" customHeight="1">
      <c r="A5" s="733" t="s">
        <v>1</v>
      </c>
      <c r="B5" s="733"/>
      <c r="C5" s="734"/>
      <c r="D5" s="734"/>
      <c r="E5" s="734"/>
      <c r="F5" s="111"/>
      <c r="G5" s="111"/>
    </row>
    <row r="6" spans="1:25" ht="21" customHeight="1">
      <c r="A6" s="735" t="s">
        <v>2</v>
      </c>
      <c r="B6" s="735"/>
      <c r="C6" s="734"/>
      <c r="D6" s="734"/>
      <c r="E6" s="734"/>
      <c r="F6" s="111"/>
      <c r="G6" s="111"/>
      <c r="I6" s="352" t="s">
        <v>222</v>
      </c>
      <c r="J6" s="424">
        <f>'Sch-1'!N74</f>
        <v>0</v>
      </c>
      <c r="K6" s="351"/>
      <c r="L6" s="283"/>
    </row>
    <row r="7" spans="1:25" ht="21" customHeight="1">
      <c r="A7" s="735" t="s">
        <v>3</v>
      </c>
      <c r="B7" s="735"/>
      <c r="C7" s="734"/>
      <c r="D7" s="734"/>
      <c r="E7" s="734"/>
      <c r="F7" s="111"/>
      <c r="G7" s="111"/>
      <c r="I7" s="352" t="s">
        <v>224</v>
      </c>
      <c r="J7" s="424">
        <f>'Sch-2'!J74</f>
        <v>0</v>
      </c>
      <c r="K7" s="351"/>
    </row>
    <row r="8" spans="1:25" ht="21" customHeight="1">
      <c r="A8" s="735" t="str">
        <f>'Sch-1'!K10</f>
        <v>Northern Region Transmission System-II</v>
      </c>
      <c r="B8" s="735"/>
      <c r="C8" s="734"/>
      <c r="D8" s="734"/>
      <c r="E8" s="734"/>
      <c r="F8" s="111"/>
      <c r="G8" s="111"/>
      <c r="I8" s="352" t="s">
        <v>225</v>
      </c>
      <c r="J8" s="424">
        <f>'Sch-3'!P89</f>
        <v>0</v>
      </c>
      <c r="K8" s="351"/>
    </row>
    <row r="9" spans="1:25" ht="21" customHeight="1">
      <c r="A9" s="735" t="str">
        <f>'Sch-1'!K11</f>
        <v>Regional Head Quarters, Grid Bhawan, OB-26</v>
      </c>
      <c r="B9" s="735"/>
      <c r="C9" s="734"/>
      <c r="D9" s="734"/>
      <c r="E9" s="734"/>
      <c r="F9" s="111"/>
      <c r="G9" s="111"/>
      <c r="I9" s="353" t="s">
        <v>185</v>
      </c>
      <c r="J9" s="425">
        <f>J6+J7+J8</f>
        <v>0</v>
      </c>
      <c r="K9" s="351"/>
    </row>
    <row r="10" spans="1:25" ht="21" customHeight="1">
      <c r="A10" s="735" t="str">
        <f>'Sch-1'!K12</f>
        <v>Rail Head Complex, Jammu-180 012 (J&amp;K)</v>
      </c>
      <c r="B10" s="735"/>
      <c r="C10" s="734"/>
      <c r="D10" s="734"/>
      <c r="E10" s="734"/>
      <c r="F10" s="111"/>
      <c r="G10" s="111"/>
      <c r="J10" s="282"/>
    </row>
    <row r="11" spans="1:25" ht="14.25" customHeight="1">
      <c r="A11" s="734"/>
      <c r="B11" s="734"/>
      <c r="C11" s="734"/>
      <c r="D11" s="734"/>
      <c r="E11" s="734"/>
      <c r="F11" s="111"/>
      <c r="G11" s="111"/>
    </row>
    <row r="12" spans="1:25" ht="100.5" customHeight="1">
      <c r="A12" s="112" t="s">
        <v>158</v>
      </c>
      <c r="B12" s="301"/>
      <c r="C12" s="936" t="str">
        <f>Cover!$B$2</f>
        <v xml:space="preserve"> Substation extension package (AIS) for augmentation of transformation capacity at 400/220kV Samba (PG) Substation in Jammu &amp; Kashmir by 1x500MVA 400/220kV ICT (4th).</v>
      </c>
      <c r="D12" s="936"/>
      <c r="E12" s="936"/>
      <c r="F12" s="936"/>
      <c r="G12" s="936"/>
      <c r="J12" s="283"/>
    </row>
    <row r="13" spans="1:25" ht="21" customHeight="1" thickBot="1">
      <c r="A13" s="113" t="s">
        <v>159</v>
      </c>
      <c r="B13" s="113"/>
      <c r="C13" s="114"/>
      <c r="D13" s="113"/>
      <c r="E13" s="113"/>
      <c r="F13" s="113"/>
      <c r="G13" s="113"/>
      <c r="H13" s="281"/>
      <c r="K13" s="122"/>
      <c r="L13" s="122"/>
      <c r="M13" s="122"/>
    </row>
    <row r="14" spans="1:25" ht="41.25" customHeight="1" thickBot="1">
      <c r="A14" s="937" t="s">
        <v>160</v>
      </c>
      <c r="B14" s="937"/>
      <c r="C14" s="937"/>
      <c r="D14" s="937"/>
      <c r="E14" s="937"/>
      <c r="F14" s="937"/>
      <c r="G14" s="937"/>
      <c r="H14" s="354" t="s">
        <v>319</v>
      </c>
      <c r="I14" s="354" t="s">
        <v>320</v>
      </c>
      <c r="J14" s="355" t="s">
        <v>321</v>
      </c>
      <c r="K14" s="122"/>
      <c r="L14" s="122"/>
      <c r="M14" s="122"/>
      <c r="N14" s="115"/>
    </row>
    <row r="15" spans="1:25" ht="56.25" customHeight="1">
      <c r="B15" s="117">
        <v>1</v>
      </c>
      <c r="C15" s="941" t="s">
        <v>312</v>
      </c>
      <c r="D15" s="939"/>
      <c r="E15" s="939"/>
      <c r="F15" s="940"/>
      <c r="G15" s="118"/>
      <c r="H15" s="402">
        <f>IF(J6=0,0,(G15/J9)*J6)</f>
        <v>0</v>
      </c>
      <c r="I15" s="403">
        <f>IF(J7=0,0,(G15/J9)*J7)</f>
        <v>0</v>
      </c>
      <c r="J15" s="402">
        <f>IF(J8,(G15/J9)*J8,0)</f>
        <v>0</v>
      </c>
      <c r="K15" s="122"/>
      <c r="L15" s="122"/>
      <c r="M15" s="122"/>
    </row>
    <row r="16" spans="1:25" ht="55.5" customHeight="1">
      <c r="B16" s="117">
        <v>2</v>
      </c>
      <c r="C16" s="938" t="s">
        <v>462</v>
      </c>
      <c r="D16" s="939"/>
      <c r="E16" s="939"/>
      <c r="F16" s="940"/>
      <c r="G16" s="119"/>
      <c r="H16" s="404">
        <f>G16*J6</f>
        <v>0</v>
      </c>
      <c r="I16" s="405">
        <f>G16*J7</f>
        <v>0</v>
      </c>
      <c r="J16" s="404">
        <f>G16*J8</f>
        <v>0</v>
      </c>
      <c r="K16" s="122"/>
      <c r="L16" s="122"/>
      <c r="M16" s="122"/>
    </row>
    <row r="17" spans="1:25" s="120" customFormat="1" ht="39.75" customHeight="1" thickBot="1">
      <c r="B17" s="121">
        <v>3</v>
      </c>
      <c r="C17" s="931" t="s">
        <v>161</v>
      </c>
      <c r="D17" s="932"/>
      <c r="E17" s="932"/>
      <c r="F17" s="933"/>
      <c r="G17" s="278"/>
      <c r="H17" s="404"/>
      <c r="I17" s="404"/>
      <c r="J17" s="404"/>
      <c r="K17" s="122"/>
      <c r="L17" s="122"/>
      <c r="M17" s="122"/>
      <c r="N17" s="122"/>
      <c r="O17" s="122"/>
      <c r="P17" s="122"/>
      <c r="Q17" s="122"/>
      <c r="R17" s="123"/>
      <c r="S17" s="123"/>
      <c r="T17" s="123"/>
      <c r="U17" s="124"/>
      <c r="V17" s="124"/>
      <c r="W17" s="124"/>
      <c r="X17" s="125"/>
      <c r="Y17" s="125"/>
    </row>
    <row r="18" spans="1:25" s="120" customFormat="1" ht="21" customHeight="1" thickBot="1">
      <c r="B18" s="126"/>
      <c r="C18" s="927" t="s">
        <v>313</v>
      </c>
      <c r="D18" s="928"/>
      <c r="E18" s="928"/>
      <c r="F18" s="127" t="s">
        <v>162</v>
      </c>
      <c r="G18" s="279"/>
      <c r="H18" s="406">
        <f>G18</f>
        <v>0</v>
      </c>
      <c r="I18" s="407"/>
      <c r="J18" s="404"/>
      <c r="K18" s="122"/>
      <c r="L18" s="122"/>
      <c r="M18" s="122"/>
      <c r="N18" s="129"/>
      <c r="O18" s="128"/>
      <c r="P18" s="122"/>
      <c r="Q18" s="122"/>
      <c r="R18" s="123"/>
      <c r="S18" s="123"/>
      <c r="T18" s="123"/>
      <c r="U18" s="124"/>
      <c r="V18" s="124"/>
      <c r="W18" s="124"/>
      <c r="X18" s="125"/>
      <c r="Y18" s="125"/>
    </row>
    <row r="19" spans="1:25" s="120" customFormat="1" ht="33" customHeight="1" thickBot="1">
      <c r="B19" s="126"/>
      <c r="C19" s="920" t="s">
        <v>337</v>
      </c>
      <c r="D19" s="921"/>
      <c r="E19" s="921"/>
      <c r="F19" s="127" t="s">
        <v>162</v>
      </c>
      <c r="G19" s="279"/>
      <c r="H19" s="408"/>
      <c r="I19" s="406">
        <f>G19</f>
        <v>0</v>
      </c>
      <c r="J19" s="409"/>
      <c r="K19" s="122"/>
      <c r="L19" s="122"/>
      <c r="M19" s="122"/>
      <c r="N19" s="129"/>
      <c r="O19" s="128"/>
      <c r="P19" s="122"/>
      <c r="Q19" s="122"/>
      <c r="R19" s="123"/>
      <c r="S19" s="123"/>
      <c r="T19" s="123"/>
      <c r="U19" s="124"/>
      <c r="V19" s="124"/>
      <c r="W19" s="124"/>
      <c r="X19" s="125"/>
      <c r="Y19" s="125"/>
    </row>
    <row r="20" spans="1:25" s="120" customFormat="1" ht="21" customHeight="1" thickBot="1">
      <c r="B20" s="126"/>
      <c r="C20" s="927" t="s">
        <v>314</v>
      </c>
      <c r="D20" s="928"/>
      <c r="E20" s="928"/>
      <c r="F20" s="127" t="s">
        <v>162</v>
      </c>
      <c r="G20" s="279"/>
      <c r="H20" s="404"/>
      <c r="I20" s="403"/>
      <c r="J20" s="406">
        <f>G20</f>
        <v>0</v>
      </c>
      <c r="K20" s="122"/>
      <c r="L20" s="122"/>
      <c r="M20" s="122"/>
      <c r="N20" s="129"/>
      <c r="O20" s="128"/>
      <c r="P20" s="122"/>
      <c r="Q20" s="122"/>
      <c r="R20" s="123"/>
      <c r="S20" s="123"/>
      <c r="T20" s="123"/>
      <c r="U20" s="124"/>
      <c r="V20" s="124"/>
      <c r="W20" s="124"/>
      <c r="X20" s="125"/>
      <c r="Y20" s="125"/>
    </row>
    <row r="21" spans="1:25" s="120" customFormat="1" ht="21" hidden="1" customHeight="1">
      <c r="B21" s="126"/>
      <c r="C21" s="927" t="s">
        <v>315</v>
      </c>
      <c r="D21" s="928"/>
      <c r="E21" s="928"/>
      <c r="F21" s="127" t="s">
        <v>162</v>
      </c>
      <c r="G21" s="284"/>
      <c r="H21" s="404"/>
      <c r="I21" s="405"/>
      <c r="J21" s="402"/>
      <c r="K21" s="122"/>
      <c r="L21" s="122"/>
      <c r="M21" s="122"/>
      <c r="N21" s="129"/>
      <c r="O21" s="128"/>
      <c r="P21" s="122"/>
      <c r="Q21" s="122"/>
      <c r="R21" s="123"/>
      <c r="S21" s="123"/>
      <c r="T21" s="123"/>
      <c r="U21" s="124"/>
      <c r="V21" s="124"/>
      <c r="W21" s="124"/>
      <c r="X21" s="125"/>
      <c r="Y21" s="125"/>
    </row>
    <row r="22" spans="1:25" s="120" customFormat="1" ht="21" hidden="1" customHeight="1">
      <c r="B22" s="130"/>
      <c r="C22" s="927" t="s">
        <v>163</v>
      </c>
      <c r="D22" s="928"/>
      <c r="E22" s="928"/>
      <c r="F22" s="131" t="s">
        <v>162</v>
      </c>
      <c r="G22" s="284"/>
      <c r="H22" s="404"/>
      <c r="I22" s="405"/>
      <c r="J22" s="404"/>
      <c r="K22" s="122"/>
      <c r="L22" s="122"/>
      <c r="M22" s="122"/>
      <c r="N22" s="129"/>
      <c r="O22" s="128"/>
      <c r="P22" s="122"/>
      <c r="Q22" s="122"/>
      <c r="R22" s="123"/>
      <c r="S22" s="123"/>
      <c r="T22" s="123"/>
      <c r="U22" s="124"/>
      <c r="V22" s="124"/>
      <c r="W22" s="124"/>
      <c r="X22" s="125"/>
      <c r="Y22" s="125"/>
    </row>
    <row r="23" spans="1:25" s="120" customFormat="1" ht="54.95" customHeight="1" thickBot="1">
      <c r="B23" s="121">
        <v>4</v>
      </c>
      <c r="C23" s="916" t="s">
        <v>463</v>
      </c>
      <c r="D23" s="917"/>
      <c r="E23" s="917"/>
      <c r="F23" s="918"/>
      <c r="G23" s="278"/>
      <c r="H23" s="410"/>
      <c r="I23" s="405"/>
      <c r="J23" s="404"/>
      <c r="K23" s="122"/>
      <c r="L23" s="122"/>
      <c r="M23" s="122"/>
      <c r="N23" s="122"/>
      <c r="O23" s="122"/>
      <c r="P23" s="122"/>
      <c r="Q23" s="122"/>
      <c r="R23" s="123"/>
      <c r="S23" s="123"/>
      <c r="T23" s="123"/>
      <c r="U23" s="124"/>
      <c r="V23" s="124"/>
      <c r="W23" s="124"/>
      <c r="X23" s="125"/>
      <c r="Y23" s="125"/>
    </row>
    <row r="24" spans="1:25" s="120" customFormat="1" ht="21" customHeight="1" thickBot="1">
      <c r="A24" s="132"/>
      <c r="B24" s="126"/>
      <c r="C24" s="927" t="s">
        <v>313</v>
      </c>
      <c r="D24" s="928"/>
      <c r="E24" s="928"/>
      <c r="F24" s="127" t="s">
        <v>164</v>
      </c>
      <c r="G24" s="280"/>
      <c r="H24" s="411">
        <f>G24*J6</f>
        <v>0</v>
      </c>
      <c r="I24" s="407"/>
      <c r="J24" s="404"/>
      <c r="K24" s="122"/>
      <c r="L24" s="122"/>
      <c r="M24" s="122"/>
      <c r="N24" s="122"/>
      <c r="O24" s="122"/>
      <c r="P24" s="122"/>
      <c r="Q24" s="122"/>
      <c r="R24" s="123"/>
      <c r="S24" s="123"/>
      <c r="T24" s="123"/>
      <c r="U24" s="124"/>
      <c r="V24" s="124"/>
      <c r="W24" s="124"/>
      <c r="X24" s="125"/>
      <c r="Y24" s="125"/>
    </row>
    <row r="25" spans="1:25" s="120" customFormat="1" ht="33.75" customHeight="1" thickBot="1">
      <c r="A25" s="132"/>
      <c r="B25" s="126"/>
      <c r="C25" s="922" t="s">
        <v>337</v>
      </c>
      <c r="D25" s="923"/>
      <c r="E25" s="923"/>
      <c r="F25" s="127" t="s">
        <v>164</v>
      </c>
      <c r="G25" s="280"/>
      <c r="H25" s="412"/>
      <c r="I25" s="406">
        <f>G25*J7</f>
        <v>0</v>
      </c>
      <c r="J25" s="409"/>
      <c r="K25" s="122"/>
      <c r="L25" s="122"/>
      <c r="M25" s="122"/>
      <c r="N25" s="122"/>
      <c r="O25" s="122"/>
      <c r="P25" s="122"/>
      <c r="Q25" s="122"/>
      <c r="R25" s="123"/>
      <c r="S25" s="123"/>
      <c r="T25" s="123"/>
      <c r="U25" s="124"/>
      <c r="V25" s="124"/>
      <c r="W25" s="124"/>
      <c r="X25" s="125"/>
      <c r="Y25" s="125"/>
    </row>
    <row r="26" spans="1:25" s="120" customFormat="1" ht="21" customHeight="1" thickBot="1">
      <c r="A26" s="132"/>
      <c r="B26" s="126"/>
      <c r="C26" s="927" t="s">
        <v>314</v>
      </c>
      <c r="D26" s="928"/>
      <c r="E26" s="928"/>
      <c r="F26" s="127" t="s">
        <v>164</v>
      </c>
      <c r="G26" s="280"/>
      <c r="H26" s="410"/>
      <c r="I26" s="403"/>
      <c r="J26" s="406">
        <f>G26*J8</f>
        <v>0</v>
      </c>
      <c r="K26" s="122"/>
      <c r="L26" s="122"/>
      <c r="M26" s="122"/>
      <c r="N26" s="122"/>
      <c r="O26" s="122"/>
      <c r="P26" s="122"/>
      <c r="Q26" s="122"/>
      <c r="R26" s="123"/>
      <c r="S26" s="123"/>
      <c r="T26" s="123"/>
      <c r="U26" s="124"/>
      <c r="V26" s="124"/>
      <c r="W26" s="124"/>
      <c r="X26" s="125"/>
      <c r="Y26" s="125"/>
    </row>
    <row r="27" spans="1:25" s="120" customFormat="1" ht="21" hidden="1" customHeight="1">
      <c r="A27" s="132"/>
      <c r="B27" s="126"/>
      <c r="C27" s="927" t="s">
        <v>315</v>
      </c>
      <c r="D27" s="928"/>
      <c r="E27" s="928"/>
      <c r="F27" s="127" t="s">
        <v>164</v>
      </c>
      <c r="G27" s="285"/>
      <c r="H27" s="410"/>
      <c r="I27" s="405"/>
      <c r="J27" s="402"/>
      <c r="K27" s="122"/>
      <c r="L27" s="122"/>
      <c r="M27" s="122"/>
      <c r="N27" s="122"/>
      <c r="O27" s="122"/>
      <c r="P27" s="122"/>
      <c r="Q27" s="122"/>
      <c r="R27" s="123"/>
      <c r="S27" s="123"/>
      <c r="T27" s="123"/>
      <c r="U27" s="124"/>
      <c r="V27" s="124"/>
      <c r="W27" s="124"/>
      <c r="X27" s="125"/>
      <c r="Y27" s="125"/>
    </row>
    <row r="28" spans="1:25" s="120" customFormat="1" ht="21" hidden="1" customHeight="1">
      <c r="A28" s="132"/>
      <c r="B28" s="130"/>
      <c r="C28" s="929" t="s">
        <v>163</v>
      </c>
      <c r="D28" s="930"/>
      <c r="E28" s="930"/>
      <c r="F28" s="131" t="s">
        <v>164</v>
      </c>
      <c r="G28" s="285"/>
      <c r="H28" s="410"/>
      <c r="I28" s="405"/>
      <c r="J28" s="404"/>
      <c r="K28" s="122"/>
      <c r="L28" s="122"/>
      <c r="M28" s="122"/>
      <c r="N28" s="122"/>
      <c r="O28" s="122"/>
      <c r="P28" s="122"/>
      <c r="Q28" s="122"/>
      <c r="R28" s="123"/>
      <c r="S28" s="123"/>
      <c r="T28" s="123"/>
      <c r="U28" s="124"/>
      <c r="V28" s="124"/>
      <c r="W28" s="124"/>
      <c r="X28" s="125"/>
      <c r="Y28" s="125"/>
    </row>
    <row r="29" spans="1:25" s="120" customFormat="1" hidden="1">
      <c r="A29" s="132"/>
      <c r="B29" s="133"/>
      <c r="C29" s="914" t="s">
        <v>165</v>
      </c>
      <c r="D29" s="915"/>
      <c r="E29" s="915"/>
      <c r="F29" s="915"/>
      <c r="G29" s="915"/>
      <c r="H29" s="413"/>
      <c r="I29" s="413"/>
      <c r="J29" s="413"/>
      <c r="K29" s="122"/>
      <c r="L29" s="122"/>
      <c r="M29" s="122"/>
      <c r="N29" s="122"/>
      <c r="O29" s="122"/>
      <c r="P29" s="122"/>
      <c r="Q29" s="122"/>
      <c r="R29" s="123"/>
      <c r="S29" s="123"/>
      <c r="T29" s="123"/>
      <c r="U29" s="124"/>
      <c r="V29" s="124"/>
      <c r="W29" s="124"/>
      <c r="X29" s="125"/>
      <c r="Y29" s="125"/>
    </row>
    <row r="30" spans="1:25" s="120" customFormat="1" ht="48.75" hidden="1" customHeight="1">
      <c r="A30" s="132"/>
      <c r="B30" s="134">
        <v>5</v>
      </c>
      <c r="C30" s="924" t="s">
        <v>166</v>
      </c>
      <c r="D30" s="924"/>
      <c r="E30" s="924"/>
      <c r="F30" s="924"/>
      <c r="G30" s="924"/>
      <c r="H30" s="414"/>
      <c r="I30" s="414"/>
      <c r="J30" s="414"/>
      <c r="K30" s="122"/>
      <c r="L30" s="122"/>
      <c r="M30" s="122"/>
      <c r="N30" s="122"/>
      <c r="O30" s="122"/>
      <c r="P30" s="122"/>
      <c r="Q30" s="122"/>
      <c r="R30" s="123"/>
      <c r="S30" s="123"/>
      <c r="T30" s="123"/>
      <c r="U30" s="124"/>
      <c r="V30" s="124"/>
      <c r="W30" s="124"/>
      <c r="X30" s="125"/>
      <c r="Y30" s="125"/>
    </row>
    <row r="31" spans="1:25" s="120" customFormat="1" ht="48.75" hidden="1" customHeight="1">
      <c r="A31" s="132"/>
      <c r="B31" s="925"/>
      <c r="C31" s="925"/>
      <c r="D31" s="925"/>
      <c r="E31" s="925"/>
      <c r="F31" s="925"/>
      <c r="G31" s="925"/>
      <c r="H31" s="415">
        <f>SUM(H15:H28)</f>
        <v>0</v>
      </c>
      <c r="I31" s="415">
        <f>SUM(I15:I28)</f>
        <v>0</v>
      </c>
      <c r="J31" s="415">
        <f>SUM(J15:J28)</f>
        <v>0</v>
      </c>
      <c r="K31" s="122">
        <f>SUM(K15:K28)</f>
        <v>0</v>
      </c>
      <c r="L31" s="122">
        <f>SUM(L15:L28)</f>
        <v>0</v>
      </c>
      <c r="M31" s="122"/>
      <c r="N31" s="122"/>
      <c r="O31" s="122"/>
      <c r="P31" s="122"/>
      <c r="Q31" s="122"/>
      <c r="R31" s="123"/>
      <c r="S31" s="123"/>
      <c r="T31" s="123"/>
      <c r="U31" s="124"/>
      <c r="V31" s="124"/>
      <c r="W31" s="124"/>
      <c r="X31" s="125"/>
      <c r="Y31" s="125"/>
    </row>
    <row r="32" spans="1:25" s="120" customFormat="1" ht="48.75" hidden="1" customHeight="1">
      <c r="A32" s="132"/>
      <c r="B32" s="135"/>
      <c r="C32" s="924" t="s">
        <v>167</v>
      </c>
      <c r="D32" s="926"/>
      <c r="E32" s="926"/>
      <c r="F32" s="926"/>
      <c r="G32" s="926"/>
      <c r="H32" s="416" t="e">
        <f>(1-(H31/I2))</f>
        <v>#DIV/0!</v>
      </c>
      <c r="I32" s="416" t="e">
        <f>(1-(I31/I3))</f>
        <v>#DIV/0!</v>
      </c>
      <c r="J32" s="417" t="e">
        <f>1-(J31/I4)</f>
        <v>#DIV/0!</v>
      </c>
      <c r="K32" s="122" t="e">
        <f>1-(K31/I5)</f>
        <v>#DIV/0!</v>
      </c>
      <c r="L32" s="122" t="e">
        <f>1-(L31/#REF!)</f>
        <v>#REF!</v>
      </c>
      <c r="M32" s="122"/>
      <c r="N32" s="122"/>
      <c r="O32" s="122"/>
      <c r="P32" s="122"/>
      <c r="Q32" s="122"/>
      <c r="R32" s="123"/>
      <c r="S32" s="123"/>
      <c r="T32" s="123"/>
      <c r="U32" s="124"/>
      <c r="V32" s="124"/>
      <c r="W32" s="124"/>
      <c r="X32" s="125"/>
      <c r="Y32" s="125"/>
    </row>
    <row r="33" spans="1:25" s="120" customFormat="1" ht="39" customHeight="1">
      <c r="A33" s="919" t="s">
        <v>316</v>
      </c>
      <c r="B33" s="919"/>
      <c r="C33" s="919"/>
      <c r="D33" s="919"/>
      <c r="E33" s="919"/>
      <c r="F33" s="919"/>
      <c r="G33" s="919"/>
      <c r="H33" s="418"/>
      <c r="I33" s="418"/>
      <c r="J33" s="418"/>
      <c r="K33" s="122"/>
      <c r="L33" s="122"/>
      <c r="M33" s="122"/>
      <c r="N33" s="122"/>
      <c r="O33" s="122"/>
      <c r="P33" s="122"/>
      <c r="Q33" s="122"/>
      <c r="R33" s="123"/>
      <c r="S33" s="123"/>
      <c r="T33" s="123"/>
      <c r="U33" s="124"/>
      <c r="V33" s="124"/>
      <c r="W33" s="124"/>
      <c r="X33" s="125"/>
      <c r="Y33" s="125"/>
    </row>
    <row r="34" spans="1:25" s="120" customFormat="1" ht="31.5" customHeight="1" thickBot="1">
      <c r="A34" s="113" t="s">
        <v>168</v>
      </c>
      <c r="B34" s="135"/>
      <c r="C34" s="136"/>
      <c r="E34" s="137"/>
      <c r="F34" s="137"/>
      <c r="G34" s="138"/>
      <c r="H34" s="418"/>
      <c r="I34" s="418"/>
      <c r="J34" s="418"/>
      <c r="K34" s="122"/>
      <c r="L34" s="122"/>
      <c r="M34" s="122"/>
      <c r="N34" s="122"/>
      <c r="O34" s="122"/>
      <c r="P34" s="122"/>
      <c r="Q34" s="122"/>
      <c r="R34" s="123"/>
      <c r="S34" s="123"/>
      <c r="T34" s="123"/>
      <c r="U34" s="124"/>
      <c r="V34" s="124"/>
      <c r="W34" s="124"/>
      <c r="X34" s="125"/>
      <c r="Y34" s="125"/>
    </row>
    <row r="35" spans="1:25" s="120" customFormat="1" ht="21" customHeight="1" thickBot="1">
      <c r="A35" s="74" t="s">
        <v>169</v>
      </c>
      <c r="B35" s="135"/>
      <c r="C35" s="136"/>
      <c r="E35" s="137"/>
      <c r="F35" s="137"/>
      <c r="G35" s="138"/>
      <c r="H35" s="419">
        <f>SUM(H15:H26)</f>
        <v>0</v>
      </c>
      <c r="I35" s="420">
        <f>SUM(I15:I26)</f>
        <v>0</v>
      </c>
      <c r="J35" s="421">
        <f>SUM(J15:J26)</f>
        <v>0</v>
      </c>
      <c r="K35" s="286"/>
      <c r="L35" s="122"/>
      <c r="M35" s="122"/>
      <c r="N35" s="122"/>
      <c r="O35" s="122"/>
      <c r="P35" s="122"/>
      <c r="Q35" s="122"/>
      <c r="R35" s="123"/>
      <c r="S35" s="123"/>
      <c r="T35" s="123"/>
      <c r="U35" s="124"/>
      <c r="V35" s="124"/>
      <c r="W35" s="124"/>
      <c r="X35" s="125"/>
      <c r="Y35" s="125"/>
    </row>
    <row r="36" spans="1:25" ht="19.5" customHeight="1" thickBot="1">
      <c r="A36" s="139"/>
      <c r="B36" s="139"/>
      <c r="C36" s="140"/>
      <c r="D36" s="73"/>
      <c r="E36" s="74"/>
      <c r="F36" s="74"/>
      <c r="G36" s="91" t="s">
        <v>170</v>
      </c>
      <c r="H36" s="357">
        <f>IF(J6=0,0,1-(H35/J6))</f>
        <v>0</v>
      </c>
      <c r="I36" s="357">
        <f>IF(J7=0,0,1-(I35/J7))</f>
        <v>0</v>
      </c>
      <c r="J36" s="358">
        <f>IF(J8=0,0,1-(J35/J8))</f>
        <v>0</v>
      </c>
      <c r="K36" s="343" t="s">
        <v>338</v>
      </c>
    </row>
    <row r="37" spans="1:25" ht="19.5" customHeight="1">
      <c r="A37" s="139"/>
      <c r="B37" s="139"/>
      <c r="C37" s="140"/>
      <c r="D37" s="73"/>
      <c r="E37" s="74"/>
      <c r="F37" s="74"/>
      <c r="G37" s="91" t="str">
        <f>"For and on behalf of "</f>
        <v xml:space="preserve">For and on behalf of </v>
      </c>
      <c r="H37" s="106"/>
    </row>
    <row r="38" spans="1:25" ht="19.5" customHeight="1">
      <c r="A38" s="141"/>
      <c r="B38" s="141"/>
      <c r="C38" s="141"/>
      <c r="D38" s="142"/>
      <c r="E38" s="143"/>
      <c r="F38" s="143"/>
      <c r="G38" s="110"/>
      <c r="H38" s="144"/>
    </row>
    <row r="39" spans="1:25" ht="23.25" customHeight="1">
      <c r="A39" s="145" t="s">
        <v>171</v>
      </c>
      <c r="B39" s="145"/>
      <c r="C39" s="368" t="str">
        <f>'Sch-7'!C21:D21</f>
        <v xml:space="preserve">  </v>
      </c>
      <c r="D39" s="142"/>
      <c r="E39" s="143" t="s">
        <v>172</v>
      </c>
      <c r="F39" s="422">
        <f>'Names of Bidder'!C19</f>
        <v>0</v>
      </c>
      <c r="G39" s="423"/>
      <c r="H39" s="283"/>
    </row>
    <row r="40" spans="1:25" ht="23.25" customHeight="1">
      <c r="A40" s="145" t="s">
        <v>173</v>
      </c>
      <c r="B40" s="145"/>
      <c r="C40" s="369" t="str">
        <f>'Sch-7'!C22:D22</f>
        <v/>
      </c>
      <c r="D40" s="146"/>
      <c r="E40" s="143" t="s">
        <v>174</v>
      </c>
      <c r="F40" s="422">
        <f>'Names of Bidder'!C20</f>
        <v>0</v>
      </c>
      <c r="G40" s="423"/>
      <c r="H40" s="106"/>
    </row>
  </sheetData>
  <sheetProtection algorithmName="SHA-512" hashValue="2kofWeXdnMJ5CMAqX7B4WpdH7HjeSowhkzLZ+4ygHWG2JHY7BM891c0wA8v3Y64ju98RbzShRNC9EhEurJMN1Q==" saltValue="xVm2xdtYhdSkib5cpnPOjw==" spinCount="100000" sheet="1" formatColumns="0" formatRows="0" selectLockedCells="1"/>
  <customSheetViews>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3"/>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4"/>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5"/>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8"/>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12"/>
      <headerFooter alignWithMargins="0">
        <oddFooter>&amp;R&amp;"Book Antiqua,Bold"&amp;10Letter of Discount  / Page &amp;P of &amp;N</oddFooter>
      </headerFooter>
    </customSheetView>
    <customSheetView guid="{C497F4E0-7D3E-4065-935D-7086BE9276FE}"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92"/>
    <col min="2" max="2" width="30.7109375" style="74" customWidth="1"/>
    <col min="3" max="3" width="26.140625" style="74" customWidth="1"/>
    <col min="4" max="5" width="17.85546875" style="74" customWidth="1"/>
    <col min="6" max="16384" width="9.140625" style="19"/>
  </cols>
  <sheetData>
    <row r="1" spans="1:6">
      <c r="A1" s="147"/>
      <c r="B1" s="148"/>
      <c r="C1" s="148"/>
      <c r="D1" s="148"/>
      <c r="E1" s="148"/>
    </row>
    <row r="2" spans="1:6" ht="21.95" customHeight="1">
      <c r="A2" s="942" t="s">
        <v>175</v>
      </c>
      <c r="B2" s="942"/>
      <c r="C2" s="942"/>
      <c r="D2" s="942"/>
      <c r="E2" s="19"/>
    </row>
    <row r="3" spans="1:6">
      <c r="A3" s="147"/>
      <c r="B3" s="148"/>
      <c r="C3" s="148"/>
      <c r="D3" s="148"/>
      <c r="E3" s="148"/>
    </row>
    <row r="4" spans="1:6" ht="30">
      <c r="A4" s="149" t="s">
        <v>176</v>
      </c>
      <c r="B4" s="150" t="s">
        <v>177</v>
      </c>
      <c r="C4" s="149" t="s">
        <v>131</v>
      </c>
      <c r="D4" s="149" t="s">
        <v>178</v>
      </c>
      <c r="E4" s="149" t="s">
        <v>179</v>
      </c>
    </row>
    <row r="5" spans="1:6" ht="18" customHeight="1">
      <c r="A5" s="151" t="s">
        <v>180</v>
      </c>
      <c r="B5" s="151" t="s">
        <v>181</v>
      </c>
      <c r="C5" s="151" t="s">
        <v>182</v>
      </c>
      <c r="D5" s="151" t="s">
        <v>183</v>
      </c>
      <c r="E5" s="151" t="s">
        <v>184</v>
      </c>
    </row>
    <row r="6" spans="1:6" ht="45" customHeight="1">
      <c r="A6" s="152">
        <v>1</v>
      </c>
      <c r="B6" s="153"/>
      <c r="C6" s="154"/>
      <c r="D6" s="155"/>
      <c r="E6" s="156">
        <f t="shared" ref="E6:E15" si="0">C6*D6</f>
        <v>0</v>
      </c>
    </row>
    <row r="7" spans="1:6" ht="45" customHeight="1">
      <c r="A7" s="152">
        <v>2</v>
      </c>
      <c r="B7" s="153"/>
      <c r="C7" s="154"/>
      <c r="D7" s="155"/>
      <c r="E7" s="156">
        <f t="shared" si="0"/>
        <v>0</v>
      </c>
    </row>
    <row r="8" spans="1:6" ht="45" customHeight="1">
      <c r="A8" s="152">
        <v>3</v>
      </c>
      <c r="B8" s="153"/>
      <c r="C8" s="154"/>
      <c r="D8" s="155"/>
      <c r="E8" s="156">
        <f t="shared" si="0"/>
        <v>0</v>
      </c>
    </row>
    <row r="9" spans="1:6" ht="45" customHeight="1">
      <c r="A9" s="152">
        <v>4</v>
      </c>
      <c r="B9" s="153"/>
      <c r="C9" s="154"/>
      <c r="D9" s="155"/>
      <c r="E9" s="156">
        <f t="shared" si="0"/>
        <v>0</v>
      </c>
    </row>
    <row r="10" spans="1:6" ht="45" customHeight="1">
      <c r="A10" s="152">
        <v>5</v>
      </c>
      <c r="B10" s="153"/>
      <c r="C10" s="154"/>
      <c r="D10" s="155"/>
      <c r="E10" s="156">
        <f t="shared" si="0"/>
        <v>0</v>
      </c>
    </row>
    <row r="11" spans="1:6" ht="45" customHeight="1">
      <c r="A11" s="152">
        <v>6</v>
      </c>
      <c r="B11" s="153"/>
      <c r="C11" s="154"/>
      <c r="D11" s="155"/>
      <c r="E11" s="156">
        <f t="shared" si="0"/>
        <v>0</v>
      </c>
    </row>
    <row r="12" spans="1:6" ht="45" customHeight="1">
      <c r="A12" s="152">
        <v>7</v>
      </c>
      <c r="B12" s="153"/>
      <c r="C12" s="154"/>
      <c r="D12" s="155"/>
      <c r="E12" s="156">
        <f t="shared" si="0"/>
        <v>0</v>
      </c>
    </row>
    <row r="13" spans="1:6" ht="45" customHeight="1">
      <c r="A13" s="152">
        <v>8</v>
      </c>
      <c r="B13" s="153"/>
      <c r="C13" s="154"/>
      <c r="D13" s="155"/>
      <c r="E13" s="156">
        <f t="shared" si="0"/>
        <v>0</v>
      </c>
    </row>
    <row r="14" spans="1:6" ht="45" customHeight="1">
      <c r="A14" s="152">
        <v>9</v>
      </c>
      <c r="B14" s="153"/>
      <c r="C14" s="154"/>
      <c r="D14" s="155"/>
      <c r="E14" s="156">
        <f t="shared" si="0"/>
        <v>0</v>
      </c>
    </row>
    <row r="15" spans="1:6" ht="45" customHeight="1">
      <c r="A15" s="152">
        <v>10</v>
      </c>
      <c r="B15" s="153"/>
      <c r="C15" s="154"/>
      <c r="D15" s="155"/>
      <c r="E15" s="156">
        <f t="shared" si="0"/>
        <v>0</v>
      </c>
    </row>
    <row r="16" spans="1:6" ht="45" customHeight="1">
      <c r="A16" s="157"/>
      <c r="B16" s="158" t="s">
        <v>185</v>
      </c>
      <c r="C16" s="158"/>
      <c r="D16" s="158"/>
      <c r="E16" s="158">
        <f>SUM(E6:E15)</f>
        <v>0</v>
      </c>
      <c r="F16" s="159"/>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4">
      <selection activeCell="D6" sqref="D6"/>
      <pageMargins left="0.75" right="0.75" top="0.65" bottom="1" header="0.5" footer="0.5"/>
      <pageSetup orientation="portrait" r:id="rId1"/>
      <headerFooter alignWithMargins="0"/>
    </customSheetView>
    <customSheetView guid="{A58DB4DF-40C7-4BEB-B85E-6BD6F54941CF}" state="hidden" topLeftCell="A4">
      <selection activeCell="D6" sqref="D6"/>
      <pageMargins left="0.75" right="0.75" top="0.65" bottom="1" header="0.5" footer="0.5"/>
      <pageSetup orientation="portrait" r:id="rId2"/>
      <headerFooter alignWithMargins="0"/>
    </customSheetView>
    <customSheetView guid="{B96E710B-6DD7-4DE1-95AB-C9EE060CD030}" state="hidden" topLeftCell="A4">
      <selection activeCell="D6" sqref="D6"/>
      <pageMargins left="0.75" right="0.75" top="0.65" bottom="1" header="0.5" footer="0.5"/>
      <pageSetup orientation="portrait" r:id="rId3"/>
      <headerFooter alignWithMargins="0"/>
    </customSheetView>
    <customSheetView guid="{357C9841-BEC3-434B-AC63-C04FB4321BA3}" state="hidden" topLeftCell="A4">
      <selection activeCell="D6" sqref="D6"/>
      <pageMargins left="0.75" right="0.75" top="0.65" bottom="1" header="0.5" footer="0.5"/>
      <pageSetup orientation="portrait" r:id="rId4"/>
      <headerFooter alignWithMargins="0"/>
    </customSheetView>
    <customSheetView guid="{3C00DDA0-7DDE-4169-A739-550DAF5DCF8D}" state="hidden" topLeftCell="A4">
      <selection activeCell="D6" sqref="D6"/>
      <pageMargins left="0.75" right="0.75" top="0.65" bottom="1" header="0.5" footer="0.5"/>
      <pageSetup orientation="portrait" r:id="rId5"/>
      <headerFooter alignWithMargins="0"/>
    </customSheetView>
    <customSheetView guid="{63D51328-7CBC-4A1E-B96D-BAE91416501B}"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18EA11B4-BD82-47BF-99FA-7AB19BF74D0B}" state="hidden" topLeftCell="A4">
      <selection activeCell="D6" sqref="D6"/>
      <pageMargins left="0.75" right="0.75" top="0.65" bottom="1" header="0.5" footer="0.5"/>
      <pageSetup orientation="portrait" r:id="rId9"/>
      <headerFooter alignWithMargins="0"/>
    </customSheetView>
    <customSheetView guid="{915C64AD-BD67-44F0-9117-5B9D998BA799}" state="hidden" topLeftCell="A4">
      <selection activeCell="D6" sqref="D6"/>
      <pageMargins left="0.75" right="0.75" top="0.65" bottom="1" header="0.5" footer="0.5"/>
      <pageSetup orientation="portrait" r:id="rId10"/>
      <headerFooter alignWithMargins="0"/>
    </customSheetView>
    <customSheetView guid="{89CB4E6A-722E-4E39-885D-E2A6D0D08321}" state="hidden" topLeftCell="A4">
      <selection activeCell="D6" sqref="D6"/>
      <pageMargins left="0.75" right="0.75" top="0.65" bottom="1" header="0.5" footer="0.5"/>
      <pageSetup orientation="portrait" r:id="rId11"/>
      <headerFooter alignWithMargins="0"/>
    </customSheetView>
    <customSheetView guid="{889C3D82-0A24-4765-A688-A80A782F5056}" state="hidden" topLeftCell="A4">
      <selection activeCell="D6" sqref="D6"/>
      <pageMargins left="0.75" right="0.75" top="0.65" bottom="1" header="0.5" footer="0.5"/>
      <pageSetup orientation="portrait" r:id="rId12"/>
      <headerFooter alignWithMargins="0"/>
    </customSheetView>
    <customSheetView guid="{C497F4E0-7D3E-4065-935D-7086BE9276FE}"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92"/>
    <col min="2" max="2" width="30.7109375" style="74" customWidth="1"/>
    <col min="3" max="3" width="26.140625" style="74" customWidth="1"/>
    <col min="4" max="5" width="17.85546875" style="74" customWidth="1"/>
    <col min="6" max="16384" width="9.140625" style="19"/>
  </cols>
  <sheetData>
    <row r="1" spans="1:6">
      <c r="A1" s="147"/>
      <c r="B1" s="148"/>
      <c r="C1" s="148"/>
      <c r="D1" s="148"/>
      <c r="E1" s="148"/>
    </row>
    <row r="2" spans="1:6" ht="21.95" customHeight="1">
      <c r="A2" s="942" t="s">
        <v>186</v>
      </c>
      <c r="B2" s="942"/>
      <c r="C2" s="942"/>
      <c r="D2" s="943"/>
      <c r="E2" s="15"/>
    </row>
    <row r="3" spans="1:6">
      <c r="A3" s="147"/>
      <c r="B3" s="148"/>
      <c r="C3" s="148"/>
      <c r="D3" s="148"/>
      <c r="E3" s="148"/>
    </row>
    <row r="4" spans="1:6" ht="30">
      <c r="A4" s="149" t="s">
        <v>176</v>
      </c>
      <c r="B4" s="150" t="s">
        <v>177</v>
      </c>
      <c r="C4" s="149" t="s">
        <v>187</v>
      </c>
      <c r="D4" s="149" t="s">
        <v>188</v>
      </c>
      <c r="E4" s="149" t="s">
        <v>189</v>
      </c>
    </row>
    <row r="5" spans="1:6" ht="18" customHeight="1">
      <c r="A5" s="151" t="s">
        <v>180</v>
      </c>
      <c r="B5" s="151" t="s">
        <v>181</v>
      </c>
      <c r="C5" s="151" t="s">
        <v>182</v>
      </c>
      <c r="D5" s="151" t="s">
        <v>183</v>
      </c>
      <c r="E5" s="151" t="s">
        <v>184</v>
      </c>
    </row>
    <row r="6" spans="1:6" ht="45" customHeight="1">
      <c r="A6" s="152">
        <v>1</v>
      </c>
      <c r="B6" s="153"/>
      <c r="C6" s="154"/>
      <c r="D6" s="155"/>
      <c r="E6" s="156">
        <f>C6*D6</f>
        <v>0</v>
      </c>
    </row>
    <row r="7" spans="1:6" ht="45" customHeight="1">
      <c r="A7" s="152">
        <v>2</v>
      </c>
      <c r="B7" s="153"/>
      <c r="C7" s="154"/>
      <c r="D7" s="155"/>
      <c r="E7" s="156">
        <f t="shared" ref="E7:E15" si="0">C7*D7</f>
        <v>0</v>
      </c>
    </row>
    <row r="8" spans="1:6" ht="45" customHeight="1">
      <c r="A8" s="152">
        <v>3</v>
      </c>
      <c r="B8" s="153"/>
      <c r="C8" s="154"/>
      <c r="D8" s="155"/>
      <c r="E8" s="156">
        <f t="shared" si="0"/>
        <v>0</v>
      </c>
    </row>
    <row r="9" spans="1:6" ht="45" customHeight="1">
      <c r="A9" s="152">
        <v>4</v>
      </c>
      <c r="B9" s="153"/>
      <c r="C9" s="154"/>
      <c r="D9" s="155"/>
      <c r="E9" s="156">
        <f t="shared" si="0"/>
        <v>0</v>
      </c>
    </row>
    <row r="10" spans="1:6" ht="45" customHeight="1">
      <c r="A10" s="152">
        <v>5</v>
      </c>
      <c r="B10" s="153"/>
      <c r="C10" s="154"/>
      <c r="D10" s="155"/>
      <c r="E10" s="156">
        <f t="shared" si="0"/>
        <v>0</v>
      </c>
    </row>
    <row r="11" spans="1:6" ht="45" customHeight="1">
      <c r="A11" s="152">
        <v>6</v>
      </c>
      <c r="B11" s="153"/>
      <c r="C11" s="154"/>
      <c r="D11" s="155"/>
      <c r="E11" s="156">
        <f t="shared" si="0"/>
        <v>0</v>
      </c>
    </row>
    <row r="12" spans="1:6" ht="45" customHeight="1">
      <c r="A12" s="152">
        <v>7</v>
      </c>
      <c r="B12" s="153"/>
      <c r="C12" s="154"/>
      <c r="D12" s="155"/>
      <c r="E12" s="156">
        <f t="shared" si="0"/>
        <v>0</v>
      </c>
    </row>
    <row r="13" spans="1:6" ht="45" customHeight="1">
      <c r="A13" s="152">
        <v>8</v>
      </c>
      <c r="B13" s="153"/>
      <c r="C13" s="154"/>
      <c r="D13" s="155"/>
      <c r="E13" s="156">
        <f t="shared" si="0"/>
        <v>0</v>
      </c>
    </row>
    <row r="14" spans="1:6" ht="45" customHeight="1">
      <c r="A14" s="152">
        <v>9</v>
      </c>
      <c r="B14" s="153"/>
      <c r="C14" s="154"/>
      <c r="D14" s="155"/>
      <c r="E14" s="156">
        <f t="shared" si="0"/>
        <v>0</v>
      </c>
    </row>
    <row r="15" spans="1:6" ht="45" customHeight="1">
      <c r="A15" s="152">
        <v>10</v>
      </c>
      <c r="B15" s="153"/>
      <c r="C15" s="154"/>
      <c r="D15" s="155"/>
      <c r="E15" s="156">
        <f t="shared" si="0"/>
        <v>0</v>
      </c>
    </row>
    <row r="16" spans="1:6" ht="45" customHeight="1">
      <c r="A16" s="157"/>
      <c r="B16" s="158" t="s">
        <v>185</v>
      </c>
      <c r="C16" s="158"/>
      <c r="D16" s="158"/>
      <c r="E16" s="158">
        <f>SUM(E6:E15)</f>
        <v>0</v>
      </c>
      <c r="F16" s="159"/>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13">
      <selection activeCell="D6" sqref="D6"/>
      <pageMargins left="0.75" right="0.75" top="0.65" bottom="1" header="0.5" footer="0.5"/>
      <pageSetup orientation="portrait" r:id="rId1"/>
      <headerFooter alignWithMargins="0"/>
    </customSheetView>
    <customSheetView guid="{A58DB4DF-40C7-4BEB-B85E-6BD6F54941CF}" state="hidden" topLeftCell="A13">
      <selection activeCell="D6" sqref="D6"/>
      <pageMargins left="0.75" right="0.75" top="0.65" bottom="1" header="0.5" footer="0.5"/>
      <pageSetup orientation="portrait" r:id="rId2"/>
      <headerFooter alignWithMargins="0"/>
    </customSheetView>
    <customSheetView guid="{B96E710B-6DD7-4DE1-95AB-C9EE060CD030}" state="hidden" topLeftCell="A13">
      <selection activeCell="D6" sqref="D6"/>
      <pageMargins left="0.75" right="0.75" top="0.65" bottom="1" header="0.5" footer="0.5"/>
      <pageSetup orientation="portrait" r:id="rId3"/>
      <headerFooter alignWithMargins="0"/>
    </customSheetView>
    <customSheetView guid="{357C9841-BEC3-434B-AC63-C04FB4321BA3}" state="hidden" topLeftCell="A13">
      <selection activeCell="D6" sqref="D6"/>
      <pageMargins left="0.75" right="0.75" top="0.65" bottom="1" header="0.5" footer="0.5"/>
      <pageSetup orientation="portrait" r:id="rId4"/>
      <headerFooter alignWithMargins="0"/>
    </customSheetView>
    <customSheetView guid="{3C00DDA0-7DDE-4169-A739-550DAF5DCF8D}" state="hidden" topLeftCell="A13">
      <selection activeCell="D6" sqref="D6"/>
      <pageMargins left="0.75" right="0.75" top="0.65" bottom="1" header="0.5" footer="0.5"/>
      <pageSetup orientation="portrait" r:id="rId5"/>
      <headerFooter alignWithMargins="0"/>
    </customSheetView>
    <customSheetView guid="{63D51328-7CBC-4A1E-B96D-BAE91416501B}"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18EA11B4-BD82-47BF-99FA-7AB19BF74D0B}" state="hidden" topLeftCell="A13">
      <selection activeCell="D6" sqref="D6"/>
      <pageMargins left="0.75" right="0.75" top="0.65" bottom="1" header="0.5" footer="0.5"/>
      <pageSetup orientation="portrait" r:id="rId9"/>
      <headerFooter alignWithMargins="0"/>
    </customSheetView>
    <customSheetView guid="{915C64AD-BD67-44F0-9117-5B9D998BA799}" state="hidden" topLeftCell="A13">
      <selection activeCell="D6" sqref="D6"/>
      <pageMargins left="0.75" right="0.75" top="0.65" bottom="1" header="0.5" footer="0.5"/>
      <pageSetup orientation="portrait" r:id="rId10"/>
      <headerFooter alignWithMargins="0"/>
    </customSheetView>
    <customSheetView guid="{89CB4E6A-722E-4E39-885D-E2A6D0D08321}" state="hidden" topLeftCell="A13">
      <selection activeCell="D6" sqref="D6"/>
      <pageMargins left="0.75" right="0.75" top="0.65" bottom="1" header="0.5" footer="0.5"/>
      <pageSetup orientation="portrait" r:id="rId11"/>
      <headerFooter alignWithMargins="0"/>
    </customSheetView>
    <customSheetView guid="{889C3D82-0A24-4765-A688-A80A782F5056}" state="hidden" topLeftCell="A13">
      <selection activeCell="D6" sqref="D6"/>
      <pageMargins left="0.75" right="0.75" top="0.65" bottom="1" header="0.5" footer="0.5"/>
      <pageSetup orientation="portrait" r:id="rId12"/>
      <headerFooter alignWithMargins="0"/>
    </customSheetView>
    <customSheetView guid="{C497F4E0-7D3E-4065-935D-7086BE9276FE}"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92" customWidth="1"/>
    <col min="2" max="4" width="23.5703125" style="74" customWidth="1"/>
    <col min="5" max="5" width="11" style="74" customWidth="1"/>
    <col min="6" max="6" width="14.42578125" style="74" customWidth="1"/>
    <col min="7" max="16384" width="9.140625" style="19"/>
  </cols>
  <sheetData>
    <row r="1" spans="1:7">
      <c r="A1" s="147"/>
      <c r="B1" s="148"/>
      <c r="C1" s="148"/>
      <c r="D1" s="148"/>
      <c r="E1" s="148"/>
      <c r="F1" s="148"/>
    </row>
    <row r="2" spans="1:7" ht="21.95" customHeight="1">
      <c r="A2" s="942" t="s">
        <v>190</v>
      </c>
      <c r="B2" s="942"/>
      <c r="C2" s="942"/>
      <c r="D2" s="942"/>
      <c r="E2" s="943"/>
      <c r="F2" s="19"/>
    </row>
    <row r="3" spans="1:7">
      <c r="A3" s="147"/>
      <c r="B3" s="148"/>
      <c r="C3" s="148"/>
      <c r="D3" s="148"/>
      <c r="E3" s="148"/>
      <c r="F3" s="148"/>
    </row>
    <row r="4" spans="1:7" ht="45">
      <c r="A4" s="149" t="s">
        <v>176</v>
      </c>
      <c r="B4" s="150" t="s">
        <v>177</v>
      </c>
      <c r="C4" s="149" t="s">
        <v>191</v>
      </c>
      <c r="D4" s="149" t="s">
        <v>192</v>
      </c>
      <c r="E4" s="149" t="s">
        <v>193</v>
      </c>
      <c r="F4" s="149" t="s">
        <v>194</v>
      </c>
    </row>
    <row r="5" spans="1:7" ht="18" customHeight="1">
      <c r="A5" s="151" t="s">
        <v>180</v>
      </c>
      <c r="B5" s="151" t="s">
        <v>181</v>
      </c>
      <c r="C5" s="151" t="s">
        <v>182</v>
      </c>
      <c r="D5" s="151" t="s">
        <v>183</v>
      </c>
      <c r="E5" s="160" t="s">
        <v>195</v>
      </c>
      <c r="F5" s="151" t="s">
        <v>196</v>
      </c>
    </row>
    <row r="6" spans="1:7" ht="45" customHeight="1">
      <c r="A6" s="152">
        <v>1</v>
      </c>
      <c r="B6" s="153"/>
      <c r="C6" s="154"/>
      <c r="D6" s="154"/>
      <c r="E6" s="155"/>
      <c r="F6" s="156">
        <f>C6*E6</f>
        <v>0</v>
      </c>
    </row>
    <row r="7" spans="1:7" ht="45" customHeight="1">
      <c r="A7" s="152">
        <v>2</v>
      </c>
      <c r="B7" s="153"/>
      <c r="C7" s="154"/>
      <c r="D7" s="154"/>
      <c r="E7" s="155"/>
      <c r="F7" s="156">
        <f t="shared" ref="F7:F15" si="0">C7*E7</f>
        <v>0</v>
      </c>
    </row>
    <row r="8" spans="1:7" ht="45" customHeight="1">
      <c r="A8" s="152">
        <v>3</v>
      </c>
      <c r="B8" s="153"/>
      <c r="C8" s="154"/>
      <c r="D8" s="154"/>
      <c r="E8" s="155"/>
      <c r="F8" s="156">
        <f t="shared" si="0"/>
        <v>0</v>
      </c>
    </row>
    <row r="9" spans="1:7" ht="45" customHeight="1">
      <c r="A9" s="152">
        <v>4</v>
      </c>
      <c r="B9" s="153"/>
      <c r="C9" s="154"/>
      <c r="D9" s="154"/>
      <c r="E9" s="155"/>
      <c r="F9" s="156">
        <f t="shared" si="0"/>
        <v>0</v>
      </c>
    </row>
    <row r="10" spans="1:7" ht="45" customHeight="1">
      <c r="A10" s="152">
        <v>5</v>
      </c>
      <c r="B10" s="153"/>
      <c r="C10" s="154"/>
      <c r="D10" s="154"/>
      <c r="E10" s="155"/>
      <c r="F10" s="156">
        <f t="shared" si="0"/>
        <v>0</v>
      </c>
    </row>
    <row r="11" spans="1:7" ht="45" customHeight="1">
      <c r="A11" s="152">
        <v>6</v>
      </c>
      <c r="B11" s="153"/>
      <c r="C11" s="154"/>
      <c r="D11" s="154"/>
      <c r="E11" s="155"/>
      <c r="F11" s="156">
        <f t="shared" si="0"/>
        <v>0</v>
      </c>
    </row>
    <row r="12" spans="1:7" ht="45" customHeight="1">
      <c r="A12" s="152">
        <v>7</v>
      </c>
      <c r="B12" s="153"/>
      <c r="C12" s="154"/>
      <c r="D12" s="154"/>
      <c r="E12" s="155"/>
      <c r="F12" s="156">
        <f t="shared" si="0"/>
        <v>0</v>
      </c>
    </row>
    <row r="13" spans="1:7" ht="45" customHeight="1">
      <c r="A13" s="152">
        <v>8</v>
      </c>
      <c r="B13" s="153"/>
      <c r="C13" s="154"/>
      <c r="D13" s="154"/>
      <c r="E13" s="155"/>
      <c r="F13" s="156">
        <f t="shared" si="0"/>
        <v>0</v>
      </c>
    </row>
    <row r="14" spans="1:7" ht="45" customHeight="1">
      <c r="A14" s="152">
        <v>9</v>
      </c>
      <c r="B14" s="153"/>
      <c r="C14" s="154"/>
      <c r="D14" s="154"/>
      <c r="E14" s="155"/>
      <c r="F14" s="156">
        <f t="shared" si="0"/>
        <v>0</v>
      </c>
    </row>
    <row r="15" spans="1:7" ht="45" customHeight="1">
      <c r="A15" s="152">
        <v>10</v>
      </c>
      <c r="B15" s="153"/>
      <c r="C15" s="154"/>
      <c r="D15" s="154"/>
      <c r="E15" s="155"/>
      <c r="F15" s="156">
        <f t="shared" si="0"/>
        <v>0</v>
      </c>
    </row>
    <row r="16" spans="1:7" ht="45" customHeight="1">
      <c r="A16" s="157"/>
      <c r="B16" s="158" t="s">
        <v>185</v>
      </c>
      <c r="C16" s="158"/>
      <c r="D16" s="158"/>
      <c r="E16" s="158"/>
      <c r="F16" s="158">
        <f>SUM(F6:F15)</f>
        <v>0</v>
      </c>
      <c r="G16" s="159"/>
    </row>
    <row r="17" ht="30" customHeight="1"/>
    <row r="18" ht="30" customHeight="1"/>
    <row r="19" ht="30" customHeight="1"/>
    <row r="20" ht="30" customHeight="1"/>
    <row r="21" ht="30" customHeight="1"/>
  </sheetData>
  <sheetProtection password="E848" sheet="1" formatColumns="0" formatRows="0" selectLockedCells="1"/>
  <customSheetViews>
    <customSheetView guid="{1211E1B9-FC37-4364-9CF0-0FFC01866726}" state="hidden" topLeftCell="A5">
      <selection activeCell="D11" sqref="D11"/>
      <pageMargins left="0.75" right="0.62" top="0.65" bottom="1" header="0.5" footer="0.5"/>
      <pageSetup orientation="portrait" r:id="rId1"/>
      <headerFooter alignWithMargins="0"/>
    </customSheetView>
    <customSheetView guid="{A58DB4DF-40C7-4BEB-B85E-6BD6F54941CF}" state="hidden" topLeftCell="A5">
      <selection activeCell="D11" sqref="D11"/>
      <pageMargins left="0.75" right="0.62" top="0.65" bottom="1" header="0.5" footer="0.5"/>
      <pageSetup orientation="portrait" r:id="rId2"/>
      <headerFooter alignWithMargins="0"/>
    </customSheetView>
    <customSheetView guid="{B96E710B-6DD7-4DE1-95AB-C9EE060CD030}" state="hidden" topLeftCell="A5">
      <selection activeCell="D11" sqref="D11"/>
      <pageMargins left="0.75" right="0.62" top="0.65" bottom="1" header="0.5" footer="0.5"/>
      <pageSetup orientation="portrait" r:id="rId3"/>
      <headerFooter alignWithMargins="0"/>
    </customSheetView>
    <customSheetView guid="{357C9841-BEC3-434B-AC63-C04FB4321BA3}" state="hidden" topLeftCell="A5">
      <selection activeCell="D11" sqref="D11"/>
      <pageMargins left="0.75" right="0.62" top="0.65" bottom="1" header="0.5" footer="0.5"/>
      <pageSetup orientation="portrait" r:id="rId4"/>
      <headerFooter alignWithMargins="0"/>
    </customSheetView>
    <customSheetView guid="{3C00DDA0-7DDE-4169-A739-550DAF5DCF8D}" state="hidden" topLeftCell="A5">
      <selection activeCell="D11" sqref="D11"/>
      <pageMargins left="0.75" right="0.62" top="0.65" bottom="1" header="0.5" footer="0.5"/>
      <pageSetup orientation="portrait" r:id="rId5"/>
      <headerFooter alignWithMargins="0"/>
    </customSheetView>
    <customSheetView guid="{63D51328-7CBC-4A1E-B96D-BAE91416501B}"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18EA11B4-BD82-47BF-99FA-7AB19BF74D0B}" state="hidden" topLeftCell="A5">
      <selection activeCell="D11" sqref="D11"/>
      <pageMargins left="0.75" right="0.62" top="0.65" bottom="1" header="0.5" footer="0.5"/>
      <pageSetup orientation="portrait" r:id="rId9"/>
      <headerFooter alignWithMargins="0"/>
    </customSheetView>
    <customSheetView guid="{915C64AD-BD67-44F0-9117-5B9D998BA799}" state="hidden" topLeftCell="A5">
      <selection activeCell="D11" sqref="D11"/>
      <pageMargins left="0.75" right="0.62" top="0.65" bottom="1" header="0.5" footer="0.5"/>
      <pageSetup orientation="portrait" r:id="rId10"/>
      <headerFooter alignWithMargins="0"/>
    </customSheetView>
    <customSheetView guid="{89CB4E6A-722E-4E39-885D-E2A6D0D08321}" state="hidden" topLeftCell="A5">
      <selection activeCell="D11" sqref="D11"/>
      <pageMargins left="0.75" right="0.62" top="0.65" bottom="1" header="0.5" footer="0.5"/>
      <pageSetup orientation="portrait" r:id="rId11"/>
      <headerFooter alignWithMargins="0"/>
    </customSheetView>
    <customSheetView guid="{889C3D82-0A24-4765-A688-A80A782F5056}" state="hidden" topLeftCell="A5">
      <selection activeCell="D11" sqref="D11"/>
      <pageMargins left="0.75" right="0.62" top="0.65" bottom="1" header="0.5" footer="0.5"/>
      <pageSetup orientation="portrait" r:id="rId12"/>
      <headerFooter alignWithMargins="0"/>
    </customSheetView>
    <customSheetView guid="{C497F4E0-7D3E-4065-935D-7086BE9276FE}"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51" zoomScaleSheetLayoutView="100" workbookViewId="0">
      <selection activeCell="D50" sqref="D50:F50"/>
    </sheetView>
  </sheetViews>
  <sheetFormatPr defaultRowHeight="16.5"/>
  <cols>
    <col min="1" max="1" width="10.7109375" style="164" customWidth="1"/>
    <col min="2" max="2" width="15.28515625" style="169" customWidth="1"/>
    <col min="3" max="3" width="16.28515625" style="164" customWidth="1"/>
    <col min="4" max="4" width="20.7109375" style="164" customWidth="1"/>
    <col min="5" max="5" width="12.7109375" style="164" customWidth="1"/>
    <col min="6" max="6" width="45.140625" style="164" customWidth="1"/>
    <col min="7" max="7" width="9.140625" style="164" customWidth="1"/>
    <col min="8" max="8" width="12" style="164" hidden="1" customWidth="1"/>
    <col min="9" max="18" width="9.140625" style="165" hidden="1" customWidth="1"/>
    <col min="19" max="19" width="8" style="165" hidden="1" customWidth="1"/>
    <col min="20" max="20" width="9.140625" style="165" hidden="1" customWidth="1"/>
    <col min="21" max="21" width="7.7109375" style="165" hidden="1" customWidth="1"/>
    <col min="22" max="22" width="9.140625" style="165" hidden="1" customWidth="1"/>
    <col min="23" max="23" width="5.5703125" style="165" hidden="1" customWidth="1"/>
    <col min="24" max="24" width="4.85546875" style="165" hidden="1" customWidth="1"/>
    <col min="25" max="25" width="9.140625" style="165" hidden="1" customWidth="1"/>
    <col min="26" max="26" width="66.7109375" style="165" hidden="1" customWidth="1"/>
    <col min="27" max="27" width="17.5703125" style="165" hidden="1" customWidth="1"/>
    <col min="28" max="28" width="20" style="165" hidden="1" customWidth="1"/>
    <col min="29" max="29" width="13.85546875" style="165" hidden="1" customWidth="1"/>
    <col min="30" max="30" width="9.140625" style="166" hidden="1" customWidth="1"/>
    <col min="31" max="31" width="9.140625" style="167" hidden="1" customWidth="1"/>
    <col min="32" max="32" width="13.7109375" style="167" hidden="1" customWidth="1"/>
    <col min="33" max="35" width="9.140625" style="166" hidden="1" customWidth="1"/>
    <col min="36" max="36" width="10.42578125" style="166" hidden="1" customWidth="1"/>
    <col min="37" max="41" width="9.140625" style="166" hidden="1" customWidth="1"/>
    <col min="42" max="16384" width="9.140625" style="165"/>
  </cols>
  <sheetData>
    <row r="1" spans="1:36" ht="24.75" customHeight="1">
      <c r="A1" s="161" t="str">
        <f>Cover!B3</f>
        <v>NR2/NT/W-MISC/DOM/J01/25/07157</v>
      </c>
      <c r="B1" s="161"/>
      <c r="C1" s="162"/>
      <c r="D1" s="162"/>
      <c r="E1" s="162"/>
      <c r="F1" s="163" t="s">
        <v>197</v>
      </c>
      <c r="Z1" s="165" t="str">
        <f>'[6]Names of Bidder'!D6</f>
        <v>Sole Bidder</v>
      </c>
      <c r="AE1" s="167">
        <v>1</v>
      </c>
      <c r="AF1" s="167" t="s">
        <v>198</v>
      </c>
      <c r="AI1" s="167">
        <v>1</v>
      </c>
      <c r="AJ1" s="166" t="s">
        <v>199</v>
      </c>
    </row>
    <row r="2" spans="1:36">
      <c r="B2" s="164"/>
      <c r="Z2" s="165">
        <f>'[6]Names of Bidder'!AA6</f>
        <v>0</v>
      </c>
      <c r="AE2" s="167">
        <v>2</v>
      </c>
      <c r="AF2" s="167" t="s">
        <v>200</v>
      </c>
      <c r="AI2" s="167">
        <v>2</v>
      </c>
      <c r="AJ2" s="166" t="s">
        <v>201</v>
      </c>
    </row>
    <row r="3" spans="1:36" ht="17.25">
      <c r="A3" s="961" t="s">
        <v>202</v>
      </c>
      <c r="B3" s="961"/>
      <c r="C3" s="961"/>
      <c r="D3" s="961"/>
      <c r="E3" s="961"/>
      <c r="F3" s="961"/>
      <c r="AE3" s="167">
        <v>3</v>
      </c>
      <c r="AF3" s="167" t="s">
        <v>203</v>
      </c>
      <c r="AI3" s="167">
        <v>3</v>
      </c>
      <c r="AJ3" s="166" t="s">
        <v>204</v>
      </c>
    </row>
    <row r="4" spans="1:36">
      <c r="A4" s="168"/>
      <c r="B4" s="168"/>
      <c r="C4" s="168"/>
      <c r="D4" s="168"/>
      <c r="E4" s="168"/>
      <c r="F4" s="168"/>
      <c r="AE4" s="167">
        <v>4</v>
      </c>
      <c r="AF4" s="167" t="s">
        <v>205</v>
      </c>
      <c r="AI4" s="167">
        <v>4</v>
      </c>
      <c r="AJ4" s="166" t="s">
        <v>206</v>
      </c>
    </row>
    <row r="5" spans="1:36">
      <c r="A5" s="169" t="s">
        <v>207</v>
      </c>
      <c r="C5" s="962"/>
      <c r="D5" s="962"/>
      <c r="E5" s="962"/>
      <c r="F5" s="962"/>
      <c r="AE5" s="167">
        <v>5</v>
      </c>
      <c r="AF5" s="167" t="s">
        <v>205</v>
      </c>
      <c r="AI5" s="167">
        <v>5</v>
      </c>
      <c r="AJ5" s="166" t="s">
        <v>208</v>
      </c>
    </row>
    <row r="6" spans="1:36">
      <c r="A6" s="169" t="s">
        <v>209</v>
      </c>
      <c r="B6" s="952" t="str">
        <f>'Names of Bidder'!C22&amp;'Names of Bidder'!D22&amp;'Names of Bidder'!E22</f>
        <v/>
      </c>
      <c r="C6" s="952"/>
      <c r="AE6" s="167">
        <v>6</v>
      </c>
      <c r="AF6" s="167" t="s">
        <v>205</v>
      </c>
      <c r="AG6" s="170" t="e">
        <f>DAY(B6)</f>
        <v>#VALUE!</v>
      </c>
      <c r="AI6" s="167">
        <v>6</v>
      </c>
      <c r="AJ6" s="166" t="s">
        <v>210</v>
      </c>
    </row>
    <row r="7" spans="1:36">
      <c r="A7" s="169"/>
      <c r="B7" s="171"/>
      <c r="C7" s="171"/>
      <c r="AE7" s="167">
        <v>7</v>
      </c>
      <c r="AF7" s="167" t="s">
        <v>205</v>
      </c>
      <c r="AG7" s="170" t="e">
        <f>MONTH(B6)</f>
        <v>#VALUE!</v>
      </c>
      <c r="AI7" s="167">
        <v>7</v>
      </c>
      <c r="AJ7" s="166" t="s">
        <v>211</v>
      </c>
    </row>
    <row r="8" spans="1:36">
      <c r="A8" s="730" t="s">
        <v>1</v>
      </c>
      <c r="B8" s="731"/>
      <c r="F8" s="172"/>
      <c r="AE8" s="167">
        <v>8</v>
      </c>
      <c r="AF8" s="167" t="s">
        <v>205</v>
      </c>
      <c r="AG8" s="170" t="e">
        <f>LOOKUP(AG7,AI1:AI12,AJ1:AJ12)</f>
        <v>#VALUE!</v>
      </c>
      <c r="AI8" s="167">
        <v>8</v>
      </c>
      <c r="AJ8" s="166" t="s">
        <v>212</v>
      </c>
    </row>
    <row r="9" spans="1:36">
      <c r="A9" s="732">
        <f>'Sch-1'!L8</f>
        <v>0</v>
      </c>
      <c r="B9" s="732"/>
      <c r="F9" s="172"/>
      <c r="AE9" s="167">
        <v>9</v>
      </c>
      <c r="AF9" s="167" t="s">
        <v>205</v>
      </c>
      <c r="AG9" s="170" t="e">
        <f>YEAR(B6)</f>
        <v>#VALUE!</v>
      </c>
      <c r="AI9" s="167">
        <v>9</v>
      </c>
      <c r="AJ9" s="166" t="s">
        <v>213</v>
      </c>
    </row>
    <row r="10" spans="1:36">
      <c r="A10" s="732" t="str">
        <f>'Sch-1'!K9</f>
        <v>Power Grid Corporation of India Ltd.,</v>
      </c>
      <c r="B10" s="732"/>
      <c r="F10" s="172"/>
      <c r="AE10" s="167">
        <v>10</v>
      </c>
      <c r="AF10" s="167" t="s">
        <v>205</v>
      </c>
      <c r="AI10" s="167">
        <v>10</v>
      </c>
      <c r="AJ10" s="166" t="s">
        <v>214</v>
      </c>
    </row>
    <row r="11" spans="1:36">
      <c r="A11" s="732" t="str">
        <f>'Sch-1'!K10</f>
        <v>Northern Region Transmission System-II</v>
      </c>
      <c r="B11" s="732"/>
      <c r="F11" s="172"/>
      <c r="AE11" s="167">
        <v>11</v>
      </c>
      <c r="AF11" s="167" t="s">
        <v>205</v>
      </c>
      <c r="AI11" s="167">
        <v>11</v>
      </c>
      <c r="AJ11" s="166" t="s">
        <v>215</v>
      </c>
    </row>
    <row r="12" spans="1:36">
      <c r="A12" s="732" t="str">
        <f>'Sch-1'!K11</f>
        <v>Regional Head Quarters, Grid Bhawan, OB-26</v>
      </c>
      <c r="B12" s="732"/>
      <c r="F12" s="172"/>
      <c r="AE12" s="167">
        <v>12</v>
      </c>
      <c r="AF12" s="167" t="s">
        <v>205</v>
      </c>
      <c r="AI12" s="167">
        <v>12</v>
      </c>
      <c r="AJ12" s="166" t="s">
        <v>216</v>
      </c>
    </row>
    <row r="13" spans="1:36">
      <c r="A13" s="732" t="str">
        <f>'Sch-1'!K12</f>
        <v>Rail Head Complex, Jammu-180 012 (J&amp;K)</v>
      </c>
      <c r="B13" s="732"/>
      <c r="F13" s="172"/>
      <c r="AE13" s="167">
        <v>13</v>
      </c>
      <c r="AF13" s="167" t="s">
        <v>205</v>
      </c>
    </row>
    <row r="14" spans="1:36" ht="22.5" customHeight="1">
      <c r="A14" s="169"/>
      <c r="F14" s="172"/>
      <c r="AE14" s="167">
        <v>14</v>
      </c>
      <c r="AF14" s="167" t="s">
        <v>205</v>
      </c>
    </row>
    <row r="15" spans="1:36" ht="99" customHeight="1">
      <c r="A15" s="339" t="s">
        <v>217</v>
      </c>
      <c r="B15" s="340"/>
      <c r="C15" s="963" t="str">
        <f>Cover!B2</f>
        <v xml:space="preserve"> Substation extension package (AIS) for augmentation of transformation capacity at 400/220kV Samba (PG) Substation in Jammu &amp; Kashmir by 1x500MVA 400/220kV ICT (4th).</v>
      </c>
      <c r="D15" s="963"/>
      <c r="E15" s="963"/>
      <c r="F15" s="963"/>
      <c r="AE15" s="167">
        <v>15</v>
      </c>
      <c r="AF15" s="167" t="s">
        <v>205</v>
      </c>
    </row>
    <row r="16" spans="1:36" ht="27.75" customHeight="1">
      <c r="A16" s="164" t="s">
        <v>218</v>
      </c>
      <c r="B16" s="164"/>
      <c r="C16" s="172"/>
      <c r="D16" s="172"/>
      <c r="E16" s="172"/>
      <c r="F16" s="172"/>
      <c r="AE16" s="167">
        <v>16</v>
      </c>
      <c r="AF16" s="167" t="s">
        <v>205</v>
      </c>
    </row>
    <row r="17" spans="1:41" ht="99.75" customHeight="1">
      <c r="A17" s="174">
        <v>1</v>
      </c>
      <c r="B17" s="959"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9"/>
      <c r="D17" s="959"/>
      <c r="E17" s="959"/>
      <c r="F17" s="959"/>
      <c r="H17" s="400" t="s">
        <v>284</v>
      </c>
      <c r="Z17" s="175"/>
      <c r="AA17" s="176"/>
      <c r="AB17" s="177"/>
      <c r="AC17" s="178"/>
      <c r="AE17" s="167">
        <v>17</v>
      </c>
      <c r="AF17" s="167" t="s">
        <v>205</v>
      </c>
    </row>
    <row r="18" spans="1:41" ht="24.75" customHeight="1">
      <c r="A18" s="174"/>
      <c r="B18" s="959"/>
      <c r="C18" s="959"/>
      <c r="D18" s="959"/>
      <c r="E18" s="959"/>
      <c r="F18" s="959"/>
      <c r="H18" s="177">
        <f>ROUND('Sch-6 (After Discount)'!D28,2)</f>
        <v>0</v>
      </c>
      <c r="I18" s="165" t="s">
        <v>450</v>
      </c>
      <c r="Z18" s="175"/>
      <c r="AA18" s="176"/>
      <c r="AB18" s="177"/>
      <c r="AC18" s="178"/>
    </row>
    <row r="19" spans="1:41" ht="13.5" customHeight="1">
      <c r="A19" s="174"/>
      <c r="B19" s="959"/>
      <c r="C19" s="959"/>
      <c r="D19" s="959"/>
      <c r="E19" s="959"/>
      <c r="F19" s="959"/>
      <c r="H19" s="401" t="str">
        <f>'N-W (Cr.)'!P4</f>
        <v/>
      </c>
      <c r="N19" s="165" t="s">
        <v>449</v>
      </c>
      <c r="Z19" s="175"/>
      <c r="AA19" s="176"/>
      <c r="AB19" s="177"/>
      <c r="AC19" s="178"/>
    </row>
    <row r="20" spans="1:41" ht="39" customHeight="1">
      <c r="B20" s="960" t="s">
        <v>219</v>
      </c>
      <c r="C20" s="960"/>
      <c r="D20" s="960"/>
      <c r="E20" s="960"/>
      <c r="F20" s="960"/>
      <c r="H20" s="164" t="s">
        <v>283</v>
      </c>
      <c r="AE20" s="167">
        <v>18</v>
      </c>
      <c r="AF20" s="167" t="s">
        <v>205</v>
      </c>
    </row>
    <row r="21" spans="1:41" s="164" customFormat="1" ht="27.75" customHeight="1">
      <c r="A21" s="179">
        <v>2</v>
      </c>
      <c r="B21" s="958" t="s">
        <v>220</v>
      </c>
      <c r="C21" s="958"/>
      <c r="D21" s="958"/>
      <c r="E21" s="958"/>
      <c r="F21" s="958"/>
      <c r="AD21" s="180"/>
      <c r="AE21" s="167">
        <v>19</v>
      </c>
      <c r="AF21" s="167" t="s">
        <v>205</v>
      </c>
      <c r="AG21" s="180"/>
      <c r="AH21" s="180"/>
      <c r="AI21" s="180"/>
      <c r="AJ21" s="180"/>
      <c r="AK21" s="180"/>
      <c r="AL21" s="180"/>
      <c r="AM21" s="180"/>
      <c r="AN21" s="180"/>
      <c r="AO21" s="180"/>
    </row>
    <row r="22" spans="1:41" ht="39.75" customHeight="1">
      <c r="A22" s="174">
        <v>2.1</v>
      </c>
      <c r="B22" s="953" t="s">
        <v>221</v>
      </c>
      <c r="C22" s="953"/>
      <c r="D22" s="953"/>
      <c r="E22" s="953"/>
      <c r="F22" s="953"/>
      <c r="AE22" s="167">
        <v>20</v>
      </c>
      <c r="AF22" s="167" t="s">
        <v>205</v>
      </c>
    </row>
    <row r="23" spans="1:41" ht="36.75" customHeight="1">
      <c r="B23" s="957" t="s">
        <v>222</v>
      </c>
      <c r="C23" s="957"/>
      <c r="D23" s="953" t="s">
        <v>223</v>
      </c>
      <c r="E23" s="953"/>
      <c r="F23" s="953"/>
      <c r="AE23" s="167">
        <v>21</v>
      </c>
      <c r="AF23" s="167" t="s">
        <v>198</v>
      </c>
    </row>
    <row r="24" spans="1:41" ht="33" customHeight="1">
      <c r="B24" s="957" t="s">
        <v>224</v>
      </c>
      <c r="C24" s="957"/>
      <c r="D24" s="173" t="s">
        <v>285</v>
      </c>
      <c r="E24" s="173"/>
      <c r="F24" s="173"/>
      <c r="AE24" s="167">
        <v>22</v>
      </c>
      <c r="AF24" s="167" t="s">
        <v>205</v>
      </c>
    </row>
    <row r="25" spans="1:41" ht="27.95" customHeight="1">
      <c r="B25" s="957" t="s">
        <v>225</v>
      </c>
      <c r="C25" s="957"/>
      <c r="D25" s="173" t="s">
        <v>226</v>
      </c>
      <c r="E25" s="173"/>
      <c r="F25" s="173"/>
      <c r="H25" s="180" t="str">
        <f>'[6]Names of Bidder'!D6</f>
        <v>Sole Bidder</v>
      </c>
      <c r="AE25" s="167">
        <v>23</v>
      </c>
      <c r="AF25" s="167" t="s">
        <v>205</v>
      </c>
    </row>
    <row r="26" spans="1:41" ht="27.95" customHeight="1">
      <c r="B26" s="957" t="s">
        <v>227</v>
      </c>
      <c r="C26" s="957"/>
      <c r="D26" s="173" t="s">
        <v>457</v>
      </c>
      <c r="E26" s="173"/>
      <c r="F26" s="173"/>
      <c r="AE26" s="167">
        <v>24</v>
      </c>
      <c r="AF26" s="167" t="s">
        <v>205</v>
      </c>
    </row>
    <row r="27" spans="1:41" ht="27.95" customHeight="1">
      <c r="B27" s="957" t="s">
        <v>228</v>
      </c>
      <c r="C27" s="957"/>
      <c r="D27" s="173" t="s">
        <v>458</v>
      </c>
      <c r="E27" s="173"/>
      <c r="F27" s="173"/>
      <c r="AE27" s="167">
        <v>25</v>
      </c>
      <c r="AF27" s="167" t="s">
        <v>205</v>
      </c>
    </row>
    <row r="28" spans="1:41" ht="27.95" customHeight="1">
      <c r="B28" s="957" t="s">
        <v>229</v>
      </c>
      <c r="C28" s="957"/>
      <c r="D28" s="173" t="s">
        <v>230</v>
      </c>
      <c r="E28" s="173"/>
      <c r="F28" s="173"/>
      <c r="AE28" s="167">
        <v>26</v>
      </c>
      <c r="AF28" s="167" t="s">
        <v>205</v>
      </c>
    </row>
    <row r="29" spans="1:41" ht="44.25" customHeight="1">
      <c r="B29" s="957" t="s">
        <v>27</v>
      </c>
      <c r="C29" s="957"/>
      <c r="D29" s="954" t="s">
        <v>460</v>
      </c>
      <c r="E29" s="954"/>
      <c r="F29" s="954"/>
      <c r="AE29" s="167">
        <v>27</v>
      </c>
      <c r="AF29" s="167" t="s">
        <v>205</v>
      </c>
    </row>
    <row r="30" spans="1:41" ht="98.25" customHeight="1">
      <c r="A30" s="181">
        <v>2.2000000000000002</v>
      </c>
      <c r="B30" s="953" t="s">
        <v>231</v>
      </c>
      <c r="C30" s="953"/>
      <c r="D30" s="953"/>
      <c r="E30" s="953"/>
      <c r="F30" s="953"/>
      <c r="AE30" s="167">
        <v>28</v>
      </c>
      <c r="AF30" s="167" t="s">
        <v>205</v>
      </c>
    </row>
    <row r="31" spans="1:41" ht="68.25" customHeight="1">
      <c r="A31" s="181">
        <v>2.2999999999999998</v>
      </c>
      <c r="B31" s="953" t="s">
        <v>481</v>
      </c>
      <c r="C31" s="953"/>
      <c r="D31" s="953"/>
      <c r="E31" s="953"/>
      <c r="F31" s="953"/>
      <c r="AE31" s="167">
        <v>29</v>
      </c>
      <c r="AF31" s="167" t="s">
        <v>205</v>
      </c>
    </row>
    <row r="32" spans="1:41" ht="129.75" customHeight="1">
      <c r="A32" s="181">
        <v>2.4</v>
      </c>
      <c r="B32" s="953" t="s">
        <v>232</v>
      </c>
      <c r="C32" s="953"/>
      <c r="D32" s="953"/>
      <c r="E32" s="953"/>
      <c r="F32" s="953"/>
      <c r="AE32" s="167">
        <v>30</v>
      </c>
      <c r="AF32" s="167" t="s">
        <v>205</v>
      </c>
    </row>
    <row r="33" spans="1:32" ht="79.5" customHeight="1">
      <c r="A33" s="181">
        <v>2.5</v>
      </c>
      <c r="B33" s="953" t="s">
        <v>233</v>
      </c>
      <c r="C33" s="953"/>
      <c r="D33" s="953"/>
      <c r="E33" s="953"/>
      <c r="F33" s="953"/>
      <c r="AE33" s="167">
        <v>31</v>
      </c>
      <c r="AF33" s="167" t="s">
        <v>198</v>
      </c>
    </row>
    <row r="34" spans="1:32" ht="81" customHeight="1">
      <c r="A34" s="174">
        <v>3</v>
      </c>
      <c r="B34" s="953" t="s">
        <v>456</v>
      </c>
      <c r="C34" s="953"/>
      <c r="D34" s="953"/>
      <c r="E34" s="953"/>
      <c r="F34" s="953"/>
    </row>
    <row r="35" spans="1:32" ht="63" customHeight="1">
      <c r="A35" s="174">
        <v>3.1</v>
      </c>
      <c r="B35" s="954" t="s">
        <v>286</v>
      </c>
      <c r="C35" s="954"/>
      <c r="D35" s="954"/>
      <c r="E35" s="954"/>
      <c r="F35" s="954"/>
    </row>
    <row r="36" spans="1:32" ht="114" customHeight="1">
      <c r="A36" s="181">
        <v>3.2</v>
      </c>
      <c r="B36" s="953" t="s">
        <v>287</v>
      </c>
      <c r="C36" s="953"/>
      <c r="D36" s="953"/>
      <c r="E36" s="953"/>
      <c r="F36" s="953"/>
    </row>
    <row r="37" spans="1:32" ht="65.25" customHeight="1">
      <c r="A37" s="181">
        <v>3.3</v>
      </c>
      <c r="B37" s="953" t="s">
        <v>288</v>
      </c>
      <c r="C37" s="953"/>
      <c r="D37" s="953"/>
      <c r="E37" s="953"/>
      <c r="F37" s="953"/>
    </row>
    <row r="38" spans="1:32" ht="66" customHeight="1">
      <c r="A38" s="174">
        <v>4</v>
      </c>
      <c r="B38" s="953" t="s">
        <v>234</v>
      </c>
      <c r="C38" s="953"/>
      <c r="D38" s="953"/>
      <c r="E38" s="953"/>
      <c r="F38" s="953"/>
    </row>
    <row r="39" spans="1:32" ht="93" customHeight="1">
      <c r="A39" s="174">
        <v>5</v>
      </c>
      <c r="B39" s="953" t="s">
        <v>235</v>
      </c>
      <c r="C39" s="953"/>
      <c r="D39" s="953"/>
      <c r="E39" s="953"/>
      <c r="F39" s="953"/>
    </row>
    <row r="40" spans="1:32" ht="14.25" customHeight="1">
      <c r="B40" s="45" t="str">
        <f>IF(ISERROR("Dated this " &amp; AG6 &amp; LOOKUP(AG6,AE1:AE33,AF1:AF33) &amp; " day of " &amp; AG8 &amp; " " &amp;AG9), "", "Dated this " &amp; AG6 &amp; LOOKUP(AG6,AE1:AE33,AF1:AF33) &amp; " day of " &amp; AG8 &amp; " " &amp;AG9)</f>
        <v/>
      </c>
      <c r="C40" s="45"/>
      <c r="D40" s="45"/>
      <c r="E40" s="182"/>
      <c r="F40" s="182"/>
    </row>
    <row r="41" spans="1:32" ht="30" customHeight="1">
      <c r="B41" s="45" t="s">
        <v>169</v>
      </c>
      <c r="C41" s="15"/>
      <c r="D41" s="43"/>
      <c r="E41" s="43"/>
      <c r="F41" s="43"/>
    </row>
    <row r="42" spans="1:32" ht="20.25" customHeight="1">
      <c r="B42" s="183"/>
      <c r="C42" s="43"/>
      <c r="D42" s="43"/>
      <c r="E42" s="45"/>
      <c r="F42" s="184" t="s">
        <v>170</v>
      </c>
    </row>
    <row r="43" spans="1:32" ht="18" customHeight="1">
      <c r="B43" s="183"/>
      <c r="C43" s="43"/>
      <c r="D43" s="45"/>
      <c r="E43" s="45"/>
      <c r="F43" s="184" t="str">
        <f>"For and on behalf of " &amp; '[6]Sch-1'!B8</f>
        <v>For and on behalf of test</v>
      </c>
    </row>
    <row r="44" spans="1:32" ht="30" customHeight="1">
      <c r="A44" s="165"/>
      <c r="B44" s="165"/>
      <c r="C44" s="185"/>
      <c r="D44" s="165"/>
      <c r="E44" s="186" t="s">
        <v>236</v>
      </c>
      <c r="F44" s="169"/>
    </row>
    <row r="45" spans="1:32" ht="30" customHeight="1">
      <c r="A45" s="187" t="s">
        <v>171</v>
      </c>
      <c r="B45" s="956" t="str">
        <f>Discount!C39</f>
        <v xml:space="preserve">  </v>
      </c>
      <c r="C45" s="952"/>
      <c r="D45" s="165"/>
      <c r="E45" s="186" t="s">
        <v>172</v>
      </c>
      <c r="F45" s="287">
        <f>Discount!F39</f>
        <v>0</v>
      </c>
    </row>
    <row r="46" spans="1:32" ht="30" customHeight="1">
      <c r="A46" s="187" t="s">
        <v>173</v>
      </c>
      <c r="B46" s="951" t="str">
        <f>Discount!C40</f>
        <v/>
      </c>
      <c r="C46" s="952"/>
      <c r="D46" s="165"/>
      <c r="E46" s="186" t="s">
        <v>174</v>
      </c>
      <c r="F46" s="287">
        <f>Discount!F40</f>
        <v>0</v>
      </c>
    </row>
    <row r="47" spans="1:32" ht="30" customHeight="1">
      <c r="B47" s="164"/>
      <c r="D47" s="165"/>
      <c r="E47" s="186" t="s">
        <v>237</v>
      </c>
    </row>
    <row r="48" spans="1:32" ht="30" customHeight="1">
      <c r="A48" s="955" t="str">
        <f>IF(H25="Sole Bidder", "", "In case of bid from a Joint Venture, name &amp; designation of representative of JV partner is to be provided and Bid Form is also to be signed by him.")</f>
        <v/>
      </c>
      <c r="B48" s="955"/>
      <c r="C48" s="955"/>
      <c r="D48" s="955"/>
      <c r="E48" s="955"/>
      <c r="F48" s="955"/>
    </row>
    <row r="49" spans="1:41" s="164" customFormat="1" ht="33" customHeight="1">
      <c r="A49" s="188" t="s">
        <v>238</v>
      </c>
      <c r="B49" s="189"/>
      <c r="C49" s="190"/>
      <c r="D49" s="45"/>
      <c r="E49" s="184"/>
      <c r="F49" s="45"/>
      <c r="H49" s="169"/>
      <c r="AD49" s="180"/>
      <c r="AE49" s="167"/>
      <c r="AF49" s="167"/>
      <c r="AG49" s="180"/>
      <c r="AH49" s="180"/>
      <c r="AI49" s="180"/>
      <c r="AJ49" s="180"/>
      <c r="AK49" s="180"/>
      <c r="AL49" s="180"/>
      <c r="AM49" s="180"/>
      <c r="AN49" s="180"/>
      <c r="AO49" s="180"/>
    </row>
    <row r="50" spans="1:41" s="164" customFormat="1" ht="33" customHeight="1">
      <c r="A50" s="947" t="s">
        <v>239</v>
      </c>
      <c r="B50" s="947"/>
      <c r="C50" s="947"/>
      <c r="D50" s="946"/>
      <c r="E50" s="946"/>
      <c r="F50" s="946"/>
      <c r="H50" s="169"/>
      <c r="AD50" s="180"/>
      <c r="AE50" s="167"/>
      <c r="AF50" s="167"/>
      <c r="AG50" s="180"/>
      <c r="AH50" s="180"/>
      <c r="AI50" s="180"/>
      <c r="AJ50" s="180"/>
      <c r="AK50" s="180"/>
      <c r="AL50" s="180"/>
      <c r="AM50" s="180"/>
      <c r="AN50" s="180"/>
      <c r="AO50" s="180"/>
    </row>
    <row r="51" spans="1:41" s="164" customFormat="1" ht="33" customHeight="1">
      <c r="A51" s="950"/>
      <c r="B51" s="950"/>
      <c r="C51" s="950"/>
      <c r="D51" s="191"/>
      <c r="E51" s="191"/>
      <c r="F51" s="191"/>
      <c r="H51" s="169"/>
      <c r="AD51" s="180"/>
      <c r="AE51" s="167"/>
      <c r="AF51" s="167"/>
      <c r="AG51" s="180"/>
      <c r="AH51" s="180"/>
      <c r="AI51" s="180"/>
      <c r="AJ51" s="180"/>
      <c r="AK51" s="180"/>
      <c r="AL51" s="180"/>
      <c r="AM51" s="180"/>
      <c r="AN51" s="180"/>
      <c r="AO51" s="180"/>
    </row>
    <row r="52" spans="1:41" s="164" customFormat="1" ht="33" customHeight="1">
      <c r="A52" s="948"/>
      <c r="B52" s="948"/>
      <c r="C52" s="948"/>
      <c r="D52" s="191"/>
      <c r="E52" s="191"/>
      <c r="F52" s="191"/>
      <c r="H52" s="169"/>
      <c r="AD52" s="180"/>
      <c r="AE52" s="167"/>
      <c r="AF52" s="167"/>
      <c r="AG52" s="180"/>
      <c r="AH52" s="180"/>
      <c r="AI52" s="180"/>
      <c r="AJ52" s="180"/>
      <c r="AK52" s="180"/>
      <c r="AL52" s="180"/>
      <c r="AM52" s="180"/>
      <c r="AN52" s="180"/>
      <c r="AO52" s="180"/>
    </row>
    <row r="53" spans="1:41" s="164" customFormat="1" ht="33" customHeight="1">
      <c r="A53" s="944" t="s">
        <v>240</v>
      </c>
      <c r="B53" s="944"/>
      <c r="C53" s="944"/>
      <c r="D53" s="946"/>
      <c r="E53" s="946"/>
      <c r="F53" s="946"/>
      <c r="H53" s="169"/>
      <c r="AD53" s="180"/>
      <c r="AE53" s="167"/>
      <c r="AF53" s="167"/>
      <c r="AG53" s="180"/>
      <c r="AH53" s="180"/>
      <c r="AI53" s="180"/>
      <c r="AJ53" s="180"/>
      <c r="AK53" s="180"/>
      <c r="AL53" s="180"/>
      <c r="AM53" s="180"/>
      <c r="AN53" s="180"/>
      <c r="AO53" s="180"/>
    </row>
    <row r="54" spans="1:41" s="164" customFormat="1" ht="33" customHeight="1">
      <c r="A54" s="944" t="s">
        <v>241</v>
      </c>
      <c r="B54" s="944"/>
      <c r="C54" s="944"/>
      <c r="D54" s="946"/>
      <c r="E54" s="946"/>
      <c r="F54" s="946"/>
      <c r="H54" s="169"/>
      <c r="AD54" s="180"/>
      <c r="AE54" s="167"/>
      <c r="AF54" s="167"/>
      <c r="AG54" s="180"/>
      <c r="AH54" s="180"/>
      <c r="AI54" s="180"/>
      <c r="AJ54" s="180"/>
      <c r="AK54" s="180"/>
      <c r="AL54" s="180"/>
      <c r="AM54" s="180"/>
      <c r="AN54" s="180"/>
      <c r="AO54" s="180"/>
    </row>
    <row r="55" spans="1:41" s="164" customFormat="1" ht="33" customHeight="1">
      <c r="A55" s="944" t="s">
        <v>242</v>
      </c>
      <c r="B55" s="944"/>
      <c r="C55" s="944"/>
      <c r="D55" s="946"/>
      <c r="E55" s="946"/>
      <c r="F55" s="946"/>
      <c r="H55" s="169"/>
      <c r="AD55" s="180"/>
      <c r="AE55" s="167"/>
      <c r="AF55" s="167"/>
      <c r="AG55" s="180"/>
      <c r="AH55" s="180"/>
      <c r="AI55" s="180"/>
      <c r="AJ55" s="180"/>
      <c r="AK55" s="180"/>
      <c r="AL55" s="180"/>
      <c r="AM55" s="180"/>
      <c r="AN55" s="180"/>
      <c r="AO55" s="180"/>
    </row>
    <row r="56" spans="1:41" s="164" customFormat="1" ht="33" customHeight="1">
      <c r="A56" s="947" t="s">
        <v>243</v>
      </c>
      <c r="B56" s="947"/>
      <c r="C56" s="947"/>
      <c r="D56" s="946"/>
      <c r="E56" s="946"/>
      <c r="F56" s="946"/>
      <c r="H56" s="169"/>
      <c r="AD56" s="180"/>
      <c r="AE56" s="167"/>
      <c r="AF56" s="167"/>
      <c r="AG56" s="180"/>
      <c r="AH56" s="180"/>
      <c r="AI56" s="180"/>
      <c r="AJ56" s="180"/>
      <c r="AK56" s="180"/>
      <c r="AL56" s="180"/>
      <c r="AM56" s="180"/>
      <c r="AN56" s="180"/>
      <c r="AO56" s="180"/>
    </row>
    <row r="57" spans="1:41" s="164" customFormat="1" ht="33" customHeight="1">
      <c r="A57" s="950"/>
      <c r="B57" s="950"/>
      <c r="C57" s="950"/>
      <c r="D57" s="191"/>
      <c r="E57" s="191"/>
      <c r="F57" s="191"/>
      <c r="H57" s="169"/>
      <c r="AD57" s="180"/>
      <c r="AE57" s="167"/>
      <c r="AF57" s="167"/>
      <c r="AG57" s="180"/>
      <c r="AH57" s="180"/>
      <c r="AI57" s="180"/>
      <c r="AJ57" s="180"/>
      <c r="AK57" s="180"/>
      <c r="AL57" s="180"/>
      <c r="AM57" s="180"/>
      <c r="AN57" s="180"/>
      <c r="AO57" s="180"/>
    </row>
    <row r="58" spans="1:41" s="164" customFormat="1" ht="33" customHeight="1">
      <c r="A58" s="948"/>
      <c r="B58" s="948"/>
      <c r="C58" s="948"/>
      <c r="D58" s="191"/>
      <c r="E58" s="191"/>
      <c r="F58" s="191"/>
      <c r="H58" s="169"/>
      <c r="AD58" s="180"/>
      <c r="AE58" s="167"/>
      <c r="AF58" s="167"/>
      <c r="AG58" s="180"/>
      <c r="AH58" s="180"/>
      <c r="AI58" s="180"/>
      <c r="AJ58" s="180"/>
      <c r="AK58" s="180"/>
      <c r="AL58" s="180"/>
      <c r="AM58" s="180"/>
      <c r="AN58" s="180"/>
      <c r="AO58" s="180"/>
    </row>
    <row r="59" spans="1:41" s="164" customFormat="1" ht="60.75" customHeight="1">
      <c r="A59" s="94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49"/>
      <c r="C59" s="949"/>
      <c r="D59" s="949"/>
      <c r="E59" s="949"/>
      <c r="F59" s="949"/>
      <c r="H59" s="169"/>
      <c r="AD59" s="180"/>
      <c r="AE59" s="167"/>
      <c r="AF59" s="167"/>
      <c r="AG59" s="180"/>
      <c r="AH59" s="180"/>
      <c r="AI59" s="180"/>
      <c r="AJ59" s="180"/>
      <c r="AK59" s="180"/>
      <c r="AL59" s="180"/>
      <c r="AM59" s="180"/>
      <c r="AN59" s="180"/>
      <c r="AO59" s="180"/>
    </row>
    <row r="60" spans="1:41" s="164" customFormat="1" ht="33" customHeight="1">
      <c r="A60" s="945" t="s">
        <v>106</v>
      </c>
      <c r="B60" s="945"/>
      <c r="C60" s="945"/>
      <c r="D60" s="945"/>
      <c r="E60" s="945"/>
      <c r="F60" s="945"/>
      <c r="H60" s="169"/>
      <c r="AD60" s="180"/>
      <c r="AE60" s="167"/>
      <c r="AF60" s="167"/>
      <c r="AG60" s="180"/>
      <c r="AH60" s="180"/>
      <c r="AI60" s="180"/>
      <c r="AJ60" s="180"/>
      <c r="AK60" s="180"/>
      <c r="AL60" s="180"/>
      <c r="AM60" s="180"/>
      <c r="AN60" s="180"/>
      <c r="AO60" s="180"/>
    </row>
    <row r="61" spans="1:41">
      <c r="A61" s="169"/>
    </row>
    <row r="62" spans="1:41">
      <c r="A62" s="169"/>
    </row>
    <row r="63" spans="1:41">
      <c r="A63" s="169"/>
    </row>
    <row r="64" spans="1:41">
      <c r="A64" s="169"/>
    </row>
    <row r="65" spans="1:1">
      <c r="A65" s="169"/>
    </row>
    <row r="66" spans="1:1">
      <c r="A66" s="169"/>
    </row>
    <row r="67" spans="1:1">
      <c r="A67" s="169"/>
    </row>
    <row r="68" spans="1:1">
      <c r="A68" s="169"/>
    </row>
    <row r="69" spans="1:1">
      <c r="A69" s="169"/>
    </row>
    <row r="70" spans="1:1">
      <c r="A70" s="169"/>
    </row>
    <row r="71" spans="1:1">
      <c r="A71" s="169"/>
    </row>
    <row r="72" spans="1:1">
      <c r="A72" s="169"/>
    </row>
  </sheetData>
  <sheetProtection algorithmName="SHA-512" hashValue="vt7W8wAjfdsNKF7Ny8e4ateZ1wx/5cCy8bLZvxtiybRuhWrgx/Q/sVYhCjOOiNcDXOFbDKbVhh+9kc8QB1JPHg==" saltValue="d/8KHe3TzliO0cnfJsZAig==" spinCount="100000" sheet="1" formatColumns="0" formatRows="0" selectLockedCells="1"/>
  <customSheetViews>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2"/>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3"/>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0"/>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2"/>
      <headerFooter alignWithMargins="0">
        <oddFooter>&amp;R&amp;"Book Antiqua,Bold"&amp;8Bid Form (1st Envelope)  / Page &amp;P of &amp;N</oddFooter>
      </headerFooter>
    </customSheetView>
    <customSheetView guid="{C497F4E0-7D3E-4065-935D-7086BE9276FE}"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B3" sqref="B3:E3"/>
    </sheetView>
  </sheetViews>
  <sheetFormatPr defaultRowHeight="13.5"/>
  <cols>
    <col min="1" max="1" width="9.85546875" style="629" customWidth="1"/>
    <col min="2" max="2" width="12.7109375" style="629" customWidth="1"/>
    <col min="3" max="4" width="44.140625" style="629" customWidth="1"/>
    <col min="5" max="5" width="12.85546875" style="629" customWidth="1"/>
    <col min="6" max="6" width="15.28515625" style="615" customWidth="1"/>
    <col min="7" max="7" width="9.140625" style="615" customWidth="1"/>
    <col min="8" max="8" width="23.140625" style="615" customWidth="1"/>
    <col min="9" max="9" width="9.140625" style="615" customWidth="1"/>
    <col min="10" max="16384" width="9.140625" style="615"/>
  </cols>
  <sheetData>
    <row r="1" spans="1:10" ht="30.75" customHeight="1">
      <c r="A1" s="610"/>
      <c r="B1" s="746"/>
      <c r="C1" s="747"/>
      <c r="D1" s="747"/>
      <c r="E1" s="748"/>
      <c r="F1" s="611"/>
      <c r="G1" s="612" t="s">
        <v>480</v>
      </c>
      <c r="H1" s="613"/>
      <c r="I1" s="614"/>
      <c r="J1" s="614"/>
    </row>
    <row r="2" spans="1:10" ht="60.75" customHeight="1">
      <c r="A2" s="749" t="s">
        <v>39</v>
      </c>
      <c r="B2" s="752" t="str">
        <f>Basic!B1</f>
        <v xml:space="preserve"> Substation extension package (AIS) for augmentation of transformation capacity at 400/220kV Samba (PG) Substation in Jammu &amp; Kashmir by 1x500MVA 400/220kV ICT (4th).</v>
      </c>
      <c r="C2" s="753"/>
      <c r="D2" s="753"/>
      <c r="E2" s="754"/>
      <c r="F2" s="755" t="s">
        <v>509</v>
      </c>
      <c r="G2" s="614"/>
      <c r="H2" s="614"/>
      <c r="I2" s="614"/>
      <c r="J2" s="614"/>
    </row>
    <row r="3" spans="1:10" ht="23.25" customHeight="1">
      <c r="A3" s="750"/>
      <c r="B3" s="758" t="str">
        <f>Basic!B5</f>
        <v>NR2/NT/W-MISC/DOM/J01/25/07157</v>
      </c>
      <c r="C3" s="759"/>
      <c r="D3" s="759"/>
      <c r="E3" s="760"/>
      <c r="F3" s="756"/>
      <c r="G3" s="614"/>
      <c r="H3" s="614"/>
      <c r="I3" s="614"/>
      <c r="J3" s="614"/>
    </row>
    <row r="4" spans="1:10" ht="39.950000000000003" customHeight="1">
      <c r="A4" s="750"/>
      <c r="B4" s="616">
        <v>1</v>
      </c>
      <c r="C4" s="761" t="s">
        <v>40</v>
      </c>
      <c r="D4" s="761"/>
      <c r="E4" s="762"/>
      <c r="F4" s="756"/>
      <c r="G4" s="617"/>
      <c r="H4" s="618" t="s">
        <v>41</v>
      </c>
      <c r="I4" s="614"/>
      <c r="J4" s="614"/>
    </row>
    <row r="5" spans="1:10" ht="30" customHeight="1">
      <c r="A5" s="750"/>
      <c r="B5" s="616">
        <v>2</v>
      </c>
      <c r="C5" s="761" t="s">
        <v>42</v>
      </c>
      <c r="D5" s="761"/>
      <c r="E5" s="762"/>
      <c r="F5" s="756"/>
      <c r="G5" s="614"/>
      <c r="H5" s="614"/>
      <c r="I5" s="614"/>
      <c r="J5" s="614"/>
    </row>
    <row r="6" spans="1:10" ht="30" customHeight="1">
      <c r="A6" s="750"/>
      <c r="B6" s="616">
        <v>3</v>
      </c>
      <c r="C6" s="761" t="s">
        <v>43</v>
      </c>
      <c r="D6" s="761"/>
      <c r="E6" s="762"/>
      <c r="F6" s="756"/>
      <c r="G6" s="614"/>
      <c r="H6" s="614"/>
      <c r="I6" s="614"/>
      <c r="J6" s="614"/>
    </row>
    <row r="7" spans="1:10" ht="52.5" hidden="1" customHeight="1">
      <c r="A7" s="750"/>
      <c r="B7" s="616">
        <v>4</v>
      </c>
      <c r="C7" s="761" t="s">
        <v>44</v>
      </c>
      <c r="D7" s="761"/>
      <c r="E7" s="762"/>
      <c r="F7" s="756"/>
      <c r="G7" s="614"/>
      <c r="H7" s="614"/>
      <c r="I7" s="614"/>
      <c r="J7" s="614"/>
    </row>
    <row r="8" spans="1:10" ht="9.75" customHeight="1">
      <c r="A8" s="750"/>
      <c r="B8" s="619"/>
      <c r="C8" s="67"/>
      <c r="D8" s="67"/>
      <c r="E8" s="620"/>
      <c r="F8" s="756"/>
      <c r="G8" s="614"/>
      <c r="H8" s="614"/>
      <c r="I8" s="614"/>
      <c r="J8" s="614"/>
    </row>
    <row r="9" spans="1:10" ht="23.25" customHeight="1">
      <c r="A9" s="750"/>
      <c r="B9" s="763"/>
      <c r="C9" s="764"/>
      <c r="D9" s="764"/>
      <c r="E9" s="765"/>
      <c r="F9" s="756"/>
      <c r="G9" s="614"/>
      <c r="H9" s="614"/>
      <c r="I9" s="614"/>
      <c r="J9" s="614"/>
    </row>
    <row r="10" spans="1:10" ht="10.5" customHeight="1">
      <c r="A10" s="750"/>
      <c r="B10" s="621"/>
      <c r="C10" s="622"/>
      <c r="D10" s="622"/>
      <c r="E10" s="623"/>
      <c r="F10" s="756"/>
      <c r="G10" s="614"/>
      <c r="H10" s="614"/>
      <c r="I10" s="614"/>
      <c r="J10" s="614"/>
    </row>
    <row r="11" spans="1:10" ht="24" customHeight="1">
      <c r="A11" s="750"/>
      <c r="B11" s="766"/>
      <c r="C11" s="767"/>
      <c r="D11" s="767"/>
      <c r="E11" s="624"/>
      <c r="F11" s="756"/>
    </row>
    <row r="12" spans="1:10" ht="36" customHeight="1">
      <c r="A12" s="751"/>
      <c r="B12" s="768"/>
      <c r="C12" s="769"/>
      <c r="D12" s="769"/>
      <c r="E12" s="625"/>
      <c r="F12" s="757"/>
      <c r="G12" s="614"/>
      <c r="H12" s="614"/>
      <c r="I12" s="614"/>
      <c r="J12" s="614"/>
    </row>
    <row r="13" spans="1:10" ht="24" customHeight="1">
      <c r="A13" s="740"/>
      <c r="B13" s="741"/>
      <c r="C13" s="742"/>
      <c r="D13" s="742"/>
      <c r="E13" s="624"/>
      <c r="F13" s="743"/>
      <c r="G13" s="626"/>
      <c r="H13" s="626"/>
      <c r="I13" s="626"/>
      <c r="J13" s="626"/>
    </row>
    <row r="14" spans="1:10" ht="15.75" customHeight="1">
      <c r="A14" s="740"/>
      <c r="B14" s="744"/>
      <c r="C14" s="745"/>
      <c r="D14" s="745"/>
      <c r="E14" s="627"/>
      <c r="F14" s="743"/>
      <c r="G14" s="626"/>
      <c r="H14" s="626"/>
      <c r="I14" s="626"/>
      <c r="J14" s="626"/>
    </row>
    <row r="15" spans="1:10" ht="15.75">
      <c r="A15" s="67"/>
      <c r="B15" s="628"/>
      <c r="C15" s="628"/>
      <c r="D15" s="628"/>
      <c r="E15" s="628"/>
      <c r="F15" s="614"/>
      <c r="G15" s="614"/>
      <c r="H15" s="614"/>
      <c r="I15" s="614"/>
      <c r="J15" s="614"/>
    </row>
    <row r="16" spans="1:10" ht="15.75">
      <c r="A16" s="67"/>
      <c r="B16" s="67"/>
      <c r="C16" s="67"/>
      <c r="D16" s="67"/>
      <c r="E16" s="67"/>
      <c r="F16" s="614"/>
      <c r="G16" s="614"/>
      <c r="H16" s="614"/>
      <c r="I16" s="614"/>
      <c r="J16" s="614"/>
    </row>
    <row r="17" spans="1:10" ht="15.75">
      <c r="A17" s="67"/>
      <c r="B17" s="67"/>
      <c r="C17" s="67"/>
      <c r="D17" s="67"/>
      <c r="E17" s="67"/>
      <c r="F17" s="614"/>
      <c r="G17" s="614"/>
      <c r="H17" s="614"/>
      <c r="I17" s="614"/>
      <c r="J17" s="614"/>
    </row>
  </sheetData>
  <sheetProtection algorithmName="SHA-512" hashValue="eMavpUCBXtEFde7JFiDVGRxiPDFGt8YVZD/x1FpOEVk6MOZcqZ7pJvqML4j89xey1g2MjTvjV7hID4L8lE6evw==" saltValue="b3tK5nr0+ye6K+2QeMPVdg==" spinCount="100000" sheet="1" selectLockedCells="1"/>
  <customSheetViews>
    <customSheetView guid="{1211E1B9-FC37-4364-9CF0-0FFC0186672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C497F4E0-7D3E-4065-935D-7086BE9276FE}"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265</v>
      </c>
    </row>
    <row r="2" spans="1:9" ht="15.75">
      <c r="A2" s="222"/>
      <c r="B2" s="223"/>
      <c r="C2" s="224"/>
      <c r="D2" s="225"/>
      <c r="E2" s="226"/>
      <c r="F2" s="269"/>
      <c r="G2" s="269"/>
      <c r="H2" s="207"/>
      <c r="I2" s="227"/>
    </row>
    <row r="3" spans="1:9" ht="16.5">
      <c r="A3" s="196"/>
      <c r="B3" s="197" t="s">
        <v>252</v>
      </c>
      <c r="C3" s="198"/>
      <c r="D3" s="199"/>
      <c r="E3" s="228"/>
      <c r="F3" s="269"/>
      <c r="G3" s="269"/>
      <c r="H3" s="229">
        <f>SUMIF(I1:I2,"Direct",H1:H2)</f>
        <v>0</v>
      </c>
      <c r="I3" s="200"/>
    </row>
    <row r="4" spans="1:9" ht="33">
      <c r="A4" s="196"/>
      <c r="B4" s="197" t="s">
        <v>253</v>
      </c>
      <c r="C4" s="198"/>
      <c r="D4" s="199"/>
      <c r="E4" s="228"/>
      <c r="F4" s="269"/>
      <c r="G4" s="269"/>
      <c r="H4" s="229">
        <f>SUMIF(J1:J2,"Bought-Out",H1:H2)</f>
        <v>0</v>
      </c>
      <c r="I4" s="200"/>
    </row>
    <row r="5" spans="1:9" ht="16.5">
      <c r="A5" s="201"/>
      <c r="B5" s="197" t="s">
        <v>254</v>
      </c>
      <c r="C5" s="202"/>
      <c r="D5" s="203"/>
      <c r="E5" s="204"/>
      <c r="F5" s="204"/>
      <c r="G5" s="204"/>
      <c r="H5" s="230">
        <f>H3+H4</f>
        <v>0</v>
      </c>
      <c r="I5" s="205"/>
    </row>
    <row r="6" spans="1:9" ht="16.5">
      <c r="A6" s="206"/>
      <c r="B6" s="964" t="s">
        <v>255</v>
      </c>
      <c r="C6" s="964"/>
      <c r="D6" s="964"/>
      <c r="E6" s="207"/>
      <c r="F6" s="269"/>
      <c r="G6" s="269"/>
      <c r="H6" s="229" t="e">
        <f>'Sch-7'!#REF!</f>
        <v>#REF!</v>
      </c>
      <c r="I6" s="208"/>
    </row>
    <row r="7" spans="1:9" ht="17.25" thickBot="1">
      <c r="A7" s="209"/>
      <c r="B7" s="965" t="s">
        <v>256</v>
      </c>
      <c r="C7" s="965"/>
      <c r="D7" s="965"/>
      <c r="E7" s="210"/>
      <c r="F7" s="210"/>
      <c r="G7" s="210"/>
      <c r="H7" s="231" t="e">
        <f>H5+H6</f>
        <v>#REF!</v>
      </c>
      <c r="I7" s="211"/>
    </row>
    <row r="8" spans="1:9" ht="16.5">
      <c r="A8" s="966"/>
      <c r="B8" s="966"/>
      <c r="C8" s="966"/>
      <c r="D8" s="966"/>
      <c r="E8" s="966"/>
      <c r="F8" s="966"/>
      <c r="G8" s="966"/>
    </row>
    <row r="9" spans="1:9" ht="15.75">
      <c r="A9" s="2"/>
      <c r="B9" s="967"/>
      <c r="C9" s="967"/>
      <c r="D9" s="967"/>
      <c r="E9" s="967"/>
      <c r="F9" s="967"/>
      <c r="G9" s="967"/>
    </row>
    <row r="10" spans="1:9" ht="16.5">
      <c r="A10" s="212"/>
      <c r="B10" s="212"/>
      <c r="C10" s="212"/>
      <c r="D10" s="212"/>
      <c r="E10" s="212"/>
      <c r="F10" s="212"/>
      <c r="G10" s="212"/>
    </row>
    <row r="11" spans="1:9" ht="90" customHeight="1">
      <c r="A11" s="213" t="s">
        <v>257</v>
      </c>
      <c r="B11" s="810" t="s">
        <v>258</v>
      </c>
      <c r="C11" s="810"/>
      <c r="D11" s="810"/>
      <c r="E11" s="810"/>
      <c r="F11" s="810"/>
      <c r="G11" s="810"/>
      <c r="H11" s="810"/>
      <c r="I11" s="810"/>
    </row>
    <row r="12" spans="1:9" ht="116.25" customHeight="1">
      <c r="A12" s="214" t="s">
        <v>259</v>
      </c>
      <c r="B12" s="968" t="s">
        <v>260</v>
      </c>
      <c r="C12" s="968"/>
      <c r="D12" s="968"/>
      <c r="E12" s="968"/>
      <c r="F12" s="968"/>
      <c r="G12" s="968"/>
      <c r="H12" s="968"/>
      <c r="I12" s="968"/>
    </row>
    <row r="13" spans="1:9" ht="15.75">
      <c r="A13" s="214"/>
      <c r="B13" s="968"/>
      <c r="C13" s="968"/>
      <c r="D13" s="968"/>
      <c r="E13" s="968"/>
      <c r="F13" s="968"/>
      <c r="G13" s="968"/>
    </row>
    <row r="14" spans="1:9" ht="16.5">
      <c r="A14" s="215" t="s">
        <v>152</v>
      </c>
      <c r="B14" s="216" t="str">
        <f>'Names of Bidder'!C$22&amp;"-"&amp; 'Names of Bidder'!D$22&amp;"-" &amp;'Names of Bidder'!E$22</f>
        <v>--</v>
      </c>
      <c r="C14" s="217"/>
      <c r="D14" s="218"/>
      <c r="E14" s="1"/>
      <c r="F14" s="1"/>
      <c r="G14" s="219"/>
    </row>
    <row r="15" spans="1:9" ht="16.5">
      <c r="A15" s="215" t="s">
        <v>153</v>
      </c>
      <c r="B15" s="216" t="str">
        <f>IF('Names of Bidder'!C$23=0, "", 'Names of Bidder'!C$23)</f>
        <v/>
      </c>
      <c r="C15" s="1"/>
      <c r="D15" s="218" t="s">
        <v>134</v>
      </c>
      <c r="E15" s="219" t="str">
        <f>IF('Names of Bidder'!C$19=0, "", 'Names of Bidder'!C$19)</f>
        <v/>
      </c>
      <c r="F15" s="1"/>
      <c r="G15" s="216" t="str">
        <f>'[6]Names of Bidder'!I14&amp;"-"&amp; '[6]Names of Bidder'!J14&amp;"-" &amp;'[6]Names of Bidder'!K14</f>
        <v>--</v>
      </c>
    </row>
    <row r="16" spans="1:9" ht="16.5">
      <c r="A16" s="220"/>
      <c r="B16" s="221"/>
      <c r="C16" s="3"/>
      <c r="D16" s="218" t="s">
        <v>136</v>
      </c>
      <c r="E16" s="219" t="str">
        <f>IF('Names of Bidder'!C$20=0, "", 'Names of Bidder'!C$20)</f>
        <v/>
      </c>
      <c r="F16" s="3"/>
      <c r="G16" s="3"/>
    </row>
    <row r="18" spans="1:11">
      <c r="A18" t="s">
        <v>266</v>
      </c>
    </row>
    <row r="20" spans="1:11" ht="17.25" thickBot="1">
      <c r="A20" s="232"/>
      <c r="B20" s="233" t="s">
        <v>267</v>
      </c>
      <c r="C20" s="234"/>
      <c r="D20" s="233"/>
      <c r="E20" s="210"/>
      <c r="F20" s="210"/>
      <c r="G20" s="210"/>
      <c r="H20" s="235" t="s">
        <v>281</v>
      </c>
    </row>
    <row r="21" spans="1:11" ht="16.5" thickBot="1">
      <c r="A21" s="236"/>
      <c r="B21" s="969"/>
      <c r="C21" s="969"/>
      <c r="D21" s="969"/>
      <c r="E21" s="969"/>
      <c r="F21" s="969"/>
    </row>
    <row r="22" spans="1:11" ht="15.75">
      <c r="A22" s="237"/>
      <c r="B22" s="970"/>
      <c r="C22" s="970"/>
      <c r="D22" s="970"/>
      <c r="E22" s="970"/>
      <c r="F22" s="970"/>
    </row>
    <row r="23" spans="1:11" ht="16.5">
      <c r="A23" s="215" t="s">
        <v>152</v>
      </c>
      <c r="B23" s="216" t="s">
        <v>246</v>
      </c>
      <c r="C23" s="238"/>
      <c r="D23" s="218"/>
      <c r="E23" s="1"/>
      <c r="F23" s="1"/>
    </row>
    <row r="24" spans="1:11" ht="16.5">
      <c r="A24" s="215" t="s">
        <v>153</v>
      </c>
      <c r="B24" s="216" t="s">
        <v>247</v>
      </c>
      <c r="C24" s="2"/>
      <c r="D24" s="218" t="s">
        <v>134</v>
      </c>
      <c r="E24" s="219" t="s">
        <v>268</v>
      </c>
      <c r="F24" s="1"/>
    </row>
    <row r="25" spans="1:11" ht="16.5">
      <c r="A25" s="220"/>
      <c r="B25" s="221"/>
      <c r="C25" s="220"/>
      <c r="D25" s="218" t="s">
        <v>136</v>
      </c>
      <c r="E25" s="219" t="s">
        <v>269</v>
      </c>
      <c r="F25" s="3"/>
    </row>
    <row r="27" spans="1:11">
      <c r="A27" t="s">
        <v>270</v>
      </c>
    </row>
    <row r="29" spans="1:11" ht="16.5">
      <c r="A29" s="239"/>
      <c r="B29" s="240" t="s">
        <v>271</v>
      </c>
      <c r="C29" s="240"/>
      <c r="D29" s="240"/>
      <c r="E29" s="241"/>
      <c r="F29" s="241"/>
      <c r="G29" s="241"/>
      <c r="H29" s="241"/>
      <c r="I29" s="241"/>
      <c r="J29" s="241"/>
      <c r="K29" s="242" t="e">
        <f>SUM(#REF!)</f>
        <v>#REF!</v>
      </c>
    </row>
    <row r="30" spans="1:11" ht="15.75">
      <c r="A30" s="237"/>
      <c r="B30" s="971"/>
      <c r="C30" s="967"/>
      <c r="D30" s="967"/>
      <c r="E30" s="967"/>
      <c r="F30" s="967"/>
      <c r="G30" s="967"/>
    </row>
    <row r="31" spans="1:11" ht="16.5">
      <c r="A31" s="243" t="s">
        <v>152</v>
      </c>
      <c r="B31" s="244" t="s">
        <v>246</v>
      </c>
      <c r="C31" s="245"/>
      <c r="D31" s="246"/>
      <c r="E31" s="247"/>
      <c r="F31" s="247"/>
      <c r="G31" s="3"/>
    </row>
    <row r="32" spans="1:11" ht="16.5">
      <c r="A32" s="243" t="s">
        <v>153</v>
      </c>
      <c r="B32" s="244" t="s">
        <v>247</v>
      </c>
      <c r="C32" s="247"/>
      <c r="D32" s="246" t="s">
        <v>134</v>
      </c>
      <c r="E32" s="248" t="s">
        <v>268</v>
      </c>
      <c r="F32" s="247"/>
      <c r="G32" s="3"/>
    </row>
    <row r="33" spans="1:8" ht="16.5">
      <c r="A33" s="249"/>
      <c r="B33" s="250"/>
      <c r="C33" s="251"/>
      <c r="D33" s="246" t="s">
        <v>136</v>
      </c>
      <c r="E33" s="248" t="s">
        <v>269</v>
      </c>
      <c r="F33" s="251"/>
      <c r="G33" s="3"/>
    </row>
    <row r="35" spans="1:8">
      <c r="A35" t="s">
        <v>274</v>
      </c>
    </row>
    <row r="37" spans="1:8" ht="30">
      <c r="A37" s="252" t="s">
        <v>152</v>
      </c>
      <c r="B37" s="253" t="s">
        <v>244</v>
      </c>
      <c r="C37" s="254"/>
      <c r="D37" s="972" t="s">
        <v>272</v>
      </c>
      <c r="E37" s="972"/>
      <c r="F37" s="973"/>
    </row>
    <row r="38" spans="1:8" ht="30">
      <c r="A38" s="252" t="s">
        <v>153</v>
      </c>
      <c r="B38" s="253" t="s">
        <v>245</v>
      </c>
      <c r="C38" s="7"/>
      <c r="D38" s="972" t="s">
        <v>273</v>
      </c>
      <c r="E38" s="972"/>
      <c r="F38" s="973"/>
    </row>
    <row r="40" spans="1:8">
      <c r="A40" t="s">
        <v>275</v>
      </c>
    </row>
    <row r="42" spans="1:8" ht="30">
      <c r="A42" s="255"/>
      <c r="B42" s="256" t="s">
        <v>276</v>
      </c>
      <c r="C42" s="256"/>
      <c r="D42" s="256"/>
      <c r="E42" s="256"/>
      <c r="F42" s="256"/>
      <c r="G42" s="256"/>
      <c r="H42" s="257" t="s">
        <v>282</v>
      </c>
    </row>
    <row r="43" spans="1:8" ht="16.5">
      <c r="A43" s="258"/>
      <c r="B43" s="259"/>
      <c r="C43" s="259"/>
      <c r="D43" s="259"/>
      <c r="E43" s="259"/>
      <c r="F43" s="259"/>
      <c r="G43" s="260"/>
    </row>
    <row r="44" spans="1:8">
      <c r="A44" s="259"/>
      <c r="B44" s="259"/>
      <c r="C44" s="259"/>
      <c r="D44" s="259"/>
      <c r="E44" s="259"/>
      <c r="F44" s="259"/>
      <c r="G44" s="261"/>
    </row>
    <row r="45" spans="1:8">
      <c r="A45" s="974"/>
      <c r="B45" s="974"/>
      <c r="C45" s="974"/>
      <c r="D45" s="974"/>
      <c r="E45" s="974"/>
      <c r="F45" s="974"/>
      <c r="G45" s="974"/>
    </row>
    <row r="46" spans="1:8">
      <c r="A46" s="262"/>
      <c r="B46" s="262"/>
      <c r="C46" s="972"/>
      <c r="D46" s="972"/>
      <c r="E46" s="972"/>
      <c r="F46" s="972"/>
      <c r="G46" s="972"/>
    </row>
    <row r="47" spans="1:8">
      <c r="A47" s="263" t="s">
        <v>152</v>
      </c>
      <c r="B47" s="264" t="s">
        <v>246</v>
      </c>
      <c r="C47" s="972" t="s">
        <v>277</v>
      </c>
      <c r="D47" s="972"/>
      <c r="E47" s="972"/>
      <c r="F47" s="972"/>
      <c r="G47" s="972"/>
    </row>
    <row r="48" spans="1:8">
      <c r="A48" s="263" t="s">
        <v>153</v>
      </c>
      <c r="B48" s="265" t="s">
        <v>247</v>
      </c>
      <c r="C48" s="972" t="s">
        <v>278</v>
      </c>
      <c r="D48" s="972"/>
      <c r="E48" s="972"/>
      <c r="F48" s="972"/>
      <c r="G48" s="972"/>
    </row>
    <row r="49" spans="1:7" ht="16.5">
      <c r="A49" s="6"/>
      <c r="B49" s="5"/>
      <c r="C49" s="972"/>
      <c r="D49" s="972"/>
      <c r="E49" s="972"/>
      <c r="F49" s="972"/>
      <c r="G49" s="972"/>
    </row>
    <row r="50" spans="1:7" ht="16.5">
      <c r="A50" s="6"/>
      <c r="B50" s="5"/>
      <c r="C50" s="259"/>
      <c r="D50" s="259"/>
      <c r="E50" s="259"/>
      <c r="F50" s="259"/>
      <c r="G50" s="259"/>
    </row>
    <row r="51" spans="1:7" ht="16.5">
      <c r="A51" s="266" t="s">
        <v>279</v>
      </c>
      <c r="B51" s="908" t="s">
        <v>280</v>
      </c>
      <c r="C51" s="908"/>
      <c r="D51" s="908"/>
      <c r="E51" s="908"/>
      <c r="F51" s="908"/>
      <c r="G51" s="267"/>
    </row>
    <row r="52" spans="1:7" ht="16.5">
      <c r="A52" s="268"/>
      <c r="B52" s="9"/>
      <c r="C52" s="9"/>
      <c r="D52" s="9"/>
      <c r="E52" s="9"/>
      <c r="F52" s="9"/>
      <c r="G52" s="9"/>
    </row>
    <row r="60" spans="1:7">
      <c r="B60" t="s">
        <v>248</v>
      </c>
    </row>
    <row r="61" spans="1:7">
      <c r="B61" t="s">
        <v>249</v>
      </c>
    </row>
  </sheetData>
  <customSheetViews>
    <customSheetView guid="{1211E1B9-FC37-4364-9CF0-0FFC01866726}" state="hidden">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C497F4E0-7D3E-4065-935D-7086BE9276FE}"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1211E1B9-FC37-4364-9CF0-0FFC01866726}" state="hidden">
      <pageMargins left="0.7" right="0.7" top="0.75" bottom="0.75" header="0.3" footer="0.3"/>
    </customSheetView>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89CB4E6A-722E-4E39-885D-E2A6D0D08321}" state="hidden">
      <pageMargins left="0.7" right="0.7" top="0.75" bottom="0.75" header="0.3" footer="0.3"/>
    </customSheetView>
    <customSheetView guid="{889C3D82-0A24-4765-A688-A80A782F5056}" state="hidden">
      <pageMargins left="0.7" right="0.7" top="0.75" bottom="0.75" header="0.3" footer="0.3"/>
    </customSheetView>
    <customSheetView guid="{C497F4E0-7D3E-4065-935D-7086BE9276FE}"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391" hidden="1" customWidth="1"/>
    <col min="2" max="2" width="13.28515625" style="391" hidden="1" customWidth="1"/>
    <col min="3" max="3" width="0" style="391" hidden="1" customWidth="1"/>
    <col min="4" max="4" width="10.28515625" style="391" hidden="1" customWidth="1"/>
    <col min="5" max="5" width="3.42578125" style="391" hidden="1" customWidth="1"/>
    <col min="6" max="6" width="5.5703125" style="391" hidden="1" customWidth="1"/>
    <col min="7" max="7" width="11.42578125" style="391" hidden="1" customWidth="1"/>
    <col min="8" max="8" width="0" style="391" hidden="1" customWidth="1"/>
    <col min="9" max="9" width="10" style="391" hidden="1" customWidth="1"/>
    <col min="10" max="10" width="3.28515625" style="391" hidden="1" customWidth="1"/>
    <col min="11" max="11" width="5" style="391" hidden="1" customWidth="1"/>
    <col min="12" max="12" width="11.28515625" style="391" hidden="1" customWidth="1"/>
    <col min="13" max="13" width="0" style="391" hidden="1" customWidth="1"/>
    <col min="14" max="14" width="10.28515625" style="391" hidden="1" customWidth="1"/>
    <col min="15" max="15" width="3.7109375" style="391" hidden="1" customWidth="1"/>
    <col min="16" max="16" width="6.42578125" style="391" customWidth="1"/>
    <col min="17" max="17" width="14.85546875" style="391" customWidth="1"/>
    <col min="18" max="18" width="9.140625" style="391" customWidth="1"/>
    <col min="19" max="19" width="12" style="391" customWidth="1"/>
    <col min="20" max="20" width="3.28515625" style="391" hidden="1" customWidth="1"/>
    <col min="21" max="21" width="6.140625" style="391" hidden="1" customWidth="1"/>
    <col min="22" max="22" width="8.5703125" style="391" hidden="1" customWidth="1"/>
    <col min="23" max="23" width="8.42578125" style="391" hidden="1" customWidth="1"/>
    <col min="24" max="24" width="8.85546875" style="391" hidden="1" customWidth="1"/>
    <col min="25" max="116" width="0" style="391" hidden="1" customWidth="1"/>
    <col min="117" max="16384" width="9.140625" style="391"/>
  </cols>
  <sheetData>
    <row r="1" spans="1:27" ht="13.5" thickBot="1">
      <c r="A1" s="986" t="e">
        <v>#REF!</v>
      </c>
      <c r="B1" s="987"/>
      <c r="C1" s="372"/>
      <c r="D1" s="373"/>
      <c r="E1" s="372"/>
      <c r="F1" s="986">
        <v>0</v>
      </c>
      <c r="G1" s="987"/>
      <c r="H1" s="372"/>
      <c r="I1" s="373"/>
      <c r="K1" s="986" t="e">
        <v>#REF!</v>
      </c>
      <c r="L1" s="987"/>
      <c r="M1" s="372"/>
      <c r="N1" s="373"/>
      <c r="P1" s="986">
        <f>'Sch-6 (After Discount)'!D28</f>
        <v>0</v>
      </c>
      <c r="Q1" s="987"/>
      <c r="R1" s="372"/>
      <c r="S1" s="373"/>
      <c r="U1" s="394" t="e">
        <v>#REF!</v>
      </c>
    </row>
    <row r="2" spans="1:27">
      <c r="A2" s="981"/>
      <c r="B2" s="982"/>
      <c r="C2" s="372"/>
      <c r="D2" s="373"/>
      <c r="E2" s="372"/>
      <c r="F2" s="374"/>
      <c r="G2" s="372"/>
      <c r="H2" s="372"/>
      <c r="I2" s="373"/>
      <c r="K2" s="374"/>
      <c r="L2" s="372"/>
      <c r="M2" s="372"/>
      <c r="N2" s="373"/>
      <c r="P2" s="374"/>
      <c r="Q2" s="372"/>
      <c r="R2" s="372"/>
      <c r="S2" s="373"/>
      <c r="U2" s="394" t="e">
        <v>#REF!</v>
      </c>
    </row>
    <row r="3" spans="1:27">
      <c r="A3" s="374"/>
      <c r="B3" s="375"/>
      <c r="C3" s="375"/>
      <c r="D3" s="376"/>
      <c r="E3" s="375"/>
      <c r="F3" s="374"/>
      <c r="G3" s="375"/>
      <c r="H3" s="375"/>
      <c r="I3" s="376"/>
      <c r="K3" s="374"/>
      <c r="L3" s="375"/>
      <c r="M3" s="375"/>
      <c r="N3" s="376"/>
      <c r="P3" s="374"/>
      <c r="Q3" s="375"/>
      <c r="R3" s="375"/>
      <c r="S3" s="376"/>
      <c r="U3" s="394" t="s">
        <v>443</v>
      </c>
    </row>
    <row r="4" spans="1:27" ht="66.75" customHeight="1" thickBot="1">
      <c r="A4" s="983" t="e">
        <f>IF(OR((A1&gt;9999999999),(A1&lt;0)),"Invalid Entry - More than 1000 crore OR -ve value",IF(A1=0, "",+CONCATENATE(#REF!,B11,D11,B10,D10,B9,D9,B8,D8,B7,D7,B6," Only")))</f>
        <v>#REF!</v>
      </c>
      <c r="B4" s="984"/>
      <c r="C4" s="984"/>
      <c r="D4" s="985"/>
      <c r="E4" s="372"/>
      <c r="F4" s="983" t="str">
        <f>IF(OR((F1&gt;9999999999),(F1&lt;0)),"Invalid Entry - More than 1000 crore OR -ve value",IF(F1=0, "",+CONCATENATE(U1, G11,I11,G10,I10,G9,I9,G8,I8,G7,I7,G6," Only")))</f>
        <v/>
      </c>
      <c r="G4" s="984"/>
      <c r="H4" s="984"/>
      <c r="I4" s="985"/>
      <c r="J4" s="372"/>
      <c r="K4" s="983" t="e">
        <f>IF(OR((K1&gt;9999999999),(K1&lt;0)),"Invalid Entry - More than 1000 crore OR -ve value",IF(K1=0, "",+CONCATENATE(U2, L11,N11,L10,N10,L9,N9,L8,N8,L7,N7,L6," Only")))</f>
        <v>#REF!</v>
      </c>
      <c r="L4" s="984"/>
      <c r="M4" s="984"/>
      <c r="N4" s="985"/>
      <c r="P4" s="983" t="str">
        <f>IF(OR((P1&gt;9999999999),(P1&lt;0)),"Invalid Entry - More than 1000 crore OR -ve value",IF(P1=0, "",+CONCATENATE(U3, Q11,S11,Q10,S10,Q9,S9,Q8,S8,Q7,S7,Q6," Only")))</f>
        <v/>
      </c>
      <c r="Q4" s="984"/>
      <c r="R4" s="984"/>
      <c r="S4" s="985"/>
      <c r="U4" s="975" t="e">
        <f>VLOOKUP(1,T28:Y43,6,FALSE)</f>
        <v>#N/A</v>
      </c>
      <c r="V4" s="975"/>
      <c r="W4" s="975"/>
      <c r="X4" s="975"/>
      <c r="Y4" s="975"/>
      <c r="Z4" s="975"/>
      <c r="AA4" s="975"/>
    </row>
    <row r="5" spans="1:27" ht="18.75" customHeight="1" thickBot="1">
      <c r="A5" s="374"/>
      <c r="B5" s="375"/>
      <c r="C5" s="375"/>
      <c r="D5" s="376"/>
      <c r="E5" s="375"/>
      <c r="F5" s="374"/>
      <c r="G5" s="375"/>
      <c r="H5" s="375"/>
      <c r="I5" s="376"/>
      <c r="K5" s="374"/>
      <c r="L5" s="375"/>
      <c r="M5" s="375"/>
      <c r="N5" s="376"/>
      <c r="P5" s="374"/>
      <c r="Q5" s="375"/>
      <c r="R5" s="375"/>
      <c r="S5" s="376"/>
      <c r="U5" s="976" t="e">
        <f>VLOOKUP(1,T8:Y23,6,FALSE)</f>
        <v>#N/A</v>
      </c>
      <c r="V5" s="977"/>
      <c r="W5" s="977"/>
      <c r="X5" s="977"/>
      <c r="Y5" s="977"/>
      <c r="Z5" s="977"/>
      <c r="AA5" s="978"/>
    </row>
    <row r="6" spans="1:27">
      <c r="A6" s="377" t="e">
        <f>-INT(A1/100)*100+ROUND(A1,0)</f>
        <v>#REF!</v>
      </c>
      <c r="B6" s="375" t="e">
        <f t="shared" ref="B6:B11" si="0">IF(A6=0,"",LOOKUP(A6,$A$13:$A$112,$B$13:$B$112))</f>
        <v>#REF!</v>
      </c>
      <c r="C6" s="375"/>
      <c r="D6" s="378"/>
      <c r="E6" s="375"/>
      <c r="F6" s="377">
        <f>-INT(F1/100)*100+ROUND(F1,0)</f>
        <v>0</v>
      </c>
      <c r="G6" s="375" t="str">
        <f t="shared" ref="G6:G11" si="1">IF(F6=0,"",LOOKUP(F6,$A$13:$A$112,$B$13:$B$112))</f>
        <v/>
      </c>
      <c r="H6" s="375"/>
      <c r="I6" s="378"/>
      <c r="K6" s="377" t="e">
        <f>-INT(K1/100)*100+ROUND(K1,0)</f>
        <v>#REF!</v>
      </c>
      <c r="L6" s="375" t="e">
        <f t="shared" ref="L6:L11" si="2">IF(K6=0,"",LOOKUP(K6,$A$13:$A$112,$B$13:$B$112))</f>
        <v>#REF!</v>
      </c>
      <c r="M6" s="375"/>
      <c r="N6" s="378"/>
      <c r="P6" s="377">
        <f>-INT(P1/100)*100+ROUND(P1,0)</f>
        <v>0</v>
      </c>
      <c r="Q6" s="375" t="str">
        <f t="shared" ref="Q6:Q11" si="3">IF(P6=0,"",LOOKUP(P6,$A$13:$A$112,$B$13:$B$112))</f>
        <v/>
      </c>
      <c r="R6" s="375"/>
      <c r="S6" s="378"/>
    </row>
    <row r="7" spans="1:27">
      <c r="A7" s="377" t="e">
        <f>-INT(A1/1000)*10+INT(A1/100)</f>
        <v>#REF!</v>
      </c>
      <c r="B7" s="375" t="e">
        <f t="shared" si="0"/>
        <v>#REF!</v>
      </c>
      <c r="C7" s="375"/>
      <c r="D7" s="378" t="e">
        <f>+IF(B7="",""," Hundred ")</f>
        <v>#REF!</v>
      </c>
      <c r="E7" s="375"/>
      <c r="F7" s="377">
        <f>-INT(F1/1000)*10+INT(F1/100)</f>
        <v>0</v>
      </c>
      <c r="G7" s="375" t="str">
        <f t="shared" si="1"/>
        <v/>
      </c>
      <c r="H7" s="375"/>
      <c r="I7" s="378" t="str">
        <f>+IF(G7="",""," Hundred ")</f>
        <v/>
      </c>
      <c r="K7" s="377" t="e">
        <f>-INT(K1/1000)*10+INT(K1/100)</f>
        <v>#REF!</v>
      </c>
      <c r="L7" s="375" t="e">
        <f t="shared" si="2"/>
        <v>#REF!</v>
      </c>
      <c r="M7" s="375"/>
      <c r="N7" s="378" t="e">
        <f>+IF(L7="",""," Hundred ")</f>
        <v>#REF!</v>
      </c>
      <c r="P7" s="377">
        <f>-INT(P1/1000)*10+INT(P1/100)</f>
        <v>0</v>
      </c>
      <c r="Q7" s="375" t="str">
        <f t="shared" si="3"/>
        <v/>
      </c>
      <c r="R7" s="375"/>
      <c r="S7" s="378" t="str">
        <f>+IF(Q7="",""," Hundred ")</f>
        <v/>
      </c>
    </row>
    <row r="8" spans="1:27">
      <c r="A8" s="377" t="e">
        <f>-INT(A1/100000)*100+INT(A1/1000)</f>
        <v>#REF!</v>
      </c>
      <c r="B8" s="375" t="e">
        <f t="shared" si="0"/>
        <v>#REF!</v>
      </c>
      <c r="C8" s="375"/>
      <c r="D8" s="378" t="e">
        <f>IF((B8=""),IF(C8="",""," Thousand ")," Thousand ")</f>
        <v>#REF!</v>
      </c>
      <c r="E8" s="375"/>
      <c r="F8" s="377">
        <f>-INT(F1/100000)*100+INT(F1/1000)</f>
        <v>0</v>
      </c>
      <c r="G8" s="375" t="str">
        <f t="shared" si="1"/>
        <v/>
      </c>
      <c r="H8" s="375"/>
      <c r="I8" s="378" t="str">
        <f>IF((G8=""),IF(H8="",""," Thousand ")," Thousand ")</f>
        <v/>
      </c>
      <c r="K8" s="377" t="e">
        <f>-INT(K1/100000)*100+INT(K1/1000)</f>
        <v>#REF!</v>
      </c>
      <c r="L8" s="375" t="e">
        <f t="shared" si="2"/>
        <v>#REF!</v>
      </c>
      <c r="M8" s="375"/>
      <c r="N8" s="378" t="e">
        <f>IF((L8=""),IF(M8="",""," Thousand ")," Thousand ")</f>
        <v>#REF!</v>
      </c>
      <c r="P8" s="377">
        <f>-INT(P1/100000)*100+INT(P1/1000)</f>
        <v>0</v>
      </c>
      <c r="Q8" s="375" t="str">
        <f t="shared" si="3"/>
        <v/>
      </c>
      <c r="R8" s="375"/>
      <c r="S8" s="378" t="str">
        <f>IF((Q8=""),IF(R8="",""," Thousand ")," Thousand ")</f>
        <v/>
      </c>
      <c r="T8" s="395" t="e">
        <f>IF(Y8="",0, 1)</f>
        <v>#REF!</v>
      </c>
      <c r="U8" s="391">
        <v>0</v>
      </c>
      <c r="V8" s="391">
        <v>0</v>
      </c>
      <c r="W8" s="391">
        <v>0</v>
      </c>
      <c r="X8" s="391">
        <v>0</v>
      </c>
      <c r="Y8" s="396" t="e">
        <f>IF(AND($A$1=0,$F$1=0,$K$1=0,$P$1=0)," Zero only", "")</f>
        <v>#REF!</v>
      </c>
      <c r="AA8" s="391" t="s">
        <v>444</v>
      </c>
    </row>
    <row r="9" spans="1:27">
      <c r="A9" s="377" t="e">
        <f>-INT(A1/10000000)*100+INT(A1/100000)</f>
        <v>#REF!</v>
      </c>
      <c r="B9" s="375" t="e">
        <f t="shared" si="0"/>
        <v>#REF!</v>
      </c>
      <c r="C9" s="375"/>
      <c r="D9" s="378" t="e">
        <f>IF((B9=""),IF(C9="",""," Lac ")," Lac ")</f>
        <v>#REF!</v>
      </c>
      <c r="E9" s="375"/>
      <c r="F9" s="377">
        <f>-INT(F1/10000000)*100+INT(F1/100000)</f>
        <v>0</v>
      </c>
      <c r="G9" s="375" t="str">
        <f t="shared" si="1"/>
        <v/>
      </c>
      <c r="H9" s="375"/>
      <c r="I9" s="378" t="str">
        <f>IF((G9=""),IF(H9="",""," Lac ")," Lac ")</f>
        <v/>
      </c>
      <c r="K9" s="377" t="e">
        <f>-INT(K1/10000000)*100+INT(K1/100000)</f>
        <v>#REF!</v>
      </c>
      <c r="L9" s="375" t="e">
        <f t="shared" si="2"/>
        <v>#REF!</v>
      </c>
      <c r="M9" s="375"/>
      <c r="N9" s="378" t="e">
        <f>IF((L9=""),IF(M9="",""," Lac ")," Lac ")</f>
        <v>#REF!</v>
      </c>
      <c r="P9" s="377">
        <f>-INT(P1/10000000)*100+INT(P1/100000)</f>
        <v>0</v>
      </c>
      <c r="Q9" s="375" t="str">
        <f t="shared" si="3"/>
        <v/>
      </c>
      <c r="R9" s="375"/>
      <c r="S9" s="378" t="str">
        <f>IF((Q9=""),IF(R9="",""," Lac ")," Lac ")</f>
        <v/>
      </c>
      <c r="T9" s="395" t="e">
        <f t="shared" ref="T9:T23" si="4">IF(Y9="",0, 1)</f>
        <v>#REF!</v>
      </c>
      <c r="U9" s="391">
        <v>0</v>
      </c>
      <c r="V9" s="391">
        <v>0</v>
      </c>
      <c r="W9" s="391">
        <v>0</v>
      </c>
      <c r="X9" s="391">
        <v>1</v>
      </c>
      <c r="Y9" s="397" t="e">
        <f>IF(AND($A$1=0,$F$1=0,$K$1=0,$P$1&gt;0),$P$4, "")</f>
        <v>#REF!</v>
      </c>
    </row>
    <row r="10" spans="1:27">
      <c r="A10" s="377" t="e">
        <f>-INT(A1/1000000000)*100+INT(A1/10000000)</f>
        <v>#REF!</v>
      </c>
      <c r="B10" s="379" t="e">
        <f t="shared" si="0"/>
        <v>#REF!</v>
      </c>
      <c r="C10" s="375"/>
      <c r="D10" s="378" t="e">
        <f>IF((B10=""),IF(C10="",""," Crore ")," Crore ")</f>
        <v>#REF!</v>
      </c>
      <c r="E10" s="375"/>
      <c r="F10" s="377">
        <f>-INT(F1/1000000000)*100+INT(F1/10000000)</f>
        <v>0</v>
      </c>
      <c r="G10" s="379" t="str">
        <f t="shared" si="1"/>
        <v/>
      </c>
      <c r="H10" s="375"/>
      <c r="I10" s="378" t="str">
        <f>IF((G10=""),IF(H10="",""," Crore ")," Crore ")</f>
        <v/>
      </c>
      <c r="K10" s="377" t="e">
        <f>-INT(K1/1000000000)*100+INT(K1/10000000)</f>
        <v>#REF!</v>
      </c>
      <c r="L10" s="379" t="e">
        <f t="shared" si="2"/>
        <v>#REF!</v>
      </c>
      <c r="M10" s="375"/>
      <c r="N10" s="378" t="e">
        <f>IF((L10=""),IF(M10="",""," Crore ")," Crore ")</f>
        <v>#REF!</v>
      </c>
      <c r="P10" s="377">
        <f>-INT(P1/1000000000)*100+INT(P1/10000000)</f>
        <v>0</v>
      </c>
      <c r="Q10" s="379" t="str">
        <f t="shared" si="3"/>
        <v/>
      </c>
      <c r="R10" s="375"/>
      <c r="S10" s="378" t="str">
        <f>IF((Q10=""),IF(R10="",""," Crore ")," Crore ")</f>
        <v/>
      </c>
      <c r="T10" s="395" t="e">
        <f t="shared" si="4"/>
        <v>#REF!</v>
      </c>
      <c r="U10" s="391">
        <v>0</v>
      </c>
      <c r="V10" s="391">
        <v>0</v>
      </c>
      <c r="W10" s="391">
        <v>1</v>
      </c>
      <c r="X10" s="391">
        <v>0</v>
      </c>
      <c r="Y10" s="397" t="e">
        <f>IF(AND($A$1=0,$F$1=0,$K$1&gt;0,$P$1=0),$K$4, "")</f>
        <v>#REF!</v>
      </c>
    </row>
    <row r="11" spans="1:27">
      <c r="A11" s="380" t="e">
        <f>-INT(A1/10000000000)*1000+INT(A1/1000000000)</f>
        <v>#REF!</v>
      </c>
      <c r="B11" s="379" t="e">
        <f t="shared" si="0"/>
        <v>#REF!</v>
      </c>
      <c r="C11" s="375"/>
      <c r="D11" s="378" t="e">
        <f>IF((B11=""),IF(C11="",""," Hundred ")," Hundred ")</f>
        <v>#REF!</v>
      </c>
      <c r="E11" s="375"/>
      <c r="F11" s="380">
        <f>-INT(F1/10000000000)*1000+INT(F1/1000000000)</f>
        <v>0</v>
      </c>
      <c r="G11" s="379" t="str">
        <f t="shared" si="1"/>
        <v/>
      </c>
      <c r="H11" s="375"/>
      <c r="I11" s="378" t="str">
        <f>IF((G11=""),IF(H11="",""," Hundred ")," Hundred ")</f>
        <v/>
      </c>
      <c r="K11" s="380" t="e">
        <f>-INT(K1/10000000000)*1000+INT(K1/1000000000)</f>
        <v>#REF!</v>
      </c>
      <c r="L11" s="379" t="e">
        <f t="shared" si="2"/>
        <v>#REF!</v>
      </c>
      <c r="M11" s="375"/>
      <c r="N11" s="378" t="e">
        <f>IF((L11=""),IF(M11="",""," Hundred ")," Hundred ")</f>
        <v>#REF!</v>
      </c>
      <c r="P11" s="380">
        <f>-INT(P1/10000000000)*1000+INT(P1/1000000000)</f>
        <v>0</v>
      </c>
      <c r="Q11" s="379" t="str">
        <f t="shared" si="3"/>
        <v/>
      </c>
      <c r="R11" s="375"/>
      <c r="S11" s="378" t="str">
        <f>IF((Q11=""),IF(R11="",""," Hundred ")," Hundred ")</f>
        <v/>
      </c>
      <c r="T11" s="395" t="e">
        <f t="shared" si="4"/>
        <v>#REF!</v>
      </c>
      <c r="U11" s="391">
        <v>0</v>
      </c>
      <c r="V11" s="391">
        <v>0</v>
      </c>
      <c r="W11" s="391">
        <v>1</v>
      </c>
      <c r="X11" s="391">
        <v>1</v>
      </c>
      <c r="Y11" s="397" t="e">
        <f>IF(AND($A$1=0,$F$1=0,$K$1&gt;0,$P$1&gt;0),$K$4&amp;$AA$8&amp;$P$4, "")</f>
        <v>#REF!</v>
      </c>
    </row>
    <row r="12" spans="1:27">
      <c r="A12" s="381"/>
      <c r="B12" s="375"/>
      <c r="C12" s="375"/>
      <c r="D12" s="376"/>
      <c r="E12" s="375"/>
      <c r="F12" s="381"/>
      <c r="G12" s="375"/>
      <c r="H12" s="375"/>
      <c r="I12" s="376"/>
      <c r="K12" s="381"/>
      <c r="L12" s="375"/>
      <c r="M12" s="375"/>
      <c r="N12" s="376"/>
      <c r="P12" s="381"/>
      <c r="Q12" s="375"/>
      <c r="R12" s="375"/>
      <c r="S12" s="376"/>
      <c r="T12" s="395" t="e">
        <f t="shared" si="4"/>
        <v>#REF!</v>
      </c>
      <c r="U12" s="391">
        <v>0</v>
      </c>
      <c r="V12" s="391">
        <v>1</v>
      </c>
      <c r="W12" s="391">
        <v>0</v>
      </c>
      <c r="X12" s="391">
        <v>0</v>
      </c>
      <c r="Y12" s="397" t="e">
        <f>IF(AND($A$1=0,$F$1&gt;0,$K$1=0,$P$1=0),$F$4, "")</f>
        <v>#REF!</v>
      </c>
    </row>
    <row r="13" spans="1:27">
      <c r="A13" s="382">
        <v>1</v>
      </c>
      <c r="B13" s="383" t="s">
        <v>343</v>
      </c>
      <c r="C13" s="375"/>
      <c r="D13" s="376"/>
      <c r="E13" s="375"/>
      <c r="F13" s="382">
        <v>1</v>
      </c>
      <c r="G13" s="383" t="s">
        <v>343</v>
      </c>
      <c r="H13" s="375"/>
      <c r="I13" s="376"/>
      <c r="K13" s="382">
        <v>1</v>
      </c>
      <c r="L13" s="383" t="s">
        <v>343</v>
      </c>
      <c r="M13" s="375"/>
      <c r="N13" s="376"/>
      <c r="P13" s="382">
        <v>1</v>
      </c>
      <c r="Q13" s="383" t="s">
        <v>343</v>
      </c>
      <c r="R13" s="375"/>
      <c r="S13" s="376"/>
      <c r="T13" s="395" t="e">
        <f t="shared" si="4"/>
        <v>#REF!</v>
      </c>
      <c r="U13" s="391">
        <v>0</v>
      </c>
      <c r="V13" s="391">
        <v>1</v>
      </c>
      <c r="W13" s="391">
        <v>0</v>
      </c>
      <c r="X13" s="391">
        <v>1</v>
      </c>
      <c r="Y13" s="397" t="e">
        <f>IF(AND($A$1=0,$F$1&gt;0,$K$1=0,$P$1&gt;0),$F$4&amp;$AA$8&amp;$P$4, "")</f>
        <v>#REF!</v>
      </c>
    </row>
    <row r="14" spans="1:27">
      <c r="A14" s="382">
        <v>2</v>
      </c>
      <c r="B14" s="383" t="s">
        <v>344</v>
      </c>
      <c r="C14" s="375"/>
      <c r="D14" s="376"/>
      <c r="E14" s="375"/>
      <c r="F14" s="382">
        <v>2</v>
      </c>
      <c r="G14" s="383" t="s">
        <v>344</v>
      </c>
      <c r="H14" s="375"/>
      <c r="I14" s="376"/>
      <c r="K14" s="382">
        <v>2</v>
      </c>
      <c r="L14" s="383" t="s">
        <v>344</v>
      </c>
      <c r="M14" s="375"/>
      <c r="N14" s="376"/>
      <c r="P14" s="382">
        <v>2</v>
      </c>
      <c r="Q14" s="383" t="s">
        <v>344</v>
      </c>
      <c r="R14" s="375"/>
      <c r="S14" s="376"/>
      <c r="T14" s="395" t="e">
        <f t="shared" si="4"/>
        <v>#REF!</v>
      </c>
      <c r="U14" s="391">
        <v>0</v>
      </c>
      <c r="V14" s="391">
        <v>1</v>
      </c>
      <c r="W14" s="391">
        <v>1</v>
      </c>
      <c r="X14" s="391">
        <v>0</v>
      </c>
      <c r="Y14" s="397" t="e">
        <f>IF(AND($A$1=0,$F$1&gt;0,$K$1&gt;0,$P$1=0),$F$4&amp;$AA$8&amp;$K$4, "")</f>
        <v>#REF!</v>
      </c>
    </row>
    <row r="15" spans="1:27">
      <c r="A15" s="382">
        <v>3</v>
      </c>
      <c r="B15" s="383" t="s">
        <v>345</v>
      </c>
      <c r="C15" s="375"/>
      <c r="D15" s="376"/>
      <c r="E15" s="375"/>
      <c r="F15" s="382">
        <v>3</v>
      </c>
      <c r="G15" s="383" t="s">
        <v>345</v>
      </c>
      <c r="H15" s="375"/>
      <c r="I15" s="376"/>
      <c r="K15" s="382">
        <v>3</v>
      </c>
      <c r="L15" s="383" t="s">
        <v>345</v>
      </c>
      <c r="M15" s="375"/>
      <c r="N15" s="376"/>
      <c r="P15" s="382">
        <v>3</v>
      </c>
      <c r="Q15" s="383" t="s">
        <v>345</v>
      </c>
      <c r="R15" s="375"/>
      <c r="S15" s="376"/>
      <c r="T15" s="395" t="e">
        <f t="shared" si="4"/>
        <v>#REF!</v>
      </c>
      <c r="U15" s="391">
        <v>0</v>
      </c>
      <c r="V15" s="391">
        <v>1</v>
      </c>
      <c r="W15" s="391">
        <v>1</v>
      </c>
      <c r="X15" s="391">
        <v>1</v>
      </c>
      <c r="Y15" s="398" t="e">
        <f>IF(AND($A$1=0,$F$1&gt;0,$K$1&gt;0,$P$1&gt;0),$F$4&amp;$AA$8&amp;$K$4&amp;$AA$8&amp;$P$4, "")</f>
        <v>#REF!</v>
      </c>
    </row>
    <row r="16" spans="1:27">
      <c r="A16" s="382">
        <v>4</v>
      </c>
      <c r="B16" s="383" t="s">
        <v>346</v>
      </c>
      <c r="C16" s="375"/>
      <c r="D16" s="376"/>
      <c r="E16" s="375"/>
      <c r="F16" s="382">
        <v>4</v>
      </c>
      <c r="G16" s="383" t="s">
        <v>346</v>
      </c>
      <c r="H16" s="375"/>
      <c r="I16" s="376"/>
      <c r="K16" s="382">
        <v>4</v>
      </c>
      <c r="L16" s="383" t="s">
        <v>346</v>
      </c>
      <c r="M16" s="375"/>
      <c r="N16" s="376"/>
      <c r="P16" s="382">
        <v>4</v>
      </c>
      <c r="Q16" s="383" t="s">
        <v>346</v>
      </c>
      <c r="R16" s="375"/>
      <c r="S16" s="376"/>
      <c r="T16" s="395" t="e">
        <f t="shared" si="4"/>
        <v>#REF!</v>
      </c>
      <c r="U16" s="391">
        <v>1</v>
      </c>
      <c r="V16" s="391">
        <v>0</v>
      </c>
      <c r="W16" s="391">
        <v>0</v>
      </c>
      <c r="X16" s="391">
        <v>0</v>
      </c>
      <c r="Y16" s="396" t="e">
        <f>IF(AND($A$1&gt;0,$F$1=0,$K$1=0,$P$1=0), $A$4, "")</f>
        <v>#REF!</v>
      </c>
    </row>
    <row r="17" spans="1:27">
      <c r="A17" s="382">
        <v>5</v>
      </c>
      <c r="B17" s="383" t="s">
        <v>347</v>
      </c>
      <c r="C17" s="375"/>
      <c r="D17" s="376"/>
      <c r="E17" s="375"/>
      <c r="F17" s="382">
        <v>5</v>
      </c>
      <c r="G17" s="383" t="s">
        <v>347</v>
      </c>
      <c r="H17" s="375"/>
      <c r="I17" s="376"/>
      <c r="K17" s="382">
        <v>5</v>
      </c>
      <c r="L17" s="383" t="s">
        <v>347</v>
      </c>
      <c r="M17" s="375"/>
      <c r="N17" s="376"/>
      <c r="P17" s="382">
        <v>5</v>
      </c>
      <c r="Q17" s="383" t="s">
        <v>347</v>
      </c>
      <c r="R17" s="375"/>
      <c r="S17" s="376"/>
      <c r="T17" s="395" t="e">
        <f t="shared" si="4"/>
        <v>#REF!</v>
      </c>
      <c r="U17" s="391">
        <v>1</v>
      </c>
      <c r="V17" s="391">
        <v>0</v>
      </c>
      <c r="W17" s="391">
        <v>0</v>
      </c>
      <c r="X17" s="391">
        <v>1</v>
      </c>
      <c r="Y17" s="397" t="e">
        <f>IF(AND($A$1&gt;0,$F$1=0,$K$1=0,$P$1&gt;0),$A$4&amp;$AA$8&amp;$P$4, "")</f>
        <v>#REF!</v>
      </c>
    </row>
    <row r="18" spans="1:27">
      <c r="A18" s="382">
        <v>6</v>
      </c>
      <c r="B18" s="383" t="s">
        <v>348</v>
      </c>
      <c r="C18" s="375"/>
      <c r="D18" s="376"/>
      <c r="E18" s="375"/>
      <c r="F18" s="382">
        <v>6</v>
      </c>
      <c r="G18" s="383" t="s">
        <v>348</v>
      </c>
      <c r="H18" s="375"/>
      <c r="I18" s="376"/>
      <c r="K18" s="382">
        <v>6</v>
      </c>
      <c r="L18" s="383" t="s">
        <v>348</v>
      </c>
      <c r="M18" s="375"/>
      <c r="N18" s="376"/>
      <c r="P18" s="382">
        <v>6</v>
      </c>
      <c r="Q18" s="383" t="s">
        <v>348</v>
      </c>
      <c r="R18" s="375"/>
      <c r="S18" s="376"/>
      <c r="T18" s="395" t="e">
        <f t="shared" si="4"/>
        <v>#REF!</v>
      </c>
      <c r="U18" s="391">
        <v>1</v>
      </c>
      <c r="V18" s="391">
        <v>0</v>
      </c>
      <c r="W18" s="391">
        <v>1</v>
      </c>
      <c r="X18" s="391">
        <v>0</v>
      </c>
      <c r="Y18" s="397" t="e">
        <f>IF(AND($A$1&gt;0,$F$1=0,$K$1&gt;0,$P$1=0),$A$4&amp;$AA$8&amp;$K$4, "")</f>
        <v>#REF!</v>
      </c>
    </row>
    <row r="19" spans="1:27">
      <c r="A19" s="382">
        <v>7</v>
      </c>
      <c r="B19" s="383" t="s">
        <v>349</v>
      </c>
      <c r="C19" s="375"/>
      <c r="D19" s="376"/>
      <c r="E19" s="375"/>
      <c r="F19" s="382">
        <v>7</v>
      </c>
      <c r="G19" s="383" t="s">
        <v>349</v>
      </c>
      <c r="H19" s="375"/>
      <c r="I19" s="376"/>
      <c r="K19" s="382">
        <v>7</v>
      </c>
      <c r="L19" s="383" t="s">
        <v>349</v>
      </c>
      <c r="M19" s="375"/>
      <c r="N19" s="376"/>
      <c r="P19" s="382">
        <v>7</v>
      </c>
      <c r="Q19" s="383" t="s">
        <v>349</v>
      </c>
      <c r="R19" s="375"/>
      <c r="S19" s="376"/>
      <c r="T19" s="395" t="e">
        <f t="shared" si="4"/>
        <v>#REF!</v>
      </c>
      <c r="U19" s="391">
        <v>1</v>
      </c>
      <c r="V19" s="391">
        <v>0</v>
      </c>
      <c r="W19" s="391">
        <v>1</v>
      </c>
      <c r="X19" s="391">
        <v>1</v>
      </c>
      <c r="Y19" s="397" t="e">
        <f>IF(AND($A$1&gt;0,$F$1=0,$K$1&gt;0,$P$1&gt;0),$A$4&amp;$AA$8&amp;$K$4&amp;$AA$8&amp;$P$4, "")</f>
        <v>#REF!</v>
      </c>
    </row>
    <row r="20" spans="1:27">
      <c r="A20" s="382">
        <v>8</v>
      </c>
      <c r="B20" s="383" t="s">
        <v>350</v>
      </c>
      <c r="C20" s="375"/>
      <c r="D20" s="376"/>
      <c r="E20" s="375"/>
      <c r="F20" s="382">
        <v>8</v>
      </c>
      <c r="G20" s="383" t="s">
        <v>350</v>
      </c>
      <c r="H20" s="375"/>
      <c r="I20" s="376"/>
      <c r="K20" s="382">
        <v>8</v>
      </c>
      <c r="L20" s="383" t="s">
        <v>350</v>
      </c>
      <c r="M20" s="375"/>
      <c r="N20" s="376"/>
      <c r="P20" s="382">
        <v>8</v>
      </c>
      <c r="Q20" s="383" t="s">
        <v>350</v>
      </c>
      <c r="R20" s="375"/>
      <c r="S20" s="376"/>
      <c r="T20" s="395" t="e">
        <f t="shared" si="4"/>
        <v>#REF!</v>
      </c>
      <c r="U20" s="391">
        <v>1</v>
      </c>
      <c r="V20" s="391">
        <v>1</v>
      </c>
      <c r="W20" s="391">
        <v>0</v>
      </c>
      <c r="X20" s="391">
        <v>0</v>
      </c>
      <c r="Y20" s="397" t="e">
        <f>IF(AND($A$1&gt;0,$F$1&gt;0,$K$1=0,$P$1=0),$A$4&amp;$AA$8&amp;$F$4, "")</f>
        <v>#REF!</v>
      </c>
    </row>
    <row r="21" spans="1:27">
      <c r="A21" s="382">
        <v>9</v>
      </c>
      <c r="B21" s="383" t="s">
        <v>351</v>
      </c>
      <c r="C21" s="375"/>
      <c r="D21" s="376"/>
      <c r="E21" s="375"/>
      <c r="F21" s="382">
        <v>9</v>
      </c>
      <c r="G21" s="383" t="s">
        <v>351</v>
      </c>
      <c r="H21" s="375"/>
      <c r="I21" s="376"/>
      <c r="K21" s="382">
        <v>9</v>
      </c>
      <c r="L21" s="383" t="s">
        <v>351</v>
      </c>
      <c r="M21" s="375"/>
      <c r="N21" s="376"/>
      <c r="P21" s="382">
        <v>9</v>
      </c>
      <c r="Q21" s="383" t="s">
        <v>351</v>
      </c>
      <c r="R21" s="375"/>
      <c r="S21" s="376"/>
      <c r="T21" s="395" t="e">
        <f t="shared" si="4"/>
        <v>#REF!</v>
      </c>
      <c r="U21" s="391">
        <v>1</v>
      </c>
      <c r="V21" s="391">
        <v>1</v>
      </c>
      <c r="W21" s="391">
        <v>0</v>
      </c>
      <c r="X21" s="391">
        <v>1</v>
      </c>
      <c r="Y21" s="397" t="e">
        <f>IF(AND($A$1&gt;0,$F$1&gt;0,$K$1=0,$P$1&gt;0),$A$4&amp;$AA$8&amp;$F$4&amp;$AA$8&amp;$P$4, "")</f>
        <v>#REF!</v>
      </c>
    </row>
    <row r="22" spans="1:27">
      <c r="A22" s="382">
        <v>10</v>
      </c>
      <c r="B22" s="383" t="s">
        <v>352</v>
      </c>
      <c r="C22" s="375"/>
      <c r="D22" s="376"/>
      <c r="E22" s="375"/>
      <c r="F22" s="382">
        <v>10</v>
      </c>
      <c r="G22" s="383" t="s">
        <v>352</v>
      </c>
      <c r="H22" s="375"/>
      <c r="I22" s="376"/>
      <c r="K22" s="382">
        <v>10</v>
      </c>
      <c r="L22" s="383" t="s">
        <v>352</v>
      </c>
      <c r="M22" s="375"/>
      <c r="N22" s="376"/>
      <c r="P22" s="382">
        <v>10</v>
      </c>
      <c r="Q22" s="383" t="s">
        <v>352</v>
      </c>
      <c r="R22" s="375"/>
      <c r="S22" s="376"/>
      <c r="T22" s="395" t="e">
        <f t="shared" si="4"/>
        <v>#REF!</v>
      </c>
      <c r="U22" s="391">
        <v>1</v>
      </c>
      <c r="V22" s="391">
        <v>1</v>
      </c>
      <c r="W22" s="391">
        <v>1</v>
      </c>
      <c r="X22" s="391">
        <v>0</v>
      </c>
      <c r="Y22" s="397" t="e">
        <f>IF(AND($A$1&gt;0,$F$1&gt;0,$K$1&gt;0,$P$1=0),$A$4&amp;$AA$8&amp;$F$4&amp;$AA$8&amp;$K$4, "")</f>
        <v>#REF!</v>
      </c>
    </row>
    <row r="23" spans="1:27">
      <c r="A23" s="382">
        <v>11</v>
      </c>
      <c r="B23" s="383" t="s">
        <v>353</v>
      </c>
      <c r="C23" s="375"/>
      <c r="D23" s="376"/>
      <c r="E23" s="375"/>
      <c r="F23" s="382">
        <v>11</v>
      </c>
      <c r="G23" s="383" t="s">
        <v>353</v>
      </c>
      <c r="H23" s="375"/>
      <c r="I23" s="376"/>
      <c r="K23" s="382">
        <v>11</v>
      </c>
      <c r="L23" s="383" t="s">
        <v>353</v>
      </c>
      <c r="M23" s="375"/>
      <c r="N23" s="376"/>
      <c r="P23" s="382">
        <v>11</v>
      </c>
      <c r="Q23" s="383" t="s">
        <v>353</v>
      </c>
      <c r="R23" s="375"/>
      <c r="S23" s="376"/>
      <c r="T23" s="395" t="e">
        <f t="shared" si="4"/>
        <v>#REF!</v>
      </c>
      <c r="U23" s="391">
        <v>1</v>
      </c>
      <c r="V23" s="391">
        <v>1</v>
      </c>
      <c r="W23" s="391">
        <v>1</v>
      </c>
      <c r="X23" s="391">
        <v>1</v>
      </c>
      <c r="Y23" s="398" t="e">
        <f>IF(AND($A$1&gt;0,$F$1&gt;0,$K$1&gt;0,$P$1&gt;0),$A$4&amp;$AA$8&amp;$F$4&amp;$AA$8&amp;$K$4&amp;$AA$8&amp;$P$4, "")</f>
        <v>#REF!</v>
      </c>
    </row>
    <row r="24" spans="1:27">
      <c r="A24" s="382">
        <v>12</v>
      </c>
      <c r="B24" s="383" t="s">
        <v>354</v>
      </c>
      <c r="C24" s="375"/>
      <c r="D24" s="376"/>
      <c r="E24" s="375"/>
      <c r="F24" s="382">
        <v>12</v>
      </c>
      <c r="G24" s="383" t="s">
        <v>354</v>
      </c>
      <c r="H24" s="375"/>
      <c r="I24" s="376"/>
      <c r="K24" s="382">
        <v>12</v>
      </c>
      <c r="L24" s="383" t="s">
        <v>354</v>
      </c>
      <c r="M24" s="375"/>
      <c r="N24" s="376"/>
      <c r="P24" s="382">
        <v>12</v>
      </c>
      <c r="Q24" s="383" t="s">
        <v>354</v>
      </c>
      <c r="R24" s="375"/>
      <c r="S24" s="376"/>
    </row>
    <row r="25" spans="1:27">
      <c r="A25" s="382">
        <v>13</v>
      </c>
      <c r="B25" s="383" t="s">
        <v>355</v>
      </c>
      <c r="C25" s="375"/>
      <c r="D25" s="376"/>
      <c r="E25" s="375"/>
      <c r="F25" s="382">
        <v>13</v>
      </c>
      <c r="G25" s="383" t="s">
        <v>355</v>
      </c>
      <c r="H25" s="375"/>
      <c r="I25" s="376"/>
      <c r="K25" s="382">
        <v>13</v>
      </c>
      <c r="L25" s="383" t="s">
        <v>355</v>
      </c>
      <c r="M25" s="375"/>
      <c r="N25" s="376"/>
      <c r="P25" s="382">
        <v>13</v>
      </c>
      <c r="Q25" s="383" t="s">
        <v>355</v>
      </c>
      <c r="R25" s="375"/>
      <c r="S25" s="376"/>
    </row>
    <row r="26" spans="1:27">
      <c r="A26" s="382">
        <v>14</v>
      </c>
      <c r="B26" s="383" t="s">
        <v>356</v>
      </c>
      <c r="C26" s="375"/>
      <c r="D26" s="376"/>
      <c r="E26" s="375"/>
      <c r="F26" s="382">
        <v>14</v>
      </c>
      <c r="G26" s="383" t="s">
        <v>356</v>
      </c>
      <c r="H26" s="375"/>
      <c r="I26" s="376"/>
      <c r="K26" s="382">
        <v>14</v>
      </c>
      <c r="L26" s="383" t="s">
        <v>356</v>
      </c>
      <c r="M26" s="375"/>
      <c r="N26" s="376"/>
      <c r="P26" s="382">
        <v>14</v>
      </c>
      <c r="Q26" s="383" t="s">
        <v>356</v>
      </c>
      <c r="R26" s="375"/>
      <c r="S26" s="376"/>
    </row>
    <row r="27" spans="1:27">
      <c r="A27" s="382">
        <v>15</v>
      </c>
      <c r="B27" s="383" t="s">
        <v>357</v>
      </c>
      <c r="C27" s="375"/>
      <c r="D27" s="376"/>
      <c r="E27" s="375"/>
      <c r="F27" s="382">
        <v>15</v>
      </c>
      <c r="G27" s="383" t="s">
        <v>357</v>
      </c>
      <c r="H27" s="375"/>
      <c r="I27" s="376"/>
      <c r="K27" s="382">
        <v>15</v>
      </c>
      <c r="L27" s="383" t="s">
        <v>357</v>
      </c>
      <c r="M27" s="375"/>
      <c r="N27" s="376"/>
      <c r="P27" s="382">
        <v>15</v>
      </c>
      <c r="Q27" s="383" t="s">
        <v>357</v>
      </c>
      <c r="R27" s="375"/>
      <c r="S27" s="376"/>
    </row>
    <row r="28" spans="1:27">
      <c r="A28" s="382">
        <v>16</v>
      </c>
      <c r="B28" s="383" t="s">
        <v>358</v>
      </c>
      <c r="C28" s="375"/>
      <c r="D28" s="376"/>
      <c r="E28" s="375"/>
      <c r="F28" s="382">
        <v>16</v>
      </c>
      <c r="G28" s="383" t="s">
        <v>358</v>
      </c>
      <c r="H28" s="375"/>
      <c r="I28" s="376"/>
      <c r="K28" s="382">
        <v>16</v>
      </c>
      <c r="L28" s="383" t="s">
        <v>358</v>
      </c>
      <c r="M28" s="375"/>
      <c r="N28" s="376"/>
      <c r="P28" s="382">
        <v>16</v>
      </c>
      <c r="Q28" s="383" t="s">
        <v>358</v>
      </c>
      <c r="R28" s="375"/>
      <c r="S28" s="376"/>
      <c r="T28" s="395" t="e">
        <f>IF(Y28="",0, 1)</f>
        <v>#REF!</v>
      </c>
      <c r="U28" s="391">
        <v>0</v>
      </c>
      <c r="V28" s="391">
        <v>0</v>
      </c>
      <c r="W28" s="391">
        <v>0</v>
      </c>
      <c r="X28" s="391">
        <v>0</v>
      </c>
      <c r="Y28" s="396" t="e">
        <f>IF(AND($A$1=0,$F$1=0,$K$1=0,$P$1=0)," 0/-", "")</f>
        <v>#REF!</v>
      </c>
      <c r="AA28" s="391" t="s">
        <v>445</v>
      </c>
    </row>
    <row r="29" spans="1:27">
      <c r="A29" s="382">
        <v>17</v>
      </c>
      <c r="B29" s="383" t="s">
        <v>359</v>
      </c>
      <c r="C29" s="375"/>
      <c r="D29" s="376"/>
      <c r="E29" s="375"/>
      <c r="F29" s="382">
        <v>17</v>
      </c>
      <c r="G29" s="383" t="s">
        <v>359</v>
      </c>
      <c r="H29" s="375"/>
      <c r="I29" s="376"/>
      <c r="K29" s="382">
        <v>17</v>
      </c>
      <c r="L29" s="383" t="s">
        <v>359</v>
      </c>
      <c r="M29" s="375"/>
      <c r="N29" s="376"/>
      <c r="P29" s="382">
        <v>17</v>
      </c>
      <c r="Q29" s="383" t="s">
        <v>359</v>
      </c>
      <c r="R29" s="375"/>
      <c r="S29" s="376"/>
      <c r="T29" s="395" t="e">
        <f t="shared" ref="T29:T43" si="5">IF(Y29="",0, 1)</f>
        <v>#REF!</v>
      </c>
      <c r="U29" s="391">
        <v>0</v>
      </c>
      <c r="V29" s="391">
        <v>0</v>
      </c>
      <c r="W29" s="391">
        <v>0</v>
      </c>
      <c r="X29" s="391">
        <v>1</v>
      </c>
      <c r="Y29" s="397" t="e">
        <f>IF(AND($A$1=0,$F$1=0,$K$1=0,$P$1&gt;0),$U$3&amp;$P$1&amp;$AA$30, "")</f>
        <v>#REF!</v>
      </c>
      <c r="AA29" s="391" t="s">
        <v>446</v>
      </c>
    </row>
    <row r="30" spans="1:27">
      <c r="A30" s="382">
        <v>18</v>
      </c>
      <c r="B30" s="383" t="s">
        <v>360</v>
      </c>
      <c r="C30" s="375"/>
      <c r="D30" s="376"/>
      <c r="E30" s="375"/>
      <c r="F30" s="382">
        <v>18</v>
      </c>
      <c r="G30" s="383" t="s">
        <v>360</v>
      </c>
      <c r="H30" s="375"/>
      <c r="I30" s="376"/>
      <c r="K30" s="382">
        <v>18</v>
      </c>
      <c r="L30" s="383" t="s">
        <v>360</v>
      </c>
      <c r="M30" s="375"/>
      <c r="N30" s="376"/>
      <c r="P30" s="382">
        <v>18</v>
      </c>
      <c r="Q30" s="383" t="s">
        <v>360</v>
      </c>
      <c r="R30" s="375"/>
      <c r="S30" s="376"/>
      <c r="T30" s="395" t="e">
        <f t="shared" si="5"/>
        <v>#REF!</v>
      </c>
      <c r="U30" s="391">
        <v>0</v>
      </c>
      <c r="V30" s="391">
        <v>0</v>
      </c>
      <c r="W30" s="391">
        <v>1</v>
      </c>
      <c r="X30" s="391">
        <v>0</v>
      </c>
      <c r="Y30" s="397" t="e">
        <f>IF(AND($A$1=0,$F$1=0,$K$1&gt;0,$P$1=0),$U$2&amp;$K$1&amp;$AA$30, "")</f>
        <v>#REF!</v>
      </c>
      <c r="AA30" s="391" t="s">
        <v>447</v>
      </c>
    </row>
    <row r="31" spans="1:27">
      <c r="A31" s="382">
        <v>19</v>
      </c>
      <c r="B31" s="383" t="s">
        <v>361</v>
      </c>
      <c r="C31" s="375"/>
      <c r="D31" s="376"/>
      <c r="E31" s="375"/>
      <c r="F31" s="382">
        <v>19</v>
      </c>
      <c r="G31" s="383" t="s">
        <v>361</v>
      </c>
      <c r="H31" s="375"/>
      <c r="I31" s="376"/>
      <c r="K31" s="382">
        <v>19</v>
      </c>
      <c r="L31" s="383" t="s">
        <v>361</v>
      </c>
      <c r="M31" s="375"/>
      <c r="N31" s="376"/>
      <c r="P31" s="382">
        <v>19</v>
      </c>
      <c r="Q31" s="383" t="s">
        <v>361</v>
      </c>
      <c r="R31" s="375"/>
      <c r="S31" s="376"/>
      <c r="T31" s="395" t="e">
        <f t="shared" si="5"/>
        <v>#REF!</v>
      </c>
      <c r="U31" s="391">
        <v>0</v>
      </c>
      <c r="V31" s="391">
        <v>0</v>
      </c>
      <c r="W31" s="391">
        <v>1</v>
      </c>
      <c r="X31" s="391">
        <v>1</v>
      </c>
      <c r="Y31" s="397" t="e">
        <f>IF(AND($A$1=0,$F$1=0,$K$1&gt;0,$P$1&gt;0),$U$2&amp;$K$1&amp;$AA$29&amp;$U$3&amp;$P$1&amp;$AA$30, "")</f>
        <v>#REF!</v>
      </c>
    </row>
    <row r="32" spans="1:27">
      <c r="A32" s="382">
        <v>20</v>
      </c>
      <c r="B32" s="383" t="s">
        <v>362</v>
      </c>
      <c r="C32" s="375"/>
      <c r="D32" s="376"/>
      <c r="E32" s="375"/>
      <c r="F32" s="382">
        <v>20</v>
      </c>
      <c r="G32" s="383" t="s">
        <v>362</v>
      </c>
      <c r="H32" s="375"/>
      <c r="I32" s="376"/>
      <c r="K32" s="382">
        <v>20</v>
      </c>
      <c r="L32" s="383" t="s">
        <v>362</v>
      </c>
      <c r="M32" s="375"/>
      <c r="N32" s="376"/>
      <c r="P32" s="382">
        <v>20</v>
      </c>
      <c r="Q32" s="383" t="s">
        <v>362</v>
      </c>
      <c r="R32" s="375"/>
      <c r="S32" s="376"/>
      <c r="T32" s="395" t="e">
        <f t="shared" si="5"/>
        <v>#REF!</v>
      </c>
      <c r="U32" s="391">
        <v>0</v>
      </c>
      <c r="V32" s="391">
        <v>1</v>
      </c>
      <c r="W32" s="391">
        <v>0</v>
      </c>
      <c r="X32" s="391">
        <v>0</v>
      </c>
      <c r="Y32" s="397" t="e">
        <f>IF(AND($A$1=0,$F$1&gt;0,$K$1=0,$P$1=0),$U$1&amp;$F$1&amp;$AA$30, "")</f>
        <v>#REF!</v>
      </c>
    </row>
    <row r="33" spans="1:25">
      <c r="A33" s="382">
        <v>21</v>
      </c>
      <c r="B33" s="383" t="s">
        <v>363</v>
      </c>
      <c r="C33" s="375"/>
      <c r="D33" s="376"/>
      <c r="E33" s="375"/>
      <c r="F33" s="382">
        <v>21</v>
      </c>
      <c r="G33" s="383" t="s">
        <v>363</v>
      </c>
      <c r="H33" s="375"/>
      <c r="I33" s="376"/>
      <c r="K33" s="382">
        <v>21</v>
      </c>
      <c r="L33" s="383" t="s">
        <v>363</v>
      </c>
      <c r="M33" s="375"/>
      <c r="N33" s="376"/>
      <c r="P33" s="382">
        <v>21</v>
      </c>
      <c r="Q33" s="383" t="s">
        <v>363</v>
      </c>
      <c r="R33" s="375"/>
      <c r="S33" s="376"/>
      <c r="T33" s="395" t="e">
        <f t="shared" si="5"/>
        <v>#REF!</v>
      </c>
      <c r="U33" s="391">
        <v>0</v>
      </c>
      <c r="V33" s="391">
        <v>1</v>
      </c>
      <c r="W33" s="391">
        <v>0</v>
      </c>
      <c r="X33" s="391">
        <v>1</v>
      </c>
      <c r="Y33" s="397" t="e">
        <f>IF(AND($A$1=0,$F$1&gt;0,$K$1=0,$P$1&gt;0),$U$1&amp;$F$1&amp;$AA$29&amp;$U$3&amp;$P$1&amp;$AA$30, "")</f>
        <v>#REF!</v>
      </c>
    </row>
    <row r="34" spans="1:25">
      <c r="A34" s="382">
        <v>22</v>
      </c>
      <c r="B34" s="383" t="s">
        <v>364</v>
      </c>
      <c r="C34" s="375"/>
      <c r="D34" s="376"/>
      <c r="E34" s="375"/>
      <c r="F34" s="382">
        <v>22</v>
      </c>
      <c r="G34" s="383" t="s">
        <v>364</v>
      </c>
      <c r="H34" s="375"/>
      <c r="I34" s="376"/>
      <c r="K34" s="382">
        <v>22</v>
      </c>
      <c r="L34" s="383" t="s">
        <v>364</v>
      </c>
      <c r="M34" s="375"/>
      <c r="N34" s="376"/>
      <c r="P34" s="382">
        <v>22</v>
      </c>
      <c r="Q34" s="383" t="s">
        <v>364</v>
      </c>
      <c r="R34" s="375"/>
      <c r="S34" s="376"/>
      <c r="T34" s="395" t="e">
        <f t="shared" si="5"/>
        <v>#REF!</v>
      </c>
      <c r="U34" s="391">
        <v>0</v>
      </c>
      <c r="V34" s="391">
        <v>1</v>
      </c>
      <c r="W34" s="391">
        <v>1</v>
      </c>
      <c r="X34" s="391">
        <v>0</v>
      </c>
      <c r="Y34" s="397" t="e">
        <f>IF(AND($A$1=0,$F$1&gt;0,$K$1&gt;0,$P$1=0),$U$1&amp;$F$1&amp;$AA$29&amp;$U$2&amp;$K$1, "")</f>
        <v>#REF!</v>
      </c>
    </row>
    <row r="35" spans="1:25">
      <c r="A35" s="382">
        <v>23</v>
      </c>
      <c r="B35" s="383" t="s">
        <v>365</v>
      </c>
      <c r="C35" s="375"/>
      <c r="D35" s="376"/>
      <c r="E35" s="375"/>
      <c r="F35" s="382">
        <v>23</v>
      </c>
      <c r="G35" s="383" t="s">
        <v>365</v>
      </c>
      <c r="H35" s="375"/>
      <c r="I35" s="376"/>
      <c r="K35" s="382">
        <v>23</v>
      </c>
      <c r="L35" s="383" t="s">
        <v>365</v>
      </c>
      <c r="M35" s="375"/>
      <c r="N35" s="376"/>
      <c r="P35" s="382">
        <v>23</v>
      </c>
      <c r="Q35" s="383" t="s">
        <v>365</v>
      </c>
      <c r="R35" s="375"/>
      <c r="S35" s="376"/>
      <c r="T35" s="395" t="e">
        <f t="shared" si="5"/>
        <v>#REF!</v>
      </c>
      <c r="U35" s="391">
        <v>0</v>
      </c>
      <c r="V35" s="391">
        <v>1</v>
      </c>
      <c r="W35" s="391">
        <v>1</v>
      </c>
      <c r="X35" s="391">
        <v>1</v>
      </c>
      <c r="Y35" s="398" t="e">
        <f>IF(AND($A$1=0,$F$1&gt;0,$K$1&gt;0,$P$1&gt;0),$U$1&amp;$F$1&amp;$AA$29&amp;$U$2&amp;$K$1&amp;$AA$29&amp;$U$3&amp;$P$1&amp;$AA$30, "")</f>
        <v>#REF!</v>
      </c>
    </row>
    <row r="36" spans="1:25">
      <c r="A36" s="382">
        <v>24</v>
      </c>
      <c r="B36" s="383" t="s">
        <v>366</v>
      </c>
      <c r="C36" s="375"/>
      <c r="D36" s="376"/>
      <c r="E36" s="375"/>
      <c r="F36" s="382">
        <v>24</v>
      </c>
      <c r="G36" s="383" t="s">
        <v>366</v>
      </c>
      <c r="H36" s="375"/>
      <c r="I36" s="376"/>
      <c r="K36" s="382">
        <v>24</v>
      </c>
      <c r="L36" s="383" t="s">
        <v>366</v>
      </c>
      <c r="M36" s="375"/>
      <c r="N36" s="376"/>
      <c r="P36" s="382">
        <v>24</v>
      </c>
      <c r="Q36" s="383" t="s">
        <v>366</v>
      </c>
      <c r="R36" s="375"/>
      <c r="S36" s="376"/>
      <c r="T36" s="395" t="e">
        <f t="shared" si="5"/>
        <v>#REF!</v>
      </c>
      <c r="U36" s="391">
        <v>1</v>
      </c>
      <c r="V36" s="391">
        <v>0</v>
      </c>
      <c r="W36" s="391">
        <v>0</v>
      </c>
      <c r="X36" s="391">
        <v>0</v>
      </c>
      <c r="Y36" s="396" t="e">
        <f>IF(AND($A$1&gt;0,$F$1=0,$K$1=0,$P$1=0),#REF!&amp; $A$1&amp;$AA$30, "")</f>
        <v>#REF!</v>
      </c>
    </row>
    <row r="37" spans="1:25">
      <c r="A37" s="382">
        <v>25</v>
      </c>
      <c r="B37" s="383" t="s">
        <v>367</v>
      </c>
      <c r="C37" s="375"/>
      <c r="D37" s="376"/>
      <c r="E37" s="375"/>
      <c r="F37" s="382">
        <v>25</v>
      </c>
      <c r="G37" s="383" t="s">
        <v>367</v>
      </c>
      <c r="H37" s="375"/>
      <c r="I37" s="376"/>
      <c r="K37" s="382">
        <v>25</v>
      </c>
      <c r="L37" s="383" t="s">
        <v>367</v>
      </c>
      <c r="M37" s="375"/>
      <c r="N37" s="376"/>
      <c r="P37" s="382">
        <v>25</v>
      </c>
      <c r="Q37" s="383" t="s">
        <v>367</v>
      </c>
      <c r="R37" s="375"/>
      <c r="S37" s="376"/>
      <c r="T37" s="395" t="e">
        <f t="shared" si="5"/>
        <v>#REF!</v>
      </c>
      <c r="U37" s="391">
        <v>1</v>
      </c>
      <c r="V37" s="391">
        <v>0</v>
      </c>
      <c r="W37" s="391">
        <v>0</v>
      </c>
      <c r="X37" s="391">
        <v>1</v>
      </c>
      <c r="Y37" s="397" t="e">
        <f>IF(AND($A$1&gt;0,$F$1=0,$K$1=0,$P$1&gt;0),#REF!&amp;$A$1&amp;$AA$29&amp;$U$3&amp;$P$1&amp;$AA$30, "")</f>
        <v>#REF!</v>
      </c>
    </row>
    <row r="38" spans="1:25">
      <c r="A38" s="382">
        <v>26</v>
      </c>
      <c r="B38" s="383" t="s">
        <v>368</v>
      </c>
      <c r="C38" s="375"/>
      <c r="D38" s="376"/>
      <c r="E38" s="375"/>
      <c r="F38" s="382">
        <v>26</v>
      </c>
      <c r="G38" s="383" t="s">
        <v>368</v>
      </c>
      <c r="H38" s="375"/>
      <c r="I38" s="376"/>
      <c r="K38" s="382">
        <v>26</v>
      </c>
      <c r="L38" s="383" t="s">
        <v>368</v>
      </c>
      <c r="M38" s="375"/>
      <c r="N38" s="376"/>
      <c r="P38" s="382">
        <v>26</v>
      </c>
      <c r="Q38" s="383" t="s">
        <v>368</v>
      </c>
      <c r="R38" s="375"/>
      <c r="S38" s="376"/>
      <c r="T38" s="395" t="e">
        <f t="shared" si="5"/>
        <v>#REF!</v>
      </c>
      <c r="U38" s="391">
        <v>1</v>
      </c>
      <c r="V38" s="391">
        <v>0</v>
      </c>
      <c r="W38" s="391">
        <v>1</v>
      </c>
      <c r="X38" s="391">
        <v>0</v>
      </c>
      <c r="Y38" s="397" t="e">
        <f>IF(AND($A$1&gt;0,$F$1=0,$K$1&gt;0,$P$1=0),#REF!&amp;$A$1&amp;$AA$29&amp;$U$2&amp;$K$1, "")</f>
        <v>#REF!</v>
      </c>
    </row>
    <row r="39" spans="1:25">
      <c r="A39" s="382">
        <v>27</v>
      </c>
      <c r="B39" s="383" t="s">
        <v>369</v>
      </c>
      <c r="C39" s="375"/>
      <c r="D39" s="376"/>
      <c r="E39" s="375"/>
      <c r="F39" s="382">
        <v>27</v>
      </c>
      <c r="G39" s="383" t="s">
        <v>369</v>
      </c>
      <c r="H39" s="375"/>
      <c r="I39" s="376"/>
      <c r="K39" s="382">
        <v>27</v>
      </c>
      <c r="L39" s="383" t="s">
        <v>369</v>
      </c>
      <c r="M39" s="375"/>
      <c r="N39" s="376"/>
      <c r="P39" s="382">
        <v>27</v>
      </c>
      <c r="Q39" s="383" t="s">
        <v>369</v>
      </c>
      <c r="R39" s="375"/>
      <c r="S39" s="376"/>
      <c r="T39" s="395" t="e">
        <f t="shared" si="5"/>
        <v>#REF!</v>
      </c>
      <c r="U39" s="391">
        <v>1</v>
      </c>
      <c r="V39" s="391">
        <v>0</v>
      </c>
      <c r="W39" s="391">
        <v>1</v>
      </c>
      <c r="X39" s="391">
        <v>1</v>
      </c>
      <c r="Y39" s="397" t="e">
        <f>IF(AND($A$1&gt;0,$F$1=0,$K$1&gt;0,$P$1&gt;0),#REF!&amp;$A$1&amp;$AA$29&amp;$U$2&amp;$K$1&amp;$AA$29&amp;$U$3&amp;$P$1&amp;$AA$30, "")</f>
        <v>#REF!</v>
      </c>
    </row>
    <row r="40" spans="1:25">
      <c r="A40" s="382">
        <v>28</v>
      </c>
      <c r="B40" s="383" t="s">
        <v>370</v>
      </c>
      <c r="C40" s="375"/>
      <c r="D40" s="376"/>
      <c r="E40" s="375"/>
      <c r="F40" s="382">
        <v>28</v>
      </c>
      <c r="G40" s="383" t="s">
        <v>370</v>
      </c>
      <c r="H40" s="375"/>
      <c r="I40" s="376"/>
      <c r="K40" s="382">
        <v>28</v>
      </c>
      <c r="L40" s="383" t="s">
        <v>370</v>
      </c>
      <c r="M40" s="375"/>
      <c r="N40" s="376"/>
      <c r="P40" s="382">
        <v>28</v>
      </c>
      <c r="Q40" s="383" t="s">
        <v>370</v>
      </c>
      <c r="R40" s="375"/>
      <c r="S40" s="376"/>
      <c r="T40" s="395" t="e">
        <f t="shared" si="5"/>
        <v>#REF!</v>
      </c>
      <c r="U40" s="391">
        <v>1</v>
      </c>
      <c r="V40" s="391">
        <v>1</v>
      </c>
      <c r="W40" s="391">
        <v>0</v>
      </c>
      <c r="X40" s="391">
        <v>0</v>
      </c>
      <c r="Y40" s="397" t="e">
        <f>IF(AND($A$1&gt;0,$F$1&gt;0,$K$1=0,$P$1=0),#REF!&amp;$A$1&amp;$AA$29&amp;$U$1&amp;$F$1, "")</f>
        <v>#REF!</v>
      </c>
    </row>
    <row r="41" spans="1:25">
      <c r="A41" s="382">
        <v>29</v>
      </c>
      <c r="B41" s="383" t="s">
        <v>371</v>
      </c>
      <c r="C41" s="375"/>
      <c r="D41" s="376"/>
      <c r="E41" s="375"/>
      <c r="F41" s="382">
        <v>29</v>
      </c>
      <c r="G41" s="383" t="s">
        <v>371</v>
      </c>
      <c r="H41" s="375"/>
      <c r="I41" s="376"/>
      <c r="K41" s="382">
        <v>29</v>
      </c>
      <c r="L41" s="383" t="s">
        <v>371</v>
      </c>
      <c r="M41" s="375"/>
      <c r="N41" s="376"/>
      <c r="P41" s="382">
        <v>29</v>
      </c>
      <c r="Q41" s="383" t="s">
        <v>371</v>
      </c>
      <c r="R41" s="375"/>
      <c r="S41" s="376"/>
      <c r="T41" s="395" t="e">
        <f t="shared" si="5"/>
        <v>#REF!</v>
      </c>
      <c r="U41" s="391">
        <v>1</v>
      </c>
      <c r="V41" s="391">
        <v>1</v>
      </c>
      <c r="W41" s="391">
        <v>0</v>
      </c>
      <c r="X41" s="391">
        <v>1</v>
      </c>
      <c r="Y41" s="397" t="e">
        <f>IF(AND($A$1&gt;0,$F$1&gt;0,$K$1=0,$P$1&gt;0),#REF!&amp;$A$1&amp;$AA$29&amp;$U$1&amp;$F$1&amp;$AA$29&amp;$U$3&amp;$P$1&amp;$AA$30, "")</f>
        <v>#REF!</v>
      </c>
    </row>
    <row r="42" spans="1:25">
      <c r="A42" s="382">
        <v>30</v>
      </c>
      <c r="B42" s="383" t="s">
        <v>372</v>
      </c>
      <c r="C42" s="375"/>
      <c r="D42" s="376"/>
      <c r="E42" s="375"/>
      <c r="F42" s="382">
        <v>30</v>
      </c>
      <c r="G42" s="383" t="s">
        <v>372</v>
      </c>
      <c r="H42" s="375"/>
      <c r="I42" s="376"/>
      <c r="K42" s="382">
        <v>30</v>
      </c>
      <c r="L42" s="383" t="s">
        <v>372</v>
      </c>
      <c r="M42" s="375"/>
      <c r="N42" s="376"/>
      <c r="P42" s="382">
        <v>30</v>
      </c>
      <c r="Q42" s="383" t="s">
        <v>372</v>
      </c>
      <c r="R42" s="375"/>
      <c r="S42" s="376"/>
      <c r="T42" s="395" t="e">
        <f t="shared" si="5"/>
        <v>#REF!</v>
      </c>
      <c r="U42" s="391">
        <v>1</v>
      </c>
      <c r="V42" s="391">
        <v>1</v>
      </c>
      <c r="W42" s="391">
        <v>1</v>
      </c>
      <c r="X42" s="391">
        <v>0</v>
      </c>
      <c r="Y42" s="397" t="e">
        <f>IF(AND($A$1&gt;0,$F$1&gt;0,$K$1&gt;0,$P$1=0),#REF!&amp;$A$1&amp;$AA$29&amp;$U$1&amp;$F$1&amp;$AA$29&amp;$U$2&amp;$K$1, "")</f>
        <v>#REF!</v>
      </c>
    </row>
    <row r="43" spans="1:25">
      <c r="A43" s="382">
        <v>31</v>
      </c>
      <c r="B43" s="383" t="s">
        <v>373</v>
      </c>
      <c r="C43" s="375"/>
      <c r="D43" s="376"/>
      <c r="E43" s="375"/>
      <c r="F43" s="382">
        <v>31</v>
      </c>
      <c r="G43" s="383" t="s">
        <v>373</v>
      </c>
      <c r="H43" s="375"/>
      <c r="I43" s="376"/>
      <c r="K43" s="382">
        <v>31</v>
      </c>
      <c r="L43" s="383" t="s">
        <v>373</v>
      </c>
      <c r="M43" s="375"/>
      <c r="N43" s="376"/>
      <c r="P43" s="382">
        <v>31</v>
      </c>
      <c r="Q43" s="383" t="s">
        <v>373</v>
      </c>
      <c r="R43" s="375"/>
      <c r="S43" s="376"/>
      <c r="T43" s="395" t="e">
        <f t="shared" si="5"/>
        <v>#REF!</v>
      </c>
      <c r="U43" s="391">
        <v>1</v>
      </c>
      <c r="V43" s="391">
        <v>1</v>
      </c>
      <c r="W43" s="391">
        <v>1</v>
      </c>
      <c r="X43" s="391">
        <v>1</v>
      </c>
      <c r="Y43" s="398" t="e">
        <f>IF(AND($A$1&gt;0,$F$1&gt;0,$K$1&gt;0,$P$1&gt;0),#REF!&amp;$A$1&amp;$AA$29&amp;$U$1&amp;$F$1&amp;$AA$29&amp;$U$2&amp;$K$1&amp;$AA$29&amp;$U$3&amp;$P$1&amp;$AA$30, "")</f>
        <v>#REF!</v>
      </c>
    </row>
    <row r="44" spans="1:25">
      <c r="A44" s="382">
        <v>32</v>
      </c>
      <c r="B44" s="383" t="s">
        <v>374</v>
      </c>
      <c r="C44" s="375"/>
      <c r="D44" s="376"/>
      <c r="E44" s="375"/>
      <c r="F44" s="382">
        <v>32</v>
      </c>
      <c r="G44" s="383" t="s">
        <v>374</v>
      </c>
      <c r="H44" s="375"/>
      <c r="I44" s="376"/>
      <c r="K44" s="382">
        <v>32</v>
      </c>
      <c r="L44" s="383" t="s">
        <v>374</v>
      </c>
      <c r="M44" s="375"/>
      <c r="N44" s="376"/>
      <c r="P44" s="382">
        <v>32</v>
      </c>
      <c r="Q44" s="383" t="s">
        <v>374</v>
      </c>
      <c r="R44" s="375"/>
      <c r="S44" s="376"/>
    </row>
    <row r="45" spans="1:25">
      <c r="A45" s="382">
        <v>33</v>
      </c>
      <c r="B45" s="383" t="s">
        <v>375</v>
      </c>
      <c r="C45" s="375"/>
      <c r="D45" s="376"/>
      <c r="E45" s="375"/>
      <c r="F45" s="382">
        <v>33</v>
      </c>
      <c r="G45" s="383" t="s">
        <v>375</v>
      </c>
      <c r="H45" s="375"/>
      <c r="I45" s="376"/>
      <c r="K45" s="382">
        <v>33</v>
      </c>
      <c r="L45" s="383" t="s">
        <v>375</v>
      </c>
      <c r="M45" s="375"/>
      <c r="N45" s="376"/>
      <c r="P45" s="382">
        <v>33</v>
      </c>
      <c r="Q45" s="383" t="s">
        <v>375</v>
      </c>
      <c r="R45" s="375"/>
      <c r="S45" s="376"/>
    </row>
    <row r="46" spans="1:25">
      <c r="A46" s="382">
        <v>34</v>
      </c>
      <c r="B46" s="383" t="s">
        <v>376</v>
      </c>
      <c r="C46" s="375"/>
      <c r="D46" s="376"/>
      <c r="E46" s="375"/>
      <c r="F46" s="382">
        <v>34</v>
      </c>
      <c r="G46" s="383" t="s">
        <v>376</v>
      </c>
      <c r="H46" s="375"/>
      <c r="I46" s="376"/>
      <c r="K46" s="382">
        <v>34</v>
      </c>
      <c r="L46" s="383" t="s">
        <v>376</v>
      </c>
      <c r="M46" s="375"/>
      <c r="N46" s="376"/>
      <c r="P46" s="382">
        <v>34</v>
      </c>
      <c r="Q46" s="383" t="s">
        <v>376</v>
      </c>
      <c r="R46" s="375"/>
      <c r="S46" s="376"/>
    </row>
    <row r="47" spans="1:25">
      <c r="A47" s="382">
        <v>35</v>
      </c>
      <c r="B47" s="383" t="s">
        <v>377</v>
      </c>
      <c r="C47" s="375"/>
      <c r="D47" s="376"/>
      <c r="E47" s="375"/>
      <c r="F47" s="382">
        <v>35</v>
      </c>
      <c r="G47" s="383" t="s">
        <v>377</v>
      </c>
      <c r="H47" s="375"/>
      <c r="I47" s="376"/>
      <c r="K47" s="382">
        <v>35</v>
      </c>
      <c r="L47" s="383" t="s">
        <v>377</v>
      </c>
      <c r="M47" s="375"/>
      <c r="N47" s="376"/>
      <c r="P47" s="382">
        <v>35</v>
      </c>
      <c r="Q47" s="383" t="s">
        <v>377</v>
      </c>
      <c r="R47" s="375"/>
      <c r="S47" s="376"/>
    </row>
    <row r="48" spans="1:25">
      <c r="A48" s="382">
        <v>36</v>
      </c>
      <c r="B48" s="383" t="s">
        <v>378</v>
      </c>
      <c r="C48" s="375"/>
      <c r="D48" s="376"/>
      <c r="E48" s="375"/>
      <c r="F48" s="382">
        <v>36</v>
      </c>
      <c r="G48" s="383" t="s">
        <v>378</v>
      </c>
      <c r="H48" s="375"/>
      <c r="I48" s="376"/>
      <c r="K48" s="382">
        <v>36</v>
      </c>
      <c r="L48" s="383" t="s">
        <v>378</v>
      </c>
      <c r="M48" s="375"/>
      <c r="N48" s="376"/>
      <c r="P48" s="382">
        <v>36</v>
      </c>
      <c r="Q48" s="383" t="s">
        <v>378</v>
      </c>
      <c r="R48" s="375"/>
      <c r="S48" s="376"/>
    </row>
    <row r="49" spans="1:19">
      <c r="A49" s="382">
        <v>37</v>
      </c>
      <c r="B49" s="383" t="s">
        <v>379</v>
      </c>
      <c r="C49" s="375"/>
      <c r="D49" s="376"/>
      <c r="E49" s="375"/>
      <c r="F49" s="382">
        <v>37</v>
      </c>
      <c r="G49" s="383" t="s">
        <v>379</v>
      </c>
      <c r="H49" s="375"/>
      <c r="I49" s="376"/>
      <c r="K49" s="382">
        <v>37</v>
      </c>
      <c r="L49" s="383" t="s">
        <v>379</v>
      </c>
      <c r="M49" s="375"/>
      <c r="N49" s="376"/>
      <c r="P49" s="382">
        <v>37</v>
      </c>
      <c r="Q49" s="383" t="s">
        <v>379</v>
      </c>
      <c r="R49" s="375"/>
      <c r="S49" s="376"/>
    </row>
    <row r="50" spans="1:19">
      <c r="A50" s="382">
        <v>38</v>
      </c>
      <c r="B50" s="383" t="s">
        <v>380</v>
      </c>
      <c r="C50" s="375"/>
      <c r="D50" s="376"/>
      <c r="E50" s="375"/>
      <c r="F50" s="382">
        <v>38</v>
      </c>
      <c r="G50" s="383" t="s">
        <v>380</v>
      </c>
      <c r="H50" s="375"/>
      <c r="I50" s="376"/>
      <c r="K50" s="382">
        <v>38</v>
      </c>
      <c r="L50" s="383" t="s">
        <v>380</v>
      </c>
      <c r="M50" s="375"/>
      <c r="N50" s="376"/>
      <c r="P50" s="382">
        <v>38</v>
      </c>
      <c r="Q50" s="383" t="s">
        <v>380</v>
      </c>
      <c r="R50" s="375"/>
      <c r="S50" s="376"/>
    </row>
    <row r="51" spans="1:19">
      <c r="A51" s="382">
        <v>39</v>
      </c>
      <c r="B51" s="383" t="s">
        <v>381</v>
      </c>
      <c r="C51" s="375"/>
      <c r="D51" s="376"/>
      <c r="E51" s="375"/>
      <c r="F51" s="382">
        <v>39</v>
      </c>
      <c r="G51" s="383" t="s">
        <v>381</v>
      </c>
      <c r="H51" s="375"/>
      <c r="I51" s="376"/>
      <c r="K51" s="382">
        <v>39</v>
      </c>
      <c r="L51" s="383" t="s">
        <v>381</v>
      </c>
      <c r="M51" s="375"/>
      <c r="N51" s="376"/>
      <c r="P51" s="382">
        <v>39</v>
      </c>
      <c r="Q51" s="383" t="s">
        <v>381</v>
      </c>
      <c r="R51" s="375"/>
      <c r="S51" s="376"/>
    </row>
    <row r="52" spans="1:19">
      <c r="A52" s="382">
        <v>40</v>
      </c>
      <c r="B52" s="383" t="s">
        <v>382</v>
      </c>
      <c r="C52" s="375"/>
      <c r="D52" s="376"/>
      <c r="E52" s="375"/>
      <c r="F52" s="382">
        <v>40</v>
      </c>
      <c r="G52" s="383" t="s">
        <v>382</v>
      </c>
      <c r="H52" s="375"/>
      <c r="I52" s="376"/>
      <c r="K52" s="382">
        <v>40</v>
      </c>
      <c r="L52" s="383" t="s">
        <v>382</v>
      </c>
      <c r="M52" s="375"/>
      <c r="N52" s="376"/>
      <c r="P52" s="382">
        <v>40</v>
      </c>
      <c r="Q52" s="383" t="s">
        <v>382</v>
      </c>
      <c r="R52" s="375"/>
      <c r="S52" s="376"/>
    </row>
    <row r="53" spans="1:19">
      <c r="A53" s="382">
        <v>41</v>
      </c>
      <c r="B53" s="383" t="s">
        <v>383</v>
      </c>
      <c r="C53" s="375"/>
      <c r="D53" s="376"/>
      <c r="E53" s="375"/>
      <c r="F53" s="382">
        <v>41</v>
      </c>
      <c r="G53" s="383" t="s">
        <v>383</v>
      </c>
      <c r="H53" s="375"/>
      <c r="I53" s="376"/>
      <c r="K53" s="382">
        <v>41</v>
      </c>
      <c r="L53" s="383" t="s">
        <v>383</v>
      </c>
      <c r="M53" s="375"/>
      <c r="N53" s="376"/>
      <c r="P53" s="382">
        <v>41</v>
      </c>
      <c r="Q53" s="383" t="s">
        <v>383</v>
      </c>
      <c r="R53" s="375"/>
      <c r="S53" s="376"/>
    </row>
    <row r="54" spans="1:19">
      <c r="A54" s="382">
        <v>42</v>
      </c>
      <c r="B54" s="383" t="s">
        <v>384</v>
      </c>
      <c r="C54" s="375"/>
      <c r="D54" s="376"/>
      <c r="E54" s="375"/>
      <c r="F54" s="382">
        <v>42</v>
      </c>
      <c r="G54" s="383" t="s">
        <v>384</v>
      </c>
      <c r="H54" s="375"/>
      <c r="I54" s="376"/>
      <c r="K54" s="382">
        <v>42</v>
      </c>
      <c r="L54" s="383" t="s">
        <v>384</v>
      </c>
      <c r="M54" s="375"/>
      <c r="N54" s="376"/>
      <c r="P54" s="382">
        <v>42</v>
      </c>
      <c r="Q54" s="383" t="s">
        <v>384</v>
      </c>
      <c r="R54" s="375"/>
      <c r="S54" s="376"/>
    </row>
    <row r="55" spans="1:19">
      <c r="A55" s="382">
        <v>43</v>
      </c>
      <c r="B55" s="383" t="s">
        <v>385</v>
      </c>
      <c r="C55" s="375"/>
      <c r="D55" s="376"/>
      <c r="E55" s="375"/>
      <c r="F55" s="382">
        <v>43</v>
      </c>
      <c r="G55" s="383" t="s">
        <v>385</v>
      </c>
      <c r="H55" s="375"/>
      <c r="I55" s="376"/>
      <c r="K55" s="382">
        <v>43</v>
      </c>
      <c r="L55" s="383" t="s">
        <v>385</v>
      </c>
      <c r="M55" s="375"/>
      <c r="N55" s="376"/>
      <c r="P55" s="382">
        <v>43</v>
      </c>
      <c r="Q55" s="383" t="s">
        <v>385</v>
      </c>
      <c r="R55" s="375"/>
      <c r="S55" s="376"/>
    </row>
    <row r="56" spans="1:19">
      <c r="A56" s="382">
        <v>44</v>
      </c>
      <c r="B56" s="383" t="s">
        <v>386</v>
      </c>
      <c r="C56" s="375"/>
      <c r="D56" s="376"/>
      <c r="E56" s="375"/>
      <c r="F56" s="382">
        <v>44</v>
      </c>
      <c r="G56" s="383" t="s">
        <v>386</v>
      </c>
      <c r="H56" s="375"/>
      <c r="I56" s="376"/>
      <c r="K56" s="382">
        <v>44</v>
      </c>
      <c r="L56" s="383" t="s">
        <v>386</v>
      </c>
      <c r="M56" s="375"/>
      <c r="N56" s="376"/>
      <c r="P56" s="382">
        <v>44</v>
      </c>
      <c r="Q56" s="383" t="s">
        <v>386</v>
      </c>
      <c r="R56" s="375"/>
      <c r="S56" s="376"/>
    </row>
    <row r="57" spans="1:19">
      <c r="A57" s="382">
        <v>45</v>
      </c>
      <c r="B57" s="383" t="s">
        <v>387</v>
      </c>
      <c r="C57" s="375"/>
      <c r="D57" s="376"/>
      <c r="E57" s="375"/>
      <c r="F57" s="382">
        <v>45</v>
      </c>
      <c r="G57" s="383" t="s">
        <v>387</v>
      </c>
      <c r="H57" s="375"/>
      <c r="I57" s="376"/>
      <c r="K57" s="382">
        <v>45</v>
      </c>
      <c r="L57" s="383" t="s">
        <v>387</v>
      </c>
      <c r="M57" s="375"/>
      <c r="N57" s="376"/>
      <c r="P57" s="382">
        <v>45</v>
      </c>
      <c r="Q57" s="383" t="s">
        <v>387</v>
      </c>
      <c r="R57" s="375"/>
      <c r="S57" s="376"/>
    </row>
    <row r="58" spans="1:19">
      <c r="A58" s="382">
        <v>46</v>
      </c>
      <c r="B58" s="383" t="s">
        <v>388</v>
      </c>
      <c r="C58" s="375"/>
      <c r="D58" s="376"/>
      <c r="E58" s="375"/>
      <c r="F58" s="382">
        <v>46</v>
      </c>
      <c r="G58" s="383" t="s">
        <v>388</v>
      </c>
      <c r="H58" s="375"/>
      <c r="I58" s="376"/>
      <c r="K58" s="382">
        <v>46</v>
      </c>
      <c r="L58" s="383" t="s">
        <v>388</v>
      </c>
      <c r="M58" s="375"/>
      <c r="N58" s="376"/>
      <c r="P58" s="382">
        <v>46</v>
      </c>
      <c r="Q58" s="383" t="s">
        <v>388</v>
      </c>
      <c r="R58" s="375"/>
      <c r="S58" s="376"/>
    </row>
    <row r="59" spans="1:19">
      <c r="A59" s="382">
        <v>47</v>
      </c>
      <c r="B59" s="383" t="s">
        <v>389</v>
      </c>
      <c r="C59" s="375"/>
      <c r="D59" s="376"/>
      <c r="E59" s="375"/>
      <c r="F59" s="382">
        <v>47</v>
      </c>
      <c r="G59" s="383" t="s">
        <v>389</v>
      </c>
      <c r="H59" s="375"/>
      <c r="I59" s="376"/>
      <c r="K59" s="382">
        <v>47</v>
      </c>
      <c r="L59" s="383" t="s">
        <v>389</v>
      </c>
      <c r="M59" s="375"/>
      <c r="N59" s="376"/>
      <c r="P59" s="382">
        <v>47</v>
      </c>
      <c r="Q59" s="383" t="s">
        <v>389</v>
      </c>
      <c r="R59" s="375"/>
      <c r="S59" s="376"/>
    </row>
    <row r="60" spans="1:19">
      <c r="A60" s="382">
        <v>48</v>
      </c>
      <c r="B60" s="383" t="s">
        <v>390</v>
      </c>
      <c r="C60" s="375"/>
      <c r="D60" s="376"/>
      <c r="E60" s="375"/>
      <c r="F60" s="382">
        <v>48</v>
      </c>
      <c r="G60" s="383" t="s">
        <v>390</v>
      </c>
      <c r="H60" s="375"/>
      <c r="I60" s="376"/>
      <c r="K60" s="382">
        <v>48</v>
      </c>
      <c r="L60" s="383" t="s">
        <v>390</v>
      </c>
      <c r="M60" s="375"/>
      <c r="N60" s="376"/>
      <c r="P60" s="382">
        <v>48</v>
      </c>
      <c r="Q60" s="383" t="s">
        <v>390</v>
      </c>
      <c r="R60" s="375"/>
      <c r="S60" s="376"/>
    </row>
    <row r="61" spans="1:19">
      <c r="A61" s="382">
        <v>49</v>
      </c>
      <c r="B61" s="383" t="s">
        <v>391</v>
      </c>
      <c r="C61" s="375"/>
      <c r="D61" s="376"/>
      <c r="E61" s="375"/>
      <c r="F61" s="382">
        <v>49</v>
      </c>
      <c r="G61" s="383" t="s">
        <v>391</v>
      </c>
      <c r="H61" s="375"/>
      <c r="I61" s="376"/>
      <c r="K61" s="382">
        <v>49</v>
      </c>
      <c r="L61" s="383" t="s">
        <v>391</v>
      </c>
      <c r="M61" s="375"/>
      <c r="N61" s="376"/>
      <c r="P61" s="382">
        <v>49</v>
      </c>
      <c r="Q61" s="383" t="s">
        <v>391</v>
      </c>
      <c r="R61" s="375"/>
      <c r="S61" s="376"/>
    </row>
    <row r="62" spans="1:19">
      <c r="A62" s="382">
        <v>50</v>
      </c>
      <c r="B62" s="383" t="s">
        <v>392</v>
      </c>
      <c r="C62" s="375"/>
      <c r="D62" s="376"/>
      <c r="E62" s="375"/>
      <c r="F62" s="382">
        <v>50</v>
      </c>
      <c r="G62" s="383" t="s">
        <v>392</v>
      </c>
      <c r="H62" s="375"/>
      <c r="I62" s="376"/>
      <c r="K62" s="382">
        <v>50</v>
      </c>
      <c r="L62" s="383" t="s">
        <v>392</v>
      </c>
      <c r="M62" s="375"/>
      <c r="N62" s="376"/>
      <c r="P62" s="382">
        <v>50</v>
      </c>
      <c r="Q62" s="383" t="s">
        <v>392</v>
      </c>
      <c r="R62" s="375"/>
      <c r="S62" s="376"/>
    </row>
    <row r="63" spans="1:19">
      <c r="A63" s="382">
        <v>51</v>
      </c>
      <c r="B63" s="383" t="s">
        <v>393</v>
      </c>
      <c r="C63" s="375"/>
      <c r="D63" s="376"/>
      <c r="E63" s="375"/>
      <c r="F63" s="382">
        <v>51</v>
      </c>
      <c r="G63" s="383" t="s">
        <v>393</v>
      </c>
      <c r="H63" s="375"/>
      <c r="I63" s="376"/>
      <c r="K63" s="382">
        <v>51</v>
      </c>
      <c r="L63" s="383" t="s">
        <v>393</v>
      </c>
      <c r="M63" s="375"/>
      <c r="N63" s="376"/>
      <c r="P63" s="382">
        <v>51</v>
      </c>
      <c r="Q63" s="383" t="s">
        <v>393</v>
      </c>
      <c r="R63" s="375"/>
      <c r="S63" s="376"/>
    </row>
    <row r="64" spans="1:19">
      <c r="A64" s="382">
        <v>52</v>
      </c>
      <c r="B64" s="383" t="s">
        <v>394</v>
      </c>
      <c r="C64" s="375"/>
      <c r="D64" s="376"/>
      <c r="E64" s="375"/>
      <c r="F64" s="382">
        <v>52</v>
      </c>
      <c r="G64" s="383" t="s">
        <v>394</v>
      </c>
      <c r="H64" s="375"/>
      <c r="I64" s="376"/>
      <c r="K64" s="382">
        <v>52</v>
      </c>
      <c r="L64" s="383" t="s">
        <v>394</v>
      </c>
      <c r="M64" s="375"/>
      <c r="N64" s="376"/>
      <c r="P64" s="382">
        <v>52</v>
      </c>
      <c r="Q64" s="383" t="s">
        <v>394</v>
      </c>
      <c r="R64" s="375"/>
      <c r="S64" s="376"/>
    </row>
    <row r="65" spans="1:19">
      <c r="A65" s="382">
        <v>53</v>
      </c>
      <c r="B65" s="383" t="s">
        <v>395</v>
      </c>
      <c r="C65" s="375"/>
      <c r="D65" s="376"/>
      <c r="E65" s="375"/>
      <c r="F65" s="382">
        <v>53</v>
      </c>
      <c r="G65" s="383" t="s">
        <v>395</v>
      </c>
      <c r="H65" s="375"/>
      <c r="I65" s="376"/>
      <c r="K65" s="382">
        <v>53</v>
      </c>
      <c r="L65" s="383" t="s">
        <v>395</v>
      </c>
      <c r="M65" s="375"/>
      <c r="N65" s="376"/>
      <c r="P65" s="382">
        <v>53</v>
      </c>
      <c r="Q65" s="383" t="s">
        <v>395</v>
      </c>
      <c r="R65" s="375"/>
      <c r="S65" s="376"/>
    </row>
    <row r="66" spans="1:19">
      <c r="A66" s="382">
        <v>54</v>
      </c>
      <c r="B66" s="383" t="s">
        <v>396</v>
      </c>
      <c r="C66" s="375"/>
      <c r="D66" s="376"/>
      <c r="E66" s="375"/>
      <c r="F66" s="382">
        <v>54</v>
      </c>
      <c r="G66" s="383" t="s">
        <v>396</v>
      </c>
      <c r="H66" s="375"/>
      <c r="I66" s="376"/>
      <c r="K66" s="382">
        <v>54</v>
      </c>
      <c r="L66" s="383" t="s">
        <v>396</v>
      </c>
      <c r="M66" s="375"/>
      <c r="N66" s="376"/>
      <c r="P66" s="382">
        <v>54</v>
      </c>
      <c r="Q66" s="383" t="s">
        <v>396</v>
      </c>
      <c r="R66" s="375"/>
      <c r="S66" s="376"/>
    </row>
    <row r="67" spans="1:19">
      <c r="A67" s="382">
        <v>55</v>
      </c>
      <c r="B67" s="383" t="s">
        <v>397</v>
      </c>
      <c r="C67" s="375"/>
      <c r="D67" s="376"/>
      <c r="E67" s="375"/>
      <c r="F67" s="382">
        <v>55</v>
      </c>
      <c r="G67" s="383" t="s">
        <v>397</v>
      </c>
      <c r="H67" s="375"/>
      <c r="I67" s="376"/>
      <c r="K67" s="382">
        <v>55</v>
      </c>
      <c r="L67" s="383" t="s">
        <v>397</v>
      </c>
      <c r="M67" s="375"/>
      <c r="N67" s="376"/>
      <c r="P67" s="382">
        <v>55</v>
      </c>
      <c r="Q67" s="383" t="s">
        <v>397</v>
      </c>
      <c r="R67" s="375"/>
      <c r="S67" s="376"/>
    </row>
    <row r="68" spans="1:19">
      <c r="A68" s="382">
        <v>56</v>
      </c>
      <c r="B68" s="383" t="s">
        <v>398</v>
      </c>
      <c r="C68" s="375"/>
      <c r="D68" s="376"/>
      <c r="E68" s="375"/>
      <c r="F68" s="382">
        <v>56</v>
      </c>
      <c r="G68" s="383" t="s">
        <v>398</v>
      </c>
      <c r="H68" s="375"/>
      <c r="I68" s="376"/>
      <c r="K68" s="382">
        <v>56</v>
      </c>
      <c r="L68" s="383" t="s">
        <v>398</v>
      </c>
      <c r="M68" s="375"/>
      <c r="N68" s="376"/>
      <c r="P68" s="382">
        <v>56</v>
      </c>
      <c r="Q68" s="383" t="s">
        <v>398</v>
      </c>
      <c r="R68" s="375"/>
      <c r="S68" s="376"/>
    </row>
    <row r="69" spans="1:19">
      <c r="A69" s="382">
        <v>57</v>
      </c>
      <c r="B69" s="383" t="s">
        <v>399</v>
      </c>
      <c r="C69" s="375"/>
      <c r="D69" s="376"/>
      <c r="E69" s="375"/>
      <c r="F69" s="382">
        <v>57</v>
      </c>
      <c r="G69" s="383" t="s">
        <v>399</v>
      </c>
      <c r="H69" s="375"/>
      <c r="I69" s="376"/>
      <c r="K69" s="382">
        <v>57</v>
      </c>
      <c r="L69" s="383" t="s">
        <v>399</v>
      </c>
      <c r="M69" s="375"/>
      <c r="N69" s="376"/>
      <c r="P69" s="382">
        <v>57</v>
      </c>
      <c r="Q69" s="383" t="s">
        <v>399</v>
      </c>
      <c r="R69" s="375"/>
      <c r="S69" s="376"/>
    </row>
    <row r="70" spans="1:19">
      <c r="A70" s="382">
        <v>58</v>
      </c>
      <c r="B70" s="383" t="s">
        <v>400</v>
      </c>
      <c r="C70" s="375"/>
      <c r="D70" s="376"/>
      <c r="E70" s="375"/>
      <c r="F70" s="382">
        <v>58</v>
      </c>
      <c r="G70" s="383" t="s">
        <v>400</v>
      </c>
      <c r="H70" s="375"/>
      <c r="I70" s="376"/>
      <c r="K70" s="382">
        <v>58</v>
      </c>
      <c r="L70" s="383" t="s">
        <v>400</v>
      </c>
      <c r="M70" s="375"/>
      <c r="N70" s="376"/>
      <c r="P70" s="382">
        <v>58</v>
      </c>
      <c r="Q70" s="383" t="s">
        <v>400</v>
      </c>
      <c r="R70" s="375"/>
      <c r="S70" s="376"/>
    </row>
    <row r="71" spans="1:19">
      <c r="A71" s="382">
        <v>59</v>
      </c>
      <c r="B71" s="383" t="s">
        <v>401</v>
      </c>
      <c r="C71" s="375"/>
      <c r="D71" s="376"/>
      <c r="E71" s="375"/>
      <c r="F71" s="382">
        <v>59</v>
      </c>
      <c r="G71" s="383" t="s">
        <v>401</v>
      </c>
      <c r="H71" s="375"/>
      <c r="I71" s="376"/>
      <c r="K71" s="382">
        <v>59</v>
      </c>
      <c r="L71" s="383" t="s">
        <v>401</v>
      </c>
      <c r="M71" s="375"/>
      <c r="N71" s="376"/>
      <c r="P71" s="382">
        <v>59</v>
      </c>
      <c r="Q71" s="383" t="s">
        <v>401</v>
      </c>
      <c r="R71" s="375"/>
      <c r="S71" s="376"/>
    </row>
    <row r="72" spans="1:19">
      <c r="A72" s="382">
        <v>60</v>
      </c>
      <c r="B72" s="383" t="s">
        <v>402</v>
      </c>
      <c r="C72" s="375"/>
      <c r="D72" s="376"/>
      <c r="E72" s="375"/>
      <c r="F72" s="382">
        <v>60</v>
      </c>
      <c r="G72" s="383" t="s">
        <v>402</v>
      </c>
      <c r="H72" s="375"/>
      <c r="I72" s="376"/>
      <c r="K72" s="382">
        <v>60</v>
      </c>
      <c r="L72" s="383" t="s">
        <v>402</v>
      </c>
      <c r="M72" s="375"/>
      <c r="N72" s="376"/>
      <c r="P72" s="382">
        <v>60</v>
      </c>
      <c r="Q72" s="383" t="s">
        <v>402</v>
      </c>
      <c r="R72" s="375"/>
      <c r="S72" s="376"/>
    </row>
    <row r="73" spans="1:19">
      <c r="A73" s="382">
        <v>61</v>
      </c>
      <c r="B73" s="383" t="s">
        <v>403</v>
      </c>
      <c r="C73" s="375"/>
      <c r="D73" s="376"/>
      <c r="E73" s="375"/>
      <c r="F73" s="382">
        <v>61</v>
      </c>
      <c r="G73" s="383" t="s">
        <v>403</v>
      </c>
      <c r="H73" s="375"/>
      <c r="I73" s="376"/>
      <c r="K73" s="382">
        <v>61</v>
      </c>
      <c r="L73" s="383" t="s">
        <v>403</v>
      </c>
      <c r="M73" s="375"/>
      <c r="N73" s="376"/>
      <c r="P73" s="382">
        <v>61</v>
      </c>
      <c r="Q73" s="383" t="s">
        <v>403</v>
      </c>
      <c r="R73" s="375"/>
      <c r="S73" s="376"/>
    </row>
    <row r="74" spans="1:19">
      <c r="A74" s="382">
        <v>62</v>
      </c>
      <c r="B74" s="383" t="s">
        <v>404</v>
      </c>
      <c r="C74" s="375"/>
      <c r="D74" s="376"/>
      <c r="E74" s="375"/>
      <c r="F74" s="382">
        <v>62</v>
      </c>
      <c r="G74" s="383" t="s">
        <v>404</v>
      </c>
      <c r="H74" s="375"/>
      <c r="I74" s="376"/>
      <c r="K74" s="382">
        <v>62</v>
      </c>
      <c r="L74" s="383" t="s">
        <v>404</v>
      </c>
      <c r="M74" s="375"/>
      <c r="N74" s="376"/>
      <c r="P74" s="382">
        <v>62</v>
      </c>
      <c r="Q74" s="383" t="s">
        <v>404</v>
      </c>
      <c r="R74" s="375"/>
      <c r="S74" s="376"/>
    </row>
    <row r="75" spans="1:19">
      <c r="A75" s="382">
        <v>63</v>
      </c>
      <c r="B75" s="383" t="s">
        <v>405</v>
      </c>
      <c r="C75" s="375"/>
      <c r="D75" s="376"/>
      <c r="E75" s="375"/>
      <c r="F75" s="382">
        <v>63</v>
      </c>
      <c r="G75" s="383" t="s">
        <v>405</v>
      </c>
      <c r="H75" s="375"/>
      <c r="I75" s="376"/>
      <c r="K75" s="382">
        <v>63</v>
      </c>
      <c r="L75" s="383" t="s">
        <v>405</v>
      </c>
      <c r="M75" s="375"/>
      <c r="N75" s="376"/>
      <c r="P75" s="382">
        <v>63</v>
      </c>
      <c r="Q75" s="383" t="s">
        <v>405</v>
      </c>
      <c r="R75" s="375"/>
      <c r="S75" s="376"/>
    </row>
    <row r="76" spans="1:19">
      <c r="A76" s="382">
        <v>64</v>
      </c>
      <c r="B76" s="383" t="s">
        <v>406</v>
      </c>
      <c r="C76" s="375"/>
      <c r="D76" s="376"/>
      <c r="E76" s="375"/>
      <c r="F76" s="382">
        <v>64</v>
      </c>
      <c r="G76" s="383" t="s">
        <v>406</v>
      </c>
      <c r="H76" s="375"/>
      <c r="I76" s="376"/>
      <c r="K76" s="382">
        <v>64</v>
      </c>
      <c r="L76" s="383" t="s">
        <v>406</v>
      </c>
      <c r="M76" s="375"/>
      <c r="N76" s="376"/>
      <c r="P76" s="382">
        <v>64</v>
      </c>
      <c r="Q76" s="383" t="s">
        <v>406</v>
      </c>
      <c r="R76" s="375"/>
      <c r="S76" s="376"/>
    </row>
    <row r="77" spans="1:19">
      <c r="A77" s="382">
        <v>65</v>
      </c>
      <c r="B77" s="383" t="s">
        <v>407</v>
      </c>
      <c r="C77" s="375"/>
      <c r="D77" s="376"/>
      <c r="E77" s="375"/>
      <c r="F77" s="382">
        <v>65</v>
      </c>
      <c r="G77" s="383" t="s">
        <v>407</v>
      </c>
      <c r="H77" s="375"/>
      <c r="I77" s="376"/>
      <c r="K77" s="382">
        <v>65</v>
      </c>
      <c r="L77" s="383" t="s">
        <v>407</v>
      </c>
      <c r="M77" s="375"/>
      <c r="N77" s="376"/>
      <c r="P77" s="382">
        <v>65</v>
      </c>
      <c r="Q77" s="383" t="s">
        <v>407</v>
      </c>
      <c r="R77" s="375"/>
      <c r="S77" s="376"/>
    </row>
    <row r="78" spans="1:19">
      <c r="A78" s="382">
        <v>66</v>
      </c>
      <c r="B78" s="383" t="s">
        <v>408</v>
      </c>
      <c r="C78" s="375"/>
      <c r="D78" s="376"/>
      <c r="E78" s="375"/>
      <c r="F78" s="382">
        <v>66</v>
      </c>
      <c r="G78" s="383" t="s">
        <v>408</v>
      </c>
      <c r="H78" s="375"/>
      <c r="I78" s="376"/>
      <c r="K78" s="382">
        <v>66</v>
      </c>
      <c r="L78" s="383" t="s">
        <v>408</v>
      </c>
      <c r="M78" s="375"/>
      <c r="N78" s="376"/>
      <c r="P78" s="382">
        <v>66</v>
      </c>
      <c r="Q78" s="383" t="s">
        <v>408</v>
      </c>
      <c r="R78" s="375"/>
      <c r="S78" s="376"/>
    </row>
    <row r="79" spans="1:19">
      <c r="A79" s="382">
        <v>67</v>
      </c>
      <c r="B79" s="383" t="s">
        <v>409</v>
      </c>
      <c r="C79" s="375"/>
      <c r="D79" s="376"/>
      <c r="E79" s="375"/>
      <c r="F79" s="382">
        <v>67</v>
      </c>
      <c r="G79" s="383" t="s">
        <v>409</v>
      </c>
      <c r="H79" s="375"/>
      <c r="I79" s="376"/>
      <c r="K79" s="382">
        <v>67</v>
      </c>
      <c r="L79" s="383" t="s">
        <v>409</v>
      </c>
      <c r="M79" s="375"/>
      <c r="N79" s="376"/>
      <c r="P79" s="382">
        <v>67</v>
      </c>
      <c r="Q79" s="383" t="s">
        <v>409</v>
      </c>
      <c r="R79" s="375"/>
      <c r="S79" s="376"/>
    </row>
    <row r="80" spans="1:19">
      <c r="A80" s="382">
        <v>68</v>
      </c>
      <c r="B80" s="383" t="s">
        <v>410</v>
      </c>
      <c r="C80" s="375"/>
      <c r="D80" s="376"/>
      <c r="E80" s="375"/>
      <c r="F80" s="382">
        <v>68</v>
      </c>
      <c r="G80" s="383" t="s">
        <v>410</v>
      </c>
      <c r="H80" s="375"/>
      <c r="I80" s="376"/>
      <c r="K80" s="382">
        <v>68</v>
      </c>
      <c r="L80" s="383" t="s">
        <v>410</v>
      </c>
      <c r="M80" s="375"/>
      <c r="N80" s="376"/>
      <c r="P80" s="382">
        <v>68</v>
      </c>
      <c r="Q80" s="383" t="s">
        <v>410</v>
      </c>
      <c r="R80" s="375"/>
      <c r="S80" s="376"/>
    </row>
    <row r="81" spans="1:19">
      <c r="A81" s="382">
        <v>69</v>
      </c>
      <c r="B81" s="383" t="s">
        <v>411</v>
      </c>
      <c r="C81" s="375"/>
      <c r="D81" s="376"/>
      <c r="E81" s="375"/>
      <c r="F81" s="382">
        <v>69</v>
      </c>
      <c r="G81" s="383" t="s">
        <v>411</v>
      </c>
      <c r="H81" s="375"/>
      <c r="I81" s="376"/>
      <c r="K81" s="382">
        <v>69</v>
      </c>
      <c r="L81" s="383" t="s">
        <v>411</v>
      </c>
      <c r="M81" s="375"/>
      <c r="N81" s="376"/>
      <c r="P81" s="382">
        <v>69</v>
      </c>
      <c r="Q81" s="383" t="s">
        <v>411</v>
      </c>
      <c r="R81" s="375"/>
      <c r="S81" s="376"/>
    </row>
    <row r="82" spans="1:19">
      <c r="A82" s="382">
        <v>70</v>
      </c>
      <c r="B82" s="383" t="s">
        <v>412</v>
      </c>
      <c r="C82" s="375"/>
      <c r="D82" s="376"/>
      <c r="E82" s="375"/>
      <c r="F82" s="382">
        <v>70</v>
      </c>
      <c r="G82" s="383" t="s">
        <v>412</v>
      </c>
      <c r="H82" s="375"/>
      <c r="I82" s="376"/>
      <c r="K82" s="382">
        <v>70</v>
      </c>
      <c r="L82" s="383" t="s">
        <v>412</v>
      </c>
      <c r="M82" s="375"/>
      <c r="N82" s="376"/>
      <c r="P82" s="382">
        <v>70</v>
      </c>
      <c r="Q82" s="383" t="s">
        <v>412</v>
      </c>
      <c r="R82" s="375"/>
      <c r="S82" s="376"/>
    </row>
    <row r="83" spans="1:19">
      <c r="A83" s="382">
        <v>71</v>
      </c>
      <c r="B83" s="383" t="s">
        <v>413</v>
      </c>
      <c r="C83" s="375"/>
      <c r="D83" s="376"/>
      <c r="E83" s="375"/>
      <c r="F83" s="382">
        <v>71</v>
      </c>
      <c r="G83" s="383" t="s">
        <v>413</v>
      </c>
      <c r="H83" s="375"/>
      <c r="I83" s="376"/>
      <c r="K83" s="382">
        <v>71</v>
      </c>
      <c r="L83" s="383" t="s">
        <v>413</v>
      </c>
      <c r="M83" s="375"/>
      <c r="N83" s="376"/>
      <c r="P83" s="382">
        <v>71</v>
      </c>
      <c r="Q83" s="383" t="s">
        <v>413</v>
      </c>
      <c r="R83" s="375"/>
      <c r="S83" s="376"/>
    </row>
    <row r="84" spans="1:19">
      <c r="A84" s="382">
        <v>72</v>
      </c>
      <c r="B84" s="383" t="s">
        <v>414</v>
      </c>
      <c r="C84" s="375"/>
      <c r="D84" s="376"/>
      <c r="E84" s="375"/>
      <c r="F84" s="382">
        <v>72</v>
      </c>
      <c r="G84" s="383" t="s">
        <v>414</v>
      </c>
      <c r="H84" s="375"/>
      <c r="I84" s="376"/>
      <c r="K84" s="382">
        <v>72</v>
      </c>
      <c r="L84" s="383" t="s">
        <v>414</v>
      </c>
      <c r="M84" s="375"/>
      <c r="N84" s="376"/>
      <c r="P84" s="382">
        <v>72</v>
      </c>
      <c r="Q84" s="383" t="s">
        <v>414</v>
      </c>
      <c r="R84" s="375"/>
      <c r="S84" s="376"/>
    </row>
    <row r="85" spans="1:19">
      <c r="A85" s="382">
        <v>73</v>
      </c>
      <c r="B85" s="383" t="s">
        <v>415</v>
      </c>
      <c r="C85" s="375"/>
      <c r="D85" s="376"/>
      <c r="E85" s="375"/>
      <c r="F85" s="382">
        <v>73</v>
      </c>
      <c r="G85" s="383" t="s">
        <v>415</v>
      </c>
      <c r="H85" s="375"/>
      <c r="I85" s="376"/>
      <c r="K85" s="382">
        <v>73</v>
      </c>
      <c r="L85" s="383" t="s">
        <v>415</v>
      </c>
      <c r="M85" s="375"/>
      <c r="N85" s="376"/>
      <c r="P85" s="382">
        <v>73</v>
      </c>
      <c r="Q85" s="383" t="s">
        <v>415</v>
      </c>
      <c r="R85" s="375"/>
      <c r="S85" s="376"/>
    </row>
    <row r="86" spans="1:19">
      <c r="A86" s="382">
        <v>74</v>
      </c>
      <c r="B86" s="383" t="s">
        <v>416</v>
      </c>
      <c r="C86" s="375"/>
      <c r="D86" s="376"/>
      <c r="E86" s="375"/>
      <c r="F86" s="382">
        <v>74</v>
      </c>
      <c r="G86" s="383" t="s">
        <v>416</v>
      </c>
      <c r="H86" s="375"/>
      <c r="I86" s="376"/>
      <c r="K86" s="382">
        <v>74</v>
      </c>
      <c r="L86" s="383" t="s">
        <v>416</v>
      </c>
      <c r="M86" s="375"/>
      <c r="N86" s="376"/>
      <c r="P86" s="382">
        <v>74</v>
      </c>
      <c r="Q86" s="383" t="s">
        <v>416</v>
      </c>
      <c r="R86" s="375"/>
      <c r="S86" s="376"/>
    </row>
    <row r="87" spans="1:19">
      <c r="A87" s="382">
        <v>75</v>
      </c>
      <c r="B87" s="383" t="s">
        <v>417</v>
      </c>
      <c r="C87" s="375"/>
      <c r="D87" s="376"/>
      <c r="E87" s="375"/>
      <c r="F87" s="382">
        <v>75</v>
      </c>
      <c r="G87" s="383" t="s">
        <v>417</v>
      </c>
      <c r="H87" s="375"/>
      <c r="I87" s="376"/>
      <c r="K87" s="382">
        <v>75</v>
      </c>
      <c r="L87" s="383" t="s">
        <v>417</v>
      </c>
      <c r="M87" s="375"/>
      <c r="N87" s="376"/>
      <c r="P87" s="382">
        <v>75</v>
      </c>
      <c r="Q87" s="383" t="s">
        <v>417</v>
      </c>
      <c r="R87" s="375"/>
      <c r="S87" s="376"/>
    </row>
    <row r="88" spans="1:19">
      <c r="A88" s="382">
        <v>76</v>
      </c>
      <c r="B88" s="383" t="s">
        <v>418</v>
      </c>
      <c r="C88" s="375"/>
      <c r="D88" s="376"/>
      <c r="E88" s="375"/>
      <c r="F88" s="382">
        <v>76</v>
      </c>
      <c r="G88" s="383" t="s">
        <v>418</v>
      </c>
      <c r="H88" s="375"/>
      <c r="I88" s="376"/>
      <c r="K88" s="382">
        <v>76</v>
      </c>
      <c r="L88" s="383" t="s">
        <v>418</v>
      </c>
      <c r="M88" s="375"/>
      <c r="N88" s="376"/>
      <c r="P88" s="382">
        <v>76</v>
      </c>
      <c r="Q88" s="383" t="s">
        <v>418</v>
      </c>
      <c r="R88" s="375"/>
      <c r="S88" s="376"/>
    </row>
    <row r="89" spans="1:19">
      <c r="A89" s="382">
        <v>77</v>
      </c>
      <c r="B89" s="383" t="s">
        <v>419</v>
      </c>
      <c r="C89" s="375"/>
      <c r="D89" s="376"/>
      <c r="E89" s="375"/>
      <c r="F89" s="382">
        <v>77</v>
      </c>
      <c r="G89" s="383" t="s">
        <v>419</v>
      </c>
      <c r="H89" s="375"/>
      <c r="I89" s="376"/>
      <c r="K89" s="382">
        <v>77</v>
      </c>
      <c r="L89" s="383" t="s">
        <v>419</v>
      </c>
      <c r="M89" s="375"/>
      <c r="N89" s="376"/>
      <c r="P89" s="382">
        <v>77</v>
      </c>
      <c r="Q89" s="383" t="s">
        <v>419</v>
      </c>
      <c r="R89" s="375"/>
      <c r="S89" s="376"/>
    </row>
    <row r="90" spans="1:19">
      <c r="A90" s="382">
        <v>78</v>
      </c>
      <c r="B90" s="383" t="s">
        <v>420</v>
      </c>
      <c r="C90" s="375"/>
      <c r="D90" s="376"/>
      <c r="E90" s="375"/>
      <c r="F90" s="382">
        <v>78</v>
      </c>
      <c r="G90" s="383" t="s">
        <v>420</v>
      </c>
      <c r="H90" s="375"/>
      <c r="I90" s="376"/>
      <c r="K90" s="382">
        <v>78</v>
      </c>
      <c r="L90" s="383" t="s">
        <v>420</v>
      </c>
      <c r="M90" s="375"/>
      <c r="N90" s="376"/>
      <c r="P90" s="382">
        <v>78</v>
      </c>
      <c r="Q90" s="383" t="s">
        <v>420</v>
      </c>
      <c r="R90" s="375"/>
      <c r="S90" s="376"/>
    </row>
    <row r="91" spans="1:19">
      <c r="A91" s="382">
        <v>79</v>
      </c>
      <c r="B91" s="383" t="s">
        <v>421</v>
      </c>
      <c r="C91" s="375"/>
      <c r="D91" s="376"/>
      <c r="E91" s="375"/>
      <c r="F91" s="382">
        <v>79</v>
      </c>
      <c r="G91" s="383" t="s">
        <v>421</v>
      </c>
      <c r="H91" s="375"/>
      <c r="I91" s="376"/>
      <c r="K91" s="382">
        <v>79</v>
      </c>
      <c r="L91" s="383" t="s">
        <v>421</v>
      </c>
      <c r="M91" s="375"/>
      <c r="N91" s="376"/>
      <c r="P91" s="382">
        <v>79</v>
      </c>
      <c r="Q91" s="383" t="s">
        <v>421</v>
      </c>
      <c r="R91" s="375"/>
      <c r="S91" s="376"/>
    </row>
    <row r="92" spans="1:19">
      <c r="A92" s="382">
        <v>80</v>
      </c>
      <c r="B92" s="383" t="s">
        <v>422</v>
      </c>
      <c r="C92" s="375"/>
      <c r="D92" s="376"/>
      <c r="E92" s="375"/>
      <c r="F92" s="382">
        <v>80</v>
      </c>
      <c r="G92" s="383" t="s">
        <v>422</v>
      </c>
      <c r="H92" s="375"/>
      <c r="I92" s="376"/>
      <c r="K92" s="382">
        <v>80</v>
      </c>
      <c r="L92" s="383" t="s">
        <v>422</v>
      </c>
      <c r="M92" s="375"/>
      <c r="N92" s="376"/>
      <c r="P92" s="382">
        <v>80</v>
      </c>
      <c r="Q92" s="383" t="s">
        <v>422</v>
      </c>
      <c r="R92" s="375"/>
      <c r="S92" s="376"/>
    </row>
    <row r="93" spans="1:19">
      <c r="A93" s="382">
        <v>81</v>
      </c>
      <c r="B93" s="383" t="s">
        <v>423</v>
      </c>
      <c r="C93" s="375"/>
      <c r="D93" s="376"/>
      <c r="E93" s="375"/>
      <c r="F93" s="382">
        <v>81</v>
      </c>
      <c r="G93" s="383" t="s">
        <v>423</v>
      </c>
      <c r="H93" s="375"/>
      <c r="I93" s="376"/>
      <c r="K93" s="382">
        <v>81</v>
      </c>
      <c r="L93" s="383" t="s">
        <v>423</v>
      </c>
      <c r="M93" s="375"/>
      <c r="N93" s="376"/>
      <c r="P93" s="382">
        <v>81</v>
      </c>
      <c r="Q93" s="383" t="s">
        <v>423</v>
      </c>
      <c r="R93" s="375"/>
      <c r="S93" s="376"/>
    </row>
    <row r="94" spans="1:19">
      <c r="A94" s="382">
        <v>82</v>
      </c>
      <c r="B94" s="383" t="s">
        <v>424</v>
      </c>
      <c r="C94" s="375"/>
      <c r="D94" s="376"/>
      <c r="E94" s="375"/>
      <c r="F94" s="382">
        <v>82</v>
      </c>
      <c r="G94" s="383" t="s">
        <v>424</v>
      </c>
      <c r="H94" s="375"/>
      <c r="I94" s="376"/>
      <c r="K94" s="382">
        <v>82</v>
      </c>
      <c r="L94" s="383" t="s">
        <v>424</v>
      </c>
      <c r="M94" s="375"/>
      <c r="N94" s="376"/>
      <c r="P94" s="382">
        <v>82</v>
      </c>
      <c r="Q94" s="383" t="s">
        <v>424</v>
      </c>
      <c r="R94" s="375"/>
      <c r="S94" s="376"/>
    </row>
    <row r="95" spans="1:19">
      <c r="A95" s="382">
        <v>83</v>
      </c>
      <c r="B95" s="383" t="s">
        <v>425</v>
      </c>
      <c r="C95" s="375"/>
      <c r="D95" s="376"/>
      <c r="E95" s="375"/>
      <c r="F95" s="382">
        <v>83</v>
      </c>
      <c r="G95" s="383" t="s">
        <v>425</v>
      </c>
      <c r="H95" s="375"/>
      <c r="I95" s="376"/>
      <c r="K95" s="382">
        <v>83</v>
      </c>
      <c r="L95" s="383" t="s">
        <v>425</v>
      </c>
      <c r="M95" s="375"/>
      <c r="N95" s="376"/>
      <c r="P95" s="382">
        <v>83</v>
      </c>
      <c r="Q95" s="383" t="s">
        <v>425</v>
      </c>
      <c r="R95" s="375"/>
      <c r="S95" s="376"/>
    </row>
    <row r="96" spans="1:19">
      <c r="A96" s="382">
        <v>84</v>
      </c>
      <c r="B96" s="383" t="s">
        <v>426</v>
      </c>
      <c r="C96" s="375"/>
      <c r="D96" s="376"/>
      <c r="E96" s="375"/>
      <c r="F96" s="382">
        <v>84</v>
      </c>
      <c r="G96" s="383" t="s">
        <v>426</v>
      </c>
      <c r="H96" s="375"/>
      <c r="I96" s="376"/>
      <c r="K96" s="382">
        <v>84</v>
      </c>
      <c r="L96" s="383" t="s">
        <v>426</v>
      </c>
      <c r="M96" s="375"/>
      <c r="N96" s="376"/>
      <c r="P96" s="382">
        <v>84</v>
      </c>
      <c r="Q96" s="383" t="s">
        <v>426</v>
      </c>
      <c r="R96" s="375"/>
      <c r="S96" s="376"/>
    </row>
    <row r="97" spans="1:19">
      <c r="A97" s="382">
        <v>85</v>
      </c>
      <c r="B97" s="383" t="s">
        <v>427</v>
      </c>
      <c r="C97" s="375"/>
      <c r="D97" s="376"/>
      <c r="E97" s="375"/>
      <c r="F97" s="382">
        <v>85</v>
      </c>
      <c r="G97" s="383" t="s">
        <v>427</v>
      </c>
      <c r="H97" s="375"/>
      <c r="I97" s="376"/>
      <c r="K97" s="382">
        <v>85</v>
      </c>
      <c r="L97" s="383" t="s">
        <v>427</v>
      </c>
      <c r="M97" s="375"/>
      <c r="N97" s="376"/>
      <c r="P97" s="382">
        <v>85</v>
      </c>
      <c r="Q97" s="383" t="s">
        <v>427</v>
      </c>
      <c r="R97" s="375"/>
      <c r="S97" s="376"/>
    </row>
    <row r="98" spans="1:19">
      <c r="A98" s="382">
        <v>86</v>
      </c>
      <c r="B98" s="383" t="s">
        <v>428</v>
      </c>
      <c r="C98" s="375"/>
      <c r="D98" s="376"/>
      <c r="E98" s="375"/>
      <c r="F98" s="382">
        <v>86</v>
      </c>
      <c r="G98" s="383" t="s">
        <v>428</v>
      </c>
      <c r="H98" s="375"/>
      <c r="I98" s="376"/>
      <c r="K98" s="382">
        <v>86</v>
      </c>
      <c r="L98" s="383" t="s">
        <v>428</v>
      </c>
      <c r="M98" s="375"/>
      <c r="N98" s="376"/>
      <c r="P98" s="382">
        <v>86</v>
      </c>
      <c r="Q98" s="383" t="s">
        <v>428</v>
      </c>
      <c r="R98" s="375"/>
      <c r="S98" s="376"/>
    </row>
    <row r="99" spans="1:19">
      <c r="A99" s="382">
        <v>87</v>
      </c>
      <c r="B99" s="383" t="s">
        <v>429</v>
      </c>
      <c r="C99" s="375"/>
      <c r="D99" s="376"/>
      <c r="E99" s="375"/>
      <c r="F99" s="382">
        <v>87</v>
      </c>
      <c r="G99" s="383" t="s">
        <v>429</v>
      </c>
      <c r="H99" s="375"/>
      <c r="I99" s="376"/>
      <c r="K99" s="382">
        <v>87</v>
      </c>
      <c r="L99" s="383" t="s">
        <v>429</v>
      </c>
      <c r="M99" s="375"/>
      <c r="N99" s="376"/>
      <c r="P99" s="382">
        <v>87</v>
      </c>
      <c r="Q99" s="383" t="s">
        <v>429</v>
      </c>
      <c r="R99" s="375"/>
      <c r="S99" s="376"/>
    </row>
    <row r="100" spans="1:19">
      <c r="A100" s="382">
        <v>88</v>
      </c>
      <c r="B100" s="383" t="s">
        <v>430</v>
      </c>
      <c r="C100" s="375"/>
      <c r="D100" s="376"/>
      <c r="E100" s="375"/>
      <c r="F100" s="382">
        <v>88</v>
      </c>
      <c r="G100" s="383" t="s">
        <v>430</v>
      </c>
      <c r="H100" s="375"/>
      <c r="I100" s="376"/>
      <c r="K100" s="382">
        <v>88</v>
      </c>
      <c r="L100" s="383" t="s">
        <v>430</v>
      </c>
      <c r="M100" s="375"/>
      <c r="N100" s="376"/>
      <c r="P100" s="382">
        <v>88</v>
      </c>
      <c r="Q100" s="383" t="s">
        <v>430</v>
      </c>
      <c r="R100" s="375"/>
      <c r="S100" s="376"/>
    </row>
    <row r="101" spans="1:19">
      <c r="A101" s="382">
        <v>89</v>
      </c>
      <c r="B101" s="383" t="s">
        <v>431</v>
      </c>
      <c r="C101" s="375"/>
      <c r="D101" s="376"/>
      <c r="E101" s="375"/>
      <c r="F101" s="382">
        <v>89</v>
      </c>
      <c r="G101" s="383" t="s">
        <v>431</v>
      </c>
      <c r="H101" s="375"/>
      <c r="I101" s="376"/>
      <c r="K101" s="382">
        <v>89</v>
      </c>
      <c r="L101" s="383" t="s">
        <v>431</v>
      </c>
      <c r="M101" s="375"/>
      <c r="N101" s="376"/>
      <c r="P101" s="382">
        <v>89</v>
      </c>
      <c r="Q101" s="383" t="s">
        <v>431</v>
      </c>
      <c r="R101" s="375"/>
      <c r="S101" s="376"/>
    </row>
    <row r="102" spans="1:19">
      <c r="A102" s="382">
        <v>90</v>
      </c>
      <c r="B102" s="383" t="s">
        <v>432</v>
      </c>
      <c r="C102" s="375"/>
      <c r="D102" s="376"/>
      <c r="E102" s="375"/>
      <c r="F102" s="382">
        <v>90</v>
      </c>
      <c r="G102" s="383" t="s">
        <v>432</v>
      </c>
      <c r="H102" s="375"/>
      <c r="I102" s="376"/>
      <c r="K102" s="382">
        <v>90</v>
      </c>
      <c r="L102" s="383" t="s">
        <v>432</v>
      </c>
      <c r="M102" s="375"/>
      <c r="N102" s="376"/>
      <c r="P102" s="382">
        <v>90</v>
      </c>
      <c r="Q102" s="383" t="s">
        <v>432</v>
      </c>
      <c r="R102" s="375"/>
      <c r="S102" s="376"/>
    </row>
    <row r="103" spans="1:19">
      <c r="A103" s="382">
        <v>91</v>
      </c>
      <c r="B103" s="383" t="s">
        <v>433</v>
      </c>
      <c r="C103" s="375"/>
      <c r="D103" s="376"/>
      <c r="E103" s="375"/>
      <c r="F103" s="382">
        <v>91</v>
      </c>
      <c r="G103" s="383" t="s">
        <v>433</v>
      </c>
      <c r="H103" s="375"/>
      <c r="I103" s="376"/>
      <c r="K103" s="382">
        <v>91</v>
      </c>
      <c r="L103" s="383" t="s">
        <v>433</v>
      </c>
      <c r="M103" s="375"/>
      <c r="N103" s="376"/>
      <c r="P103" s="382">
        <v>91</v>
      </c>
      <c r="Q103" s="383" t="s">
        <v>433</v>
      </c>
      <c r="R103" s="375"/>
      <c r="S103" s="376"/>
    </row>
    <row r="104" spans="1:19">
      <c r="A104" s="382">
        <v>92</v>
      </c>
      <c r="B104" s="383" t="s">
        <v>434</v>
      </c>
      <c r="C104" s="375"/>
      <c r="D104" s="376"/>
      <c r="E104" s="375"/>
      <c r="F104" s="382">
        <v>92</v>
      </c>
      <c r="G104" s="383" t="s">
        <v>434</v>
      </c>
      <c r="H104" s="375"/>
      <c r="I104" s="376"/>
      <c r="K104" s="382">
        <v>92</v>
      </c>
      <c r="L104" s="383" t="s">
        <v>434</v>
      </c>
      <c r="M104" s="375"/>
      <c r="N104" s="376"/>
      <c r="P104" s="382">
        <v>92</v>
      </c>
      <c r="Q104" s="383" t="s">
        <v>434</v>
      </c>
      <c r="R104" s="375"/>
      <c r="S104" s="376"/>
    </row>
    <row r="105" spans="1:19">
      <c r="A105" s="382">
        <v>93</v>
      </c>
      <c r="B105" s="383" t="s">
        <v>435</v>
      </c>
      <c r="C105" s="375"/>
      <c r="D105" s="376"/>
      <c r="E105" s="375"/>
      <c r="F105" s="382">
        <v>93</v>
      </c>
      <c r="G105" s="383" t="s">
        <v>435</v>
      </c>
      <c r="H105" s="375"/>
      <c r="I105" s="376"/>
      <c r="K105" s="382">
        <v>93</v>
      </c>
      <c r="L105" s="383" t="s">
        <v>435</v>
      </c>
      <c r="M105" s="375"/>
      <c r="N105" s="376"/>
      <c r="P105" s="382">
        <v>93</v>
      </c>
      <c r="Q105" s="383" t="s">
        <v>435</v>
      </c>
      <c r="R105" s="375"/>
      <c r="S105" s="376"/>
    </row>
    <row r="106" spans="1:19">
      <c r="A106" s="382">
        <v>94</v>
      </c>
      <c r="B106" s="383" t="s">
        <v>436</v>
      </c>
      <c r="C106" s="375"/>
      <c r="D106" s="376"/>
      <c r="E106" s="375"/>
      <c r="F106" s="382">
        <v>94</v>
      </c>
      <c r="G106" s="383" t="s">
        <v>436</v>
      </c>
      <c r="H106" s="375"/>
      <c r="I106" s="376"/>
      <c r="K106" s="382">
        <v>94</v>
      </c>
      <c r="L106" s="383" t="s">
        <v>436</v>
      </c>
      <c r="M106" s="375"/>
      <c r="N106" s="376"/>
      <c r="P106" s="382">
        <v>94</v>
      </c>
      <c r="Q106" s="383" t="s">
        <v>436</v>
      </c>
      <c r="R106" s="375"/>
      <c r="S106" s="376"/>
    </row>
    <row r="107" spans="1:19">
      <c r="A107" s="382">
        <v>95</v>
      </c>
      <c r="B107" s="383" t="s">
        <v>437</v>
      </c>
      <c r="C107" s="375"/>
      <c r="D107" s="376"/>
      <c r="E107" s="375"/>
      <c r="F107" s="382">
        <v>95</v>
      </c>
      <c r="G107" s="383" t="s">
        <v>437</v>
      </c>
      <c r="H107" s="375"/>
      <c r="I107" s="376"/>
      <c r="K107" s="382">
        <v>95</v>
      </c>
      <c r="L107" s="383" t="s">
        <v>437</v>
      </c>
      <c r="M107" s="375"/>
      <c r="N107" s="376"/>
      <c r="P107" s="382">
        <v>95</v>
      </c>
      <c r="Q107" s="383" t="s">
        <v>437</v>
      </c>
      <c r="R107" s="375"/>
      <c r="S107" s="376"/>
    </row>
    <row r="108" spans="1:19">
      <c r="A108" s="382">
        <v>96</v>
      </c>
      <c r="B108" s="383" t="s">
        <v>438</v>
      </c>
      <c r="C108" s="375"/>
      <c r="D108" s="376"/>
      <c r="E108" s="375"/>
      <c r="F108" s="382">
        <v>96</v>
      </c>
      <c r="G108" s="383" t="s">
        <v>438</v>
      </c>
      <c r="H108" s="375"/>
      <c r="I108" s="376"/>
      <c r="K108" s="382">
        <v>96</v>
      </c>
      <c r="L108" s="383" t="s">
        <v>438</v>
      </c>
      <c r="M108" s="375"/>
      <c r="N108" s="376"/>
      <c r="P108" s="382">
        <v>96</v>
      </c>
      <c r="Q108" s="383" t="s">
        <v>438</v>
      </c>
      <c r="R108" s="375"/>
      <c r="S108" s="376"/>
    </row>
    <row r="109" spans="1:19">
      <c r="A109" s="382">
        <v>97</v>
      </c>
      <c r="B109" s="383" t="s">
        <v>439</v>
      </c>
      <c r="C109" s="375"/>
      <c r="D109" s="376"/>
      <c r="E109" s="375"/>
      <c r="F109" s="382">
        <v>97</v>
      </c>
      <c r="G109" s="383" t="s">
        <v>439</v>
      </c>
      <c r="H109" s="375"/>
      <c r="I109" s="376"/>
      <c r="K109" s="382">
        <v>97</v>
      </c>
      <c r="L109" s="383" t="s">
        <v>439</v>
      </c>
      <c r="M109" s="375"/>
      <c r="N109" s="376"/>
      <c r="P109" s="382">
        <v>97</v>
      </c>
      <c r="Q109" s="383" t="s">
        <v>439</v>
      </c>
      <c r="R109" s="375"/>
      <c r="S109" s="376"/>
    </row>
    <row r="110" spans="1:19">
      <c r="A110" s="382">
        <v>98</v>
      </c>
      <c r="B110" s="383" t="s">
        <v>440</v>
      </c>
      <c r="C110" s="375"/>
      <c r="D110" s="376"/>
      <c r="E110" s="375"/>
      <c r="F110" s="382">
        <v>98</v>
      </c>
      <c r="G110" s="383" t="s">
        <v>440</v>
      </c>
      <c r="H110" s="375"/>
      <c r="I110" s="376"/>
      <c r="K110" s="382">
        <v>98</v>
      </c>
      <c r="L110" s="383" t="s">
        <v>440</v>
      </c>
      <c r="M110" s="375"/>
      <c r="N110" s="376"/>
      <c r="P110" s="382">
        <v>98</v>
      </c>
      <c r="Q110" s="383" t="s">
        <v>440</v>
      </c>
      <c r="R110" s="375"/>
      <c r="S110" s="376"/>
    </row>
    <row r="111" spans="1:19">
      <c r="A111" s="382">
        <v>99</v>
      </c>
      <c r="B111" s="383" t="s">
        <v>441</v>
      </c>
      <c r="C111" s="375"/>
      <c r="D111" s="376"/>
      <c r="E111" s="375"/>
      <c r="F111" s="382">
        <v>99</v>
      </c>
      <c r="G111" s="383" t="s">
        <v>441</v>
      </c>
      <c r="H111" s="375"/>
      <c r="I111" s="376"/>
      <c r="K111" s="382">
        <v>99</v>
      </c>
      <c r="L111" s="383" t="s">
        <v>441</v>
      </c>
      <c r="M111" s="375"/>
      <c r="N111" s="376"/>
      <c r="P111" s="382">
        <v>99</v>
      </c>
      <c r="Q111" s="383" t="s">
        <v>441</v>
      </c>
      <c r="R111" s="375"/>
      <c r="S111" s="376"/>
    </row>
    <row r="112" spans="1:19" ht="13.5" thickBot="1">
      <c r="A112" s="384">
        <v>100</v>
      </c>
      <c r="B112" s="385" t="s">
        <v>442</v>
      </c>
      <c r="C112" s="386"/>
      <c r="D112" s="387"/>
      <c r="E112" s="375"/>
      <c r="F112" s="384">
        <v>100</v>
      </c>
      <c r="G112" s="385" t="s">
        <v>442</v>
      </c>
      <c r="H112" s="386"/>
      <c r="I112" s="387"/>
      <c r="K112" s="384">
        <v>100</v>
      </c>
      <c r="L112" s="385" t="s">
        <v>442</v>
      </c>
      <c r="M112" s="386"/>
      <c r="N112" s="387"/>
      <c r="P112" s="384">
        <v>100</v>
      </c>
      <c r="Q112" s="385" t="s">
        <v>442</v>
      </c>
      <c r="R112" s="386"/>
      <c r="S112" s="387"/>
    </row>
    <row r="118" spans="1:4">
      <c r="A118" s="399" t="s">
        <v>448</v>
      </c>
    </row>
    <row r="119" spans="1:4" ht="13.5" thickBot="1"/>
    <row r="120" spans="1:4" ht="13.5" thickBot="1">
      <c r="A120" s="388"/>
      <c r="B120" s="389"/>
      <c r="C120" s="389"/>
      <c r="D120" s="390"/>
    </row>
    <row r="121" spans="1:4" ht="13.5" thickBot="1">
      <c r="A121" s="392"/>
      <c r="D121" s="393"/>
    </row>
    <row r="122" spans="1:4" ht="15.75" thickBot="1">
      <c r="A122" s="979" t="e">
        <v>#REF!</v>
      </c>
      <c r="B122" s="980"/>
      <c r="C122" s="372"/>
      <c r="D122" s="373"/>
    </row>
    <row r="123" spans="1:4">
      <c r="A123" s="981"/>
      <c r="B123" s="982"/>
      <c r="C123" s="372"/>
      <c r="D123" s="373"/>
    </row>
    <row r="124" spans="1:4">
      <c r="A124" s="374"/>
      <c r="B124" s="375"/>
      <c r="C124" s="375"/>
      <c r="D124" s="376"/>
    </row>
    <row r="125" spans="1:4">
      <c r="A125" s="983" t="e">
        <f>IF(OR((A122&gt;9999999999),(A122&lt;0)),"Invalid Entry - More than 1000 crore OR -ve value",IF(A122=0, "",+CONCATENATE(U121,B132,D132,B131,D131,B130,D130,B129,D129,B128,D128,B127," Only")))</f>
        <v>#REF!</v>
      </c>
      <c r="B125" s="984"/>
      <c r="C125" s="984"/>
      <c r="D125" s="985"/>
    </row>
    <row r="126" spans="1:4">
      <c r="A126" s="374"/>
      <c r="B126" s="375"/>
      <c r="C126" s="375"/>
      <c r="D126" s="376"/>
    </row>
    <row r="127" spans="1:4">
      <c r="A127" s="377" t="e">
        <f>-INT(A122/100)*100+ROUND(A122,0)</f>
        <v>#REF!</v>
      </c>
      <c r="B127" s="375" t="e">
        <f t="shared" ref="B127:B132" si="6">IF(A127=0,"",LOOKUP(A127,$A$13:$A$112,$B$13:$B$112))</f>
        <v>#REF!</v>
      </c>
      <c r="C127" s="375"/>
      <c r="D127" s="378"/>
    </row>
    <row r="128" spans="1:4">
      <c r="A128" s="377" t="e">
        <f>-INT(A122/1000)*10+INT(A122/100)</f>
        <v>#REF!</v>
      </c>
      <c r="B128" s="375" t="e">
        <f t="shared" si="6"/>
        <v>#REF!</v>
      </c>
      <c r="C128" s="375"/>
      <c r="D128" s="378" t="e">
        <f>+IF(B128="",""," Hundred ")</f>
        <v>#REF!</v>
      </c>
    </row>
    <row r="129" spans="1:4">
      <c r="A129" s="377" t="e">
        <f>-INT(A122/100000)*100+INT(A122/1000)</f>
        <v>#REF!</v>
      </c>
      <c r="B129" s="375" t="e">
        <f t="shared" si="6"/>
        <v>#REF!</v>
      </c>
      <c r="C129" s="375"/>
      <c r="D129" s="378" t="e">
        <f>IF((B129=""),IF(C129="",""," Thousand ")," Thousand ")</f>
        <v>#REF!</v>
      </c>
    </row>
    <row r="130" spans="1:4">
      <c r="A130" s="377" t="e">
        <f>-INT(A122/10000000)*100+INT(A122/100000)</f>
        <v>#REF!</v>
      </c>
      <c r="B130" s="375" t="e">
        <f t="shared" si="6"/>
        <v>#REF!</v>
      </c>
      <c r="C130" s="375"/>
      <c r="D130" s="378" t="e">
        <f>IF((B130=""),IF(C130="",""," Lac ")," Lac ")</f>
        <v>#REF!</v>
      </c>
    </row>
    <row r="131" spans="1:4">
      <c r="A131" s="377" t="e">
        <f>-INT(A122/1000000000)*100+INT(A122/10000000)</f>
        <v>#REF!</v>
      </c>
      <c r="B131" s="379" t="e">
        <f t="shared" si="6"/>
        <v>#REF!</v>
      </c>
      <c r="C131" s="375"/>
      <c r="D131" s="378" t="e">
        <f>IF((B131=""),IF(C131="",""," Crore ")," Crore ")</f>
        <v>#REF!</v>
      </c>
    </row>
    <row r="132" spans="1:4">
      <c r="A132" s="380" t="e">
        <f>-INT(A122/10000000000)*1000+INT(A122/1000000000)</f>
        <v>#REF!</v>
      </c>
      <c r="B132" s="379" t="e">
        <f t="shared" si="6"/>
        <v>#REF!</v>
      </c>
      <c r="C132" s="375"/>
      <c r="D132" s="378" t="e">
        <f>IF((B132=""),IF(C132="",""," Hundred ")," Hundred ")</f>
        <v>#REF!</v>
      </c>
    </row>
    <row r="133" spans="1:4">
      <c r="A133" s="381"/>
      <c r="B133" s="375"/>
      <c r="C133" s="375"/>
      <c r="D133" s="376"/>
    </row>
    <row r="134" spans="1:4">
      <c r="A134" s="382">
        <v>1</v>
      </c>
      <c r="B134" s="383" t="s">
        <v>343</v>
      </c>
      <c r="C134" s="375"/>
      <c r="D134" s="376"/>
    </row>
    <row r="135" spans="1:4">
      <c r="A135" s="382">
        <v>2</v>
      </c>
      <c r="B135" s="383" t="s">
        <v>344</v>
      </c>
      <c r="C135" s="375"/>
      <c r="D135" s="376"/>
    </row>
    <row r="136" spans="1:4">
      <c r="A136" s="382">
        <v>3</v>
      </c>
      <c r="B136" s="383" t="s">
        <v>345</v>
      </c>
      <c r="C136" s="375"/>
      <c r="D136" s="376"/>
    </row>
    <row r="137" spans="1:4">
      <c r="A137" s="382">
        <v>4</v>
      </c>
      <c r="B137" s="383" t="s">
        <v>346</v>
      </c>
      <c r="C137" s="375"/>
      <c r="D137" s="376"/>
    </row>
    <row r="138" spans="1:4">
      <c r="A138" s="382">
        <v>5</v>
      </c>
      <c r="B138" s="383" t="s">
        <v>347</v>
      </c>
      <c r="C138" s="375"/>
      <c r="D138" s="376"/>
    </row>
    <row r="139" spans="1:4">
      <c r="A139" s="382">
        <v>6</v>
      </c>
      <c r="B139" s="383" t="s">
        <v>348</v>
      </c>
      <c r="C139" s="375"/>
      <c r="D139" s="376"/>
    </row>
    <row r="140" spans="1:4">
      <c r="A140" s="382">
        <v>7</v>
      </c>
      <c r="B140" s="383" t="s">
        <v>349</v>
      </c>
      <c r="C140" s="375"/>
      <c r="D140" s="376"/>
    </row>
    <row r="141" spans="1:4">
      <c r="A141" s="382">
        <v>8</v>
      </c>
      <c r="B141" s="383" t="s">
        <v>350</v>
      </c>
      <c r="C141" s="375"/>
      <c r="D141" s="376"/>
    </row>
    <row r="142" spans="1:4">
      <c r="A142" s="382">
        <v>9</v>
      </c>
      <c r="B142" s="383" t="s">
        <v>351</v>
      </c>
      <c r="C142" s="375"/>
      <c r="D142" s="376"/>
    </row>
    <row r="143" spans="1:4">
      <c r="A143" s="382">
        <v>10</v>
      </c>
      <c r="B143" s="383" t="s">
        <v>352</v>
      </c>
      <c r="C143" s="375"/>
      <c r="D143" s="376"/>
    </row>
    <row r="144" spans="1:4">
      <c r="A144" s="382">
        <v>11</v>
      </c>
      <c r="B144" s="383" t="s">
        <v>353</v>
      </c>
      <c r="C144" s="375"/>
      <c r="D144" s="376"/>
    </row>
    <row r="145" spans="1:4">
      <c r="A145" s="382">
        <v>12</v>
      </c>
      <c r="B145" s="383" t="s">
        <v>354</v>
      </c>
      <c r="C145" s="375"/>
      <c r="D145" s="376"/>
    </row>
    <row r="146" spans="1:4">
      <c r="A146" s="382">
        <v>13</v>
      </c>
      <c r="B146" s="383" t="s">
        <v>355</v>
      </c>
      <c r="C146" s="375"/>
      <c r="D146" s="376"/>
    </row>
    <row r="147" spans="1:4">
      <c r="A147" s="382">
        <v>14</v>
      </c>
      <c r="B147" s="383" t="s">
        <v>356</v>
      </c>
      <c r="C147" s="375"/>
      <c r="D147" s="376"/>
    </row>
    <row r="148" spans="1:4">
      <c r="A148" s="382">
        <v>15</v>
      </c>
      <c r="B148" s="383" t="s">
        <v>357</v>
      </c>
      <c r="C148" s="375"/>
      <c r="D148" s="376"/>
    </row>
    <row r="149" spans="1:4">
      <c r="A149" s="382">
        <v>16</v>
      </c>
      <c r="B149" s="383" t="s">
        <v>358</v>
      </c>
      <c r="C149" s="375"/>
      <c r="D149" s="376"/>
    </row>
    <row r="150" spans="1:4">
      <c r="A150" s="382">
        <v>17</v>
      </c>
      <c r="B150" s="383" t="s">
        <v>359</v>
      </c>
      <c r="C150" s="375"/>
      <c r="D150" s="376"/>
    </row>
    <row r="151" spans="1:4">
      <c r="A151" s="382">
        <v>18</v>
      </c>
      <c r="B151" s="383" t="s">
        <v>360</v>
      </c>
      <c r="C151" s="375"/>
      <c r="D151" s="376"/>
    </row>
    <row r="152" spans="1:4">
      <c r="A152" s="382">
        <v>19</v>
      </c>
      <c r="B152" s="383" t="s">
        <v>361</v>
      </c>
      <c r="C152" s="375"/>
      <c r="D152" s="376"/>
    </row>
    <row r="153" spans="1:4">
      <c r="A153" s="382">
        <v>20</v>
      </c>
      <c r="B153" s="383" t="s">
        <v>362</v>
      </c>
      <c r="C153" s="375"/>
      <c r="D153" s="376"/>
    </row>
    <row r="154" spans="1:4">
      <c r="A154" s="382">
        <v>21</v>
      </c>
      <c r="B154" s="383" t="s">
        <v>363</v>
      </c>
      <c r="C154" s="375"/>
      <c r="D154" s="376"/>
    </row>
    <row r="155" spans="1:4">
      <c r="A155" s="382">
        <v>22</v>
      </c>
      <c r="B155" s="383" t="s">
        <v>364</v>
      </c>
      <c r="C155" s="375"/>
      <c r="D155" s="376"/>
    </row>
    <row r="156" spans="1:4">
      <c r="A156" s="382">
        <v>23</v>
      </c>
      <c r="B156" s="383" t="s">
        <v>365</v>
      </c>
      <c r="C156" s="375"/>
      <c r="D156" s="376"/>
    </row>
    <row r="157" spans="1:4">
      <c r="A157" s="382">
        <v>24</v>
      </c>
      <c r="B157" s="383" t="s">
        <v>366</v>
      </c>
      <c r="C157" s="375"/>
      <c r="D157" s="376"/>
    </row>
    <row r="158" spans="1:4">
      <c r="A158" s="382">
        <v>25</v>
      </c>
      <c r="B158" s="383" t="s">
        <v>367</v>
      </c>
      <c r="C158" s="375"/>
      <c r="D158" s="376"/>
    </row>
    <row r="159" spans="1:4">
      <c r="A159" s="382">
        <v>26</v>
      </c>
      <c r="B159" s="383" t="s">
        <v>368</v>
      </c>
      <c r="C159" s="375"/>
      <c r="D159" s="376"/>
    </row>
    <row r="160" spans="1:4">
      <c r="A160" s="382">
        <v>27</v>
      </c>
      <c r="B160" s="383" t="s">
        <v>369</v>
      </c>
      <c r="C160" s="375"/>
      <c r="D160" s="376"/>
    </row>
    <row r="161" spans="1:4">
      <c r="A161" s="382">
        <v>28</v>
      </c>
      <c r="B161" s="383" t="s">
        <v>370</v>
      </c>
      <c r="C161" s="375"/>
      <c r="D161" s="376"/>
    </row>
    <row r="162" spans="1:4">
      <c r="A162" s="382">
        <v>29</v>
      </c>
      <c r="B162" s="383" t="s">
        <v>371</v>
      </c>
      <c r="C162" s="375"/>
      <c r="D162" s="376"/>
    </row>
    <row r="163" spans="1:4">
      <c r="A163" s="382">
        <v>30</v>
      </c>
      <c r="B163" s="383" t="s">
        <v>372</v>
      </c>
      <c r="C163" s="375"/>
      <c r="D163" s="376"/>
    </row>
    <row r="164" spans="1:4">
      <c r="A164" s="382">
        <v>31</v>
      </c>
      <c r="B164" s="383" t="s">
        <v>373</v>
      </c>
      <c r="C164" s="375"/>
      <c r="D164" s="376"/>
    </row>
    <row r="165" spans="1:4">
      <c r="A165" s="382">
        <v>32</v>
      </c>
      <c r="B165" s="383" t="s">
        <v>374</v>
      </c>
      <c r="C165" s="375"/>
      <c r="D165" s="376"/>
    </row>
    <row r="166" spans="1:4">
      <c r="A166" s="382">
        <v>33</v>
      </c>
      <c r="B166" s="383" t="s">
        <v>375</v>
      </c>
      <c r="C166" s="375"/>
      <c r="D166" s="376"/>
    </row>
    <row r="167" spans="1:4">
      <c r="A167" s="382">
        <v>34</v>
      </c>
      <c r="B167" s="383" t="s">
        <v>376</v>
      </c>
      <c r="C167" s="375"/>
      <c r="D167" s="376"/>
    </row>
    <row r="168" spans="1:4">
      <c r="A168" s="382">
        <v>35</v>
      </c>
      <c r="B168" s="383" t="s">
        <v>377</v>
      </c>
      <c r="C168" s="375"/>
      <c r="D168" s="376"/>
    </row>
    <row r="169" spans="1:4">
      <c r="A169" s="382">
        <v>36</v>
      </c>
      <c r="B169" s="383" t="s">
        <v>378</v>
      </c>
      <c r="C169" s="375"/>
      <c r="D169" s="376"/>
    </row>
    <row r="170" spans="1:4">
      <c r="A170" s="382">
        <v>37</v>
      </c>
      <c r="B170" s="383" t="s">
        <v>379</v>
      </c>
      <c r="C170" s="375"/>
      <c r="D170" s="376"/>
    </row>
    <row r="171" spans="1:4">
      <c r="A171" s="382">
        <v>38</v>
      </c>
      <c r="B171" s="383" t="s">
        <v>380</v>
      </c>
      <c r="C171" s="375"/>
      <c r="D171" s="376"/>
    </row>
    <row r="172" spans="1:4">
      <c r="A172" s="382">
        <v>39</v>
      </c>
      <c r="B172" s="383" t="s">
        <v>381</v>
      </c>
      <c r="C172" s="375"/>
      <c r="D172" s="376"/>
    </row>
    <row r="173" spans="1:4">
      <c r="A173" s="382">
        <v>40</v>
      </c>
      <c r="B173" s="383" t="s">
        <v>382</v>
      </c>
      <c r="C173" s="375"/>
      <c r="D173" s="376"/>
    </row>
    <row r="174" spans="1:4">
      <c r="A174" s="382">
        <v>41</v>
      </c>
      <c r="B174" s="383" t="s">
        <v>383</v>
      </c>
      <c r="C174" s="375"/>
      <c r="D174" s="376"/>
    </row>
    <row r="175" spans="1:4">
      <c r="A175" s="382">
        <v>42</v>
      </c>
      <c r="B175" s="383" t="s">
        <v>384</v>
      </c>
      <c r="C175" s="375"/>
      <c r="D175" s="376"/>
    </row>
    <row r="176" spans="1:4">
      <c r="A176" s="382">
        <v>43</v>
      </c>
      <c r="B176" s="383" t="s">
        <v>385</v>
      </c>
      <c r="C176" s="375"/>
      <c r="D176" s="376"/>
    </row>
    <row r="177" spans="1:4">
      <c r="A177" s="382">
        <v>44</v>
      </c>
      <c r="B177" s="383" t="s">
        <v>386</v>
      </c>
      <c r="C177" s="375"/>
      <c r="D177" s="376"/>
    </row>
    <row r="178" spans="1:4">
      <c r="A178" s="382">
        <v>45</v>
      </c>
      <c r="B178" s="383" t="s">
        <v>387</v>
      </c>
      <c r="C178" s="375"/>
      <c r="D178" s="376"/>
    </row>
    <row r="179" spans="1:4">
      <c r="A179" s="382">
        <v>46</v>
      </c>
      <c r="B179" s="383" t="s">
        <v>388</v>
      </c>
      <c r="C179" s="375"/>
      <c r="D179" s="376"/>
    </row>
    <row r="180" spans="1:4">
      <c r="A180" s="382">
        <v>47</v>
      </c>
      <c r="B180" s="383" t="s">
        <v>389</v>
      </c>
      <c r="C180" s="375"/>
      <c r="D180" s="376"/>
    </row>
    <row r="181" spans="1:4">
      <c r="A181" s="382">
        <v>48</v>
      </c>
      <c r="B181" s="383" t="s">
        <v>390</v>
      </c>
      <c r="C181" s="375"/>
      <c r="D181" s="376"/>
    </row>
    <row r="182" spans="1:4">
      <c r="A182" s="382">
        <v>49</v>
      </c>
      <c r="B182" s="383" t="s">
        <v>391</v>
      </c>
      <c r="C182" s="375"/>
      <c r="D182" s="376"/>
    </row>
    <row r="183" spans="1:4">
      <c r="A183" s="382">
        <v>50</v>
      </c>
      <c r="B183" s="383" t="s">
        <v>392</v>
      </c>
      <c r="C183" s="375"/>
      <c r="D183" s="376"/>
    </row>
    <row r="184" spans="1:4">
      <c r="A184" s="382">
        <v>51</v>
      </c>
      <c r="B184" s="383" t="s">
        <v>393</v>
      </c>
      <c r="C184" s="375"/>
      <c r="D184" s="376"/>
    </row>
    <row r="185" spans="1:4">
      <c r="A185" s="382">
        <v>52</v>
      </c>
      <c r="B185" s="383" t="s">
        <v>394</v>
      </c>
      <c r="C185" s="375"/>
      <c r="D185" s="376"/>
    </row>
    <row r="186" spans="1:4">
      <c r="A186" s="382">
        <v>53</v>
      </c>
      <c r="B186" s="383" t="s">
        <v>395</v>
      </c>
      <c r="C186" s="375"/>
      <c r="D186" s="376"/>
    </row>
    <row r="187" spans="1:4">
      <c r="A187" s="382">
        <v>54</v>
      </c>
      <c r="B187" s="383" t="s">
        <v>396</v>
      </c>
      <c r="C187" s="375"/>
      <c r="D187" s="376"/>
    </row>
    <row r="188" spans="1:4">
      <c r="A188" s="382">
        <v>55</v>
      </c>
      <c r="B188" s="383" t="s">
        <v>397</v>
      </c>
      <c r="C188" s="375"/>
      <c r="D188" s="376"/>
    </row>
    <row r="189" spans="1:4">
      <c r="A189" s="382">
        <v>56</v>
      </c>
      <c r="B189" s="383" t="s">
        <v>398</v>
      </c>
      <c r="C189" s="375"/>
      <c r="D189" s="376"/>
    </row>
    <row r="190" spans="1:4">
      <c r="A190" s="382">
        <v>57</v>
      </c>
      <c r="B190" s="383" t="s">
        <v>399</v>
      </c>
      <c r="C190" s="375"/>
      <c r="D190" s="376"/>
    </row>
    <row r="191" spans="1:4">
      <c r="A191" s="382">
        <v>58</v>
      </c>
      <c r="B191" s="383" t="s">
        <v>400</v>
      </c>
      <c r="C191" s="375"/>
      <c r="D191" s="376"/>
    </row>
    <row r="192" spans="1:4">
      <c r="A192" s="382">
        <v>59</v>
      </c>
      <c r="B192" s="383" t="s">
        <v>401</v>
      </c>
      <c r="C192" s="375"/>
      <c r="D192" s="376"/>
    </row>
    <row r="193" spans="1:4">
      <c r="A193" s="382">
        <v>60</v>
      </c>
      <c r="B193" s="383" t="s">
        <v>402</v>
      </c>
      <c r="C193" s="375"/>
      <c r="D193" s="376"/>
    </row>
    <row r="194" spans="1:4">
      <c r="A194" s="382">
        <v>61</v>
      </c>
      <c r="B194" s="383" t="s">
        <v>403</v>
      </c>
      <c r="C194" s="375"/>
      <c r="D194" s="376"/>
    </row>
    <row r="195" spans="1:4">
      <c r="A195" s="382">
        <v>62</v>
      </c>
      <c r="B195" s="383" t="s">
        <v>404</v>
      </c>
      <c r="C195" s="375"/>
      <c r="D195" s="376"/>
    </row>
    <row r="196" spans="1:4">
      <c r="A196" s="382">
        <v>63</v>
      </c>
      <c r="B196" s="383" t="s">
        <v>405</v>
      </c>
      <c r="C196" s="375"/>
      <c r="D196" s="376"/>
    </row>
    <row r="197" spans="1:4">
      <c r="A197" s="382">
        <v>64</v>
      </c>
      <c r="B197" s="383" t="s">
        <v>406</v>
      </c>
      <c r="C197" s="375"/>
      <c r="D197" s="376"/>
    </row>
    <row r="198" spans="1:4">
      <c r="A198" s="382">
        <v>65</v>
      </c>
      <c r="B198" s="383" t="s">
        <v>407</v>
      </c>
      <c r="C198" s="375"/>
      <c r="D198" s="376"/>
    </row>
    <row r="199" spans="1:4">
      <c r="A199" s="382">
        <v>66</v>
      </c>
      <c r="B199" s="383" t="s">
        <v>408</v>
      </c>
      <c r="C199" s="375"/>
      <c r="D199" s="376"/>
    </row>
    <row r="200" spans="1:4">
      <c r="A200" s="382">
        <v>67</v>
      </c>
      <c r="B200" s="383" t="s">
        <v>409</v>
      </c>
      <c r="C200" s="375"/>
      <c r="D200" s="376"/>
    </row>
    <row r="201" spans="1:4">
      <c r="A201" s="382">
        <v>68</v>
      </c>
      <c r="B201" s="383" t="s">
        <v>410</v>
      </c>
      <c r="C201" s="375"/>
      <c r="D201" s="376"/>
    </row>
    <row r="202" spans="1:4">
      <c r="A202" s="382">
        <v>69</v>
      </c>
      <c r="B202" s="383" t="s">
        <v>411</v>
      </c>
      <c r="C202" s="375"/>
      <c r="D202" s="376"/>
    </row>
    <row r="203" spans="1:4">
      <c r="A203" s="382">
        <v>70</v>
      </c>
      <c r="B203" s="383" t="s">
        <v>412</v>
      </c>
      <c r="C203" s="375"/>
      <c r="D203" s="376"/>
    </row>
    <row r="204" spans="1:4">
      <c r="A204" s="382">
        <v>71</v>
      </c>
      <c r="B204" s="383" t="s">
        <v>413</v>
      </c>
      <c r="C204" s="375"/>
      <c r="D204" s="376"/>
    </row>
    <row r="205" spans="1:4">
      <c r="A205" s="382">
        <v>72</v>
      </c>
      <c r="B205" s="383" t="s">
        <v>414</v>
      </c>
      <c r="C205" s="375"/>
      <c r="D205" s="376"/>
    </row>
    <row r="206" spans="1:4">
      <c r="A206" s="382">
        <v>73</v>
      </c>
      <c r="B206" s="383" t="s">
        <v>415</v>
      </c>
      <c r="C206" s="375"/>
      <c r="D206" s="376"/>
    </row>
    <row r="207" spans="1:4">
      <c r="A207" s="382">
        <v>74</v>
      </c>
      <c r="B207" s="383" t="s">
        <v>416</v>
      </c>
      <c r="C207" s="375"/>
      <c r="D207" s="376"/>
    </row>
    <row r="208" spans="1:4">
      <c r="A208" s="382">
        <v>75</v>
      </c>
      <c r="B208" s="383" t="s">
        <v>417</v>
      </c>
      <c r="C208" s="375"/>
      <c r="D208" s="376"/>
    </row>
    <row r="209" spans="1:4">
      <c r="A209" s="382">
        <v>76</v>
      </c>
      <c r="B209" s="383" t="s">
        <v>418</v>
      </c>
      <c r="C209" s="375"/>
      <c r="D209" s="376"/>
    </row>
    <row r="210" spans="1:4">
      <c r="A210" s="382">
        <v>77</v>
      </c>
      <c r="B210" s="383" t="s">
        <v>419</v>
      </c>
      <c r="C210" s="375"/>
      <c r="D210" s="376"/>
    </row>
    <row r="211" spans="1:4">
      <c r="A211" s="382">
        <v>78</v>
      </c>
      <c r="B211" s="383" t="s">
        <v>420</v>
      </c>
      <c r="C211" s="375"/>
      <c r="D211" s="376"/>
    </row>
    <row r="212" spans="1:4">
      <c r="A212" s="382">
        <v>79</v>
      </c>
      <c r="B212" s="383" t="s">
        <v>421</v>
      </c>
      <c r="C212" s="375"/>
      <c r="D212" s="376"/>
    </row>
    <row r="213" spans="1:4">
      <c r="A213" s="382">
        <v>80</v>
      </c>
      <c r="B213" s="383" t="s">
        <v>422</v>
      </c>
      <c r="C213" s="375"/>
      <c r="D213" s="376"/>
    </row>
    <row r="214" spans="1:4">
      <c r="A214" s="382">
        <v>81</v>
      </c>
      <c r="B214" s="383" t="s">
        <v>423</v>
      </c>
      <c r="C214" s="375"/>
      <c r="D214" s="376"/>
    </row>
    <row r="215" spans="1:4">
      <c r="A215" s="382">
        <v>82</v>
      </c>
      <c r="B215" s="383" t="s">
        <v>424</v>
      </c>
      <c r="C215" s="375"/>
      <c r="D215" s="376"/>
    </row>
    <row r="216" spans="1:4">
      <c r="A216" s="382">
        <v>83</v>
      </c>
      <c r="B216" s="383" t="s">
        <v>425</v>
      </c>
      <c r="C216" s="375"/>
      <c r="D216" s="376"/>
    </row>
    <row r="217" spans="1:4">
      <c r="A217" s="382">
        <v>84</v>
      </c>
      <c r="B217" s="383" t="s">
        <v>426</v>
      </c>
      <c r="C217" s="375"/>
      <c r="D217" s="376"/>
    </row>
    <row r="218" spans="1:4">
      <c r="A218" s="382">
        <v>85</v>
      </c>
      <c r="B218" s="383" t="s">
        <v>427</v>
      </c>
      <c r="C218" s="375"/>
      <c r="D218" s="376"/>
    </row>
    <row r="219" spans="1:4">
      <c r="A219" s="382">
        <v>86</v>
      </c>
      <c r="B219" s="383" t="s">
        <v>428</v>
      </c>
      <c r="C219" s="375"/>
      <c r="D219" s="376"/>
    </row>
    <row r="220" spans="1:4">
      <c r="A220" s="382">
        <v>87</v>
      </c>
      <c r="B220" s="383" t="s">
        <v>429</v>
      </c>
      <c r="C220" s="375"/>
      <c r="D220" s="376"/>
    </row>
    <row r="221" spans="1:4">
      <c r="A221" s="382">
        <v>88</v>
      </c>
      <c r="B221" s="383" t="s">
        <v>430</v>
      </c>
      <c r="C221" s="375"/>
      <c r="D221" s="376"/>
    </row>
    <row r="222" spans="1:4">
      <c r="A222" s="382">
        <v>89</v>
      </c>
      <c r="B222" s="383" t="s">
        <v>431</v>
      </c>
      <c r="C222" s="375"/>
      <c r="D222" s="376"/>
    </row>
    <row r="223" spans="1:4">
      <c r="A223" s="382">
        <v>90</v>
      </c>
      <c r="B223" s="383" t="s">
        <v>432</v>
      </c>
      <c r="C223" s="375"/>
      <c r="D223" s="376"/>
    </row>
    <row r="224" spans="1:4">
      <c r="A224" s="382">
        <v>91</v>
      </c>
      <c r="B224" s="383" t="s">
        <v>433</v>
      </c>
      <c r="C224" s="375"/>
      <c r="D224" s="376"/>
    </row>
    <row r="225" spans="1:4">
      <c r="A225" s="382">
        <v>92</v>
      </c>
      <c r="B225" s="383" t="s">
        <v>434</v>
      </c>
      <c r="C225" s="375"/>
      <c r="D225" s="376"/>
    </row>
    <row r="226" spans="1:4">
      <c r="A226" s="382">
        <v>93</v>
      </c>
      <c r="B226" s="383" t="s">
        <v>435</v>
      </c>
      <c r="C226" s="375"/>
      <c r="D226" s="376"/>
    </row>
    <row r="227" spans="1:4">
      <c r="A227" s="382">
        <v>94</v>
      </c>
      <c r="B227" s="383" t="s">
        <v>436</v>
      </c>
      <c r="C227" s="375"/>
      <c r="D227" s="376"/>
    </row>
    <row r="228" spans="1:4">
      <c r="A228" s="382">
        <v>95</v>
      </c>
      <c r="B228" s="383" t="s">
        <v>437</v>
      </c>
      <c r="C228" s="375"/>
      <c r="D228" s="376"/>
    </row>
    <row r="229" spans="1:4">
      <c r="A229" s="382">
        <v>96</v>
      </c>
      <c r="B229" s="383" t="s">
        <v>438</v>
      </c>
      <c r="C229" s="375"/>
      <c r="D229" s="376"/>
    </row>
    <row r="230" spans="1:4">
      <c r="A230" s="382">
        <v>97</v>
      </c>
      <c r="B230" s="383" t="s">
        <v>439</v>
      </c>
      <c r="C230" s="375"/>
      <c r="D230" s="376"/>
    </row>
    <row r="231" spans="1:4">
      <c r="A231" s="382">
        <v>98</v>
      </c>
      <c r="B231" s="383" t="s">
        <v>440</v>
      </c>
      <c r="C231" s="375"/>
      <c r="D231" s="376"/>
    </row>
    <row r="232" spans="1:4">
      <c r="A232" s="382">
        <v>99</v>
      </c>
      <c r="B232" s="383" t="s">
        <v>441</v>
      </c>
      <c r="C232" s="375"/>
      <c r="D232" s="376"/>
    </row>
    <row r="233" spans="1:4" ht="13.5" thickBot="1">
      <c r="A233" s="384">
        <v>100</v>
      </c>
      <c r="B233" s="385" t="s">
        <v>442</v>
      </c>
      <c r="C233" s="386"/>
      <c r="D233" s="387"/>
    </row>
  </sheetData>
  <sheetProtection selectLockedCells="1"/>
  <customSheetViews>
    <customSheetView guid="{1211E1B9-FC37-4364-9CF0-0FFC01866726}" hiddenColumns="1" state="hidden" topLeftCell="P1">
      <selection activeCell="DT28" sqref="DT28"/>
      <pageMargins left="0.75" right="0.75" top="1" bottom="1" header="0.5" footer="0.5"/>
      <pageSetup orientation="portrait" r:id="rId1"/>
      <headerFooter alignWithMargins="0"/>
    </customSheetView>
    <customSheetView guid="{A58DB4DF-40C7-4BEB-B85E-6BD6F54941CF}" hiddenColumns="1" state="hidden" topLeftCell="P1">
      <selection activeCell="DT28" sqref="DT28"/>
      <pageMargins left="0.75" right="0.75" top="1" bottom="1" header="0.5" footer="0.5"/>
      <pageSetup orientation="portrait" r:id="rId2"/>
      <headerFooter alignWithMargins="0"/>
    </customSheetView>
    <customSheetView guid="{99CA2F10-F926-46DC-8609-4EAE5B9F3585}"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915C64AD-BD67-44F0-9117-5B9D998BA799}" hiddenColumns="1" state="hidden" topLeftCell="P1">
      <selection activeCell="DT28" sqref="DT28"/>
      <pageMargins left="0.75" right="0.75" top="1" bottom="1" header="0.5" footer="0.5"/>
      <pageSetup orientation="portrait" r:id="rId6"/>
      <headerFooter alignWithMargins="0"/>
    </customSheetView>
    <customSheetView guid="{89CB4E6A-722E-4E39-885D-E2A6D0D08321}" hiddenColumns="1" state="hidden" topLeftCell="P1">
      <selection activeCell="DT28" sqref="DT28"/>
      <pageMargins left="0.75" right="0.75" top="1" bottom="1" header="0.5" footer="0.5"/>
      <pageSetup orientation="portrait" r:id="rId7"/>
      <headerFooter alignWithMargins="0"/>
    </customSheetView>
    <customSheetView guid="{889C3D82-0A24-4765-A688-A80A782F5056}" hiddenColumns="1" state="hidden" topLeftCell="P1">
      <selection activeCell="DT28" sqref="DT28"/>
      <pageMargins left="0.75" right="0.75" top="1" bottom="1" header="0.5" footer="0.5"/>
      <pageSetup orientation="portrait" r:id="rId8"/>
      <headerFooter alignWithMargins="0"/>
    </customSheetView>
    <customSheetView guid="{C497F4E0-7D3E-4065-935D-7086BE9276FE}"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view="pageBreakPreview" topLeftCell="A37" zoomScale="89" zoomScaleNormal="100" zoomScaleSheetLayoutView="89" workbookViewId="0">
      <selection activeCell="D13" sqref="D13"/>
    </sheetView>
  </sheetViews>
  <sheetFormatPr defaultRowHeight="16.5"/>
  <cols>
    <col min="1" max="1" width="9.140625" style="20"/>
    <col min="2" max="2" width="9.140625" style="21"/>
    <col min="3" max="3" width="83" style="21" customWidth="1"/>
    <col min="4" max="4" width="75.5703125" style="20" customWidth="1"/>
    <col min="5" max="16384" width="9.140625" style="19"/>
  </cols>
  <sheetData>
    <row r="1" spans="1:11" ht="45" customHeight="1">
      <c r="A1" s="774" t="s">
        <v>501</v>
      </c>
      <c r="B1" s="774"/>
      <c r="C1" s="774"/>
      <c r="D1" s="17"/>
      <c r="E1" s="18"/>
      <c r="F1" s="18"/>
      <c r="G1" s="18"/>
      <c r="H1" s="18"/>
      <c r="I1" s="18"/>
      <c r="J1" s="18"/>
      <c r="K1" s="18"/>
    </row>
    <row r="2" spans="1:11" ht="18" customHeight="1">
      <c r="D2" s="14"/>
      <c r="E2" s="22"/>
      <c r="F2" s="22"/>
      <c r="G2" s="22"/>
      <c r="H2" s="22"/>
      <c r="I2" s="22"/>
      <c r="J2" s="22"/>
      <c r="K2" s="22"/>
    </row>
    <row r="3" spans="1:11" ht="18" customHeight="1">
      <c r="A3" s="23" t="s">
        <v>45</v>
      </c>
      <c r="B3" s="21" t="s">
        <v>46</v>
      </c>
      <c r="D3" s="24"/>
      <c r="E3" s="25"/>
      <c r="F3" s="25"/>
      <c r="G3" s="25"/>
      <c r="H3" s="25"/>
      <c r="I3" s="25"/>
      <c r="J3" s="25"/>
      <c r="K3" s="25"/>
    </row>
    <row r="4" spans="1:11" ht="18" customHeight="1">
      <c r="B4" s="26" t="s">
        <v>47</v>
      </c>
      <c r="C4" s="27" t="s">
        <v>48</v>
      </c>
      <c r="D4" s="24"/>
      <c r="E4" s="25"/>
      <c r="F4" s="25"/>
      <c r="G4" s="25"/>
      <c r="H4" s="25"/>
      <c r="I4" s="25"/>
      <c r="J4" s="25"/>
      <c r="K4" s="25"/>
    </row>
    <row r="5" spans="1:11" ht="38.1" customHeight="1">
      <c r="B5" s="26" t="s">
        <v>49</v>
      </c>
      <c r="C5" s="27" t="s">
        <v>50</v>
      </c>
      <c r="D5" s="24"/>
      <c r="E5" s="25"/>
      <c r="F5" s="25"/>
      <c r="G5" s="25"/>
      <c r="H5" s="25"/>
      <c r="I5" s="25"/>
      <c r="J5" s="25"/>
      <c r="K5" s="25"/>
    </row>
    <row r="6" spans="1:11" ht="18" customHeight="1">
      <c r="B6" s="26" t="s">
        <v>51</v>
      </c>
      <c r="C6" s="27" t="s">
        <v>52</v>
      </c>
      <c r="D6" s="24"/>
      <c r="E6" s="25"/>
      <c r="F6" s="25"/>
      <c r="G6" s="25"/>
      <c r="H6" s="25"/>
      <c r="I6" s="25"/>
      <c r="J6" s="25"/>
      <c r="K6" s="25"/>
    </row>
    <row r="7" spans="1:11" ht="18" customHeight="1">
      <c r="B7" s="26" t="s">
        <v>53</v>
      </c>
      <c r="C7" s="27" t="s">
        <v>54</v>
      </c>
      <c r="D7" s="24"/>
      <c r="E7" s="25"/>
      <c r="F7" s="25"/>
      <c r="G7" s="25"/>
      <c r="H7" s="25"/>
      <c r="I7" s="25"/>
      <c r="J7" s="25"/>
      <c r="K7" s="25"/>
    </row>
    <row r="8" spans="1:11" ht="18" customHeight="1">
      <c r="B8" s="26" t="s">
        <v>55</v>
      </c>
      <c r="C8" s="27" t="s">
        <v>56</v>
      </c>
      <c r="D8" s="24"/>
      <c r="E8" s="25"/>
      <c r="F8" s="25"/>
      <c r="G8" s="25"/>
      <c r="H8" s="25"/>
      <c r="I8" s="25"/>
      <c r="J8" s="25"/>
      <c r="K8" s="25"/>
    </row>
    <row r="9" spans="1:11" ht="18" customHeight="1">
      <c r="B9" s="26" t="s">
        <v>57</v>
      </c>
      <c r="C9" s="27" t="s">
        <v>58</v>
      </c>
      <c r="D9" s="24"/>
      <c r="E9" s="25"/>
      <c r="F9" s="25"/>
      <c r="G9" s="25"/>
      <c r="H9" s="25"/>
      <c r="I9" s="25"/>
      <c r="J9" s="25"/>
      <c r="K9" s="25"/>
    </row>
    <row r="10" spans="1:11" ht="18" customHeight="1">
      <c r="B10" s="26"/>
      <c r="C10" s="27"/>
      <c r="D10" s="24"/>
      <c r="E10" s="25"/>
      <c r="F10" s="25"/>
      <c r="G10" s="25"/>
      <c r="H10" s="25"/>
      <c r="I10" s="25"/>
      <c r="J10" s="25"/>
      <c r="K10" s="25"/>
    </row>
    <row r="11" spans="1:11" ht="18" customHeight="1">
      <c r="A11" s="23" t="s">
        <v>59</v>
      </c>
      <c r="B11" s="21" t="s">
        <v>60</v>
      </c>
      <c r="D11" s="24"/>
      <c r="E11" s="25"/>
      <c r="F11" s="25"/>
      <c r="G11" s="25"/>
      <c r="H11" s="25"/>
      <c r="I11" s="25"/>
      <c r="J11" s="25"/>
      <c r="K11" s="25"/>
    </row>
    <row r="12" spans="1:11" ht="18" customHeight="1">
      <c r="B12" s="772" t="s">
        <v>61</v>
      </c>
      <c r="C12" s="772"/>
      <c r="D12" s="28"/>
      <c r="E12" s="25"/>
      <c r="F12" s="25"/>
      <c r="G12" s="25"/>
      <c r="H12" s="25"/>
      <c r="I12" s="25"/>
      <c r="J12" s="25"/>
      <c r="K12" s="25"/>
    </row>
    <row r="13" spans="1:11" ht="18" customHeight="1">
      <c r="B13" s="29"/>
      <c r="C13" s="27" t="s">
        <v>62</v>
      </c>
      <c r="D13" s="24"/>
      <c r="E13" s="25"/>
      <c r="F13" s="25"/>
      <c r="G13" s="25"/>
      <c r="H13" s="25"/>
      <c r="I13" s="25"/>
      <c r="J13" s="25"/>
      <c r="K13" s="25"/>
    </row>
    <row r="14" spans="1:11" ht="18" customHeight="1">
      <c r="B14" s="772" t="s">
        <v>63</v>
      </c>
      <c r="C14" s="772"/>
      <c r="D14" s="28"/>
      <c r="E14" s="25"/>
      <c r="F14" s="25"/>
      <c r="G14" s="25"/>
      <c r="H14" s="25"/>
      <c r="I14" s="25"/>
      <c r="J14" s="25"/>
      <c r="K14" s="25"/>
    </row>
    <row r="15" spans="1:11" ht="38.1" customHeight="1">
      <c r="B15" s="30" t="s">
        <v>64</v>
      </c>
      <c r="C15" s="27" t="s">
        <v>65</v>
      </c>
      <c r="D15" s="24"/>
      <c r="E15" s="25"/>
      <c r="F15" s="25"/>
      <c r="G15" s="25"/>
      <c r="H15" s="25"/>
      <c r="I15" s="25"/>
      <c r="J15" s="25"/>
      <c r="K15" s="25"/>
    </row>
    <row r="16" spans="1:11" ht="36" customHeight="1">
      <c r="B16" s="30" t="s">
        <v>64</v>
      </c>
      <c r="C16" s="27" t="s">
        <v>66</v>
      </c>
      <c r="D16" s="24"/>
      <c r="E16" s="25"/>
      <c r="F16" s="25"/>
      <c r="G16" s="25"/>
      <c r="H16" s="25"/>
      <c r="I16" s="25"/>
      <c r="J16" s="25"/>
      <c r="K16" s="25"/>
    </row>
    <row r="17" spans="2:11" ht="42" customHeight="1">
      <c r="B17" s="30" t="s">
        <v>64</v>
      </c>
      <c r="C17" s="27" t="s">
        <v>67</v>
      </c>
      <c r="D17" s="24"/>
      <c r="E17" s="25"/>
      <c r="F17" s="25"/>
      <c r="G17" s="25"/>
      <c r="H17" s="25"/>
      <c r="I17" s="25"/>
      <c r="J17" s="25"/>
      <c r="K17" s="25"/>
    </row>
    <row r="18" spans="2:11" ht="18" customHeight="1">
      <c r="B18" s="30" t="s">
        <v>64</v>
      </c>
      <c r="C18" s="27" t="s">
        <v>68</v>
      </c>
      <c r="D18" s="24"/>
      <c r="E18" s="25"/>
      <c r="F18" s="25"/>
      <c r="G18" s="25"/>
      <c r="H18" s="25"/>
      <c r="I18" s="25"/>
      <c r="J18" s="25"/>
      <c r="K18" s="25"/>
    </row>
    <row r="19" spans="2:11" ht="18" customHeight="1">
      <c r="B19" s="30" t="s">
        <v>64</v>
      </c>
      <c r="C19" s="31" t="s">
        <v>69</v>
      </c>
      <c r="D19" s="24"/>
      <c r="E19" s="25"/>
      <c r="F19" s="25"/>
      <c r="G19" s="25"/>
      <c r="H19" s="25"/>
      <c r="I19" s="25"/>
      <c r="J19" s="25"/>
      <c r="K19" s="25"/>
    </row>
    <row r="20" spans="2:11" ht="18" customHeight="1">
      <c r="B20" s="30" t="s">
        <v>64</v>
      </c>
      <c r="C20" s="27" t="s">
        <v>70</v>
      </c>
      <c r="D20" s="24"/>
      <c r="E20" s="25"/>
      <c r="F20" s="25"/>
      <c r="G20" s="25"/>
      <c r="H20" s="25"/>
      <c r="I20" s="25"/>
      <c r="J20" s="25"/>
      <c r="K20" s="25"/>
    </row>
    <row r="21" spans="2:11" ht="18" customHeight="1">
      <c r="B21" s="772" t="s">
        <v>71</v>
      </c>
      <c r="C21" s="772"/>
      <c r="D21" s="28"/>
      <c r="E21" s="25"/>
      <c r="F21" s="25"/>
      <c r="G21" s="25"/>
      <c r="H21" s="25"/>
      <c r="I21" s="25"/>
      <c r="J21" s="25"/>
      <c r="K21" s="25"/>
    </row>
    <row r="22" spans="2:11" ht="54" customHeight="1">
      <c r="B22" s="30" t="s">
        <v>64</v>
      </c>
      <c r="C22" s="27" t="s">
        <v>72</v>
      </c>
      <c r="D22" s="24"/>
      <c r="E22" s="25"/>
      <c r="F22" s="25"/>
      <c r="G22" s="25"/>
      <c r="H22" s="25"/>
      <c r="I22" s="25"/>
      <c r="J22" s="25"/>
      <c r="K22" s="25"/>
    </row>
    <row r="23" spans="2:11" ht="54" customHeight="1">
      <c r="B23" s="30" t="s">
        <v>64</v>
      </c>
      <c r="C23" s="27" t="s">
        <v>73</v>
      </c>
      <c r="D23" s="24"/>
      <c r="E23" s="25"/>
      <c r="F23" s="25"/>
      <c r="G23" s="25"/>
      <c r="H23" s="25"/>
      <c r="I23" s="25"/>
      <c r="J23" s="25"/>
      <c r="K23" s="25"/>
    </row>
    <row r="24" spans="2:11" ht="57.6" customHeight="1">
      <c r="B24" s="30" t="s">
        <v>64</v>
      </c>
      <c r="C24" s="27" t="s">
        <v>74</v>
      </c>
      <c r="D24" s="24"/>
      <c r="E24" s="25"/>
      <c r="F24" s="25"/>
      <c r="G24" s="25"/>
      <c r="H24" s="25"/>
      <c r="I24" s="25"/>
      <c r="J24" s="25"/>
      <c r="K24" s="25"/>
    </row>
    <row r="25" spans="2:11" ht="18" customHeight="1">
      <c r="B25" s="30" t="s">
        <v>64</v>
      </c>
      <c r="C25" s="27" t="s">
        <v>75</v>
      </c>
      <c r="D25" s="24"/>
      <c r="E25" s="25"/>
      <c r="F25" s="25"/>
      <c r="G25" s="25"/>
      <c r="H25" s="25"/>
      <c r="I25" s="25"/>
      <c r="J25" s="25"/>
      <c r="K25" s="25"/>
    </row>
    <row r="26" spans="2:11" ht="38.1" customHeight="1">
      <c r="B26" s="30" t="s">
        <v>64</v>
      </c>
      <c r="C26" s="27" t="s">
        <v>76</v>
      </c>
      <c r="D26" s="24"/>
      <c r="E26" s="25"/>
      <c r="F26" s="25"/>
      <c r="G26" s="25"/>
      <c r="H26" s="25"/>
      <c r="I26" s="25"/>
      <c r="J26" s="25"/>
      <c r="K26" s="25"/>
    </row>
    <row r="27" spans="2:11" ht="18" customHeight="1">
      <c r="B27" s="772" t="s">
        <v>77</v>
      </c>
      <c r="C27" s="772"/>
      <c r="D27" s="28"/>
      <c r="E27" s="25"/>
      <c r="F27" s="25"/>
      <c r="G27" s="25"/>
      <c r="H27" s="25"/>
      <c r="I27" s="25"/>
      <c r="J27" s="25"/>
      <c r="K27" s="25"/>
    </row>
    <row r="28" spans="2:11" ht="54" customHeight="1">
      <c r="B28" s="30" t="s">
        <v>64</v>
      </c>
      <c r="C28" s="27" t="s">
        <v>72</v>
      </c>
      <c r="D28" s="24"/>
      <c r="E28" s="25"/>
      <c r="F28" s="25"/>
      <c r="G28" s="25"/>
      <c r="H28" s="25"/>
      <c r="I28" s="25"/>
      <c r="J28" s="25"/>
      <c r="K28" s="25"/>
    </row>
    <row r="29" spans="2:11" ht="18" customHeight="1">
      <c r="B29" s="30" t="s">
        <v>64</v>
      </c>
      <c r="C29" s="27" t="s">
        <v>75</v>
      </c>
      <c r="D29" s="24"/>
      <c r="E29" s="25"/>
      <c r="F29" s="25"/>
      <c r="G29" s="25"/>
      <c r="H29" s="25"/>
      <c r="I29" s="25"/>
      <c r="J29" s="25"/>
      <c r="K29" s="25"/>
    </row>
    <row r="30" spans="2:11" ht="18" customHeight="1">
      <c r="B30" s="772" t="s">
        <v>78</v>
      </c>
      <c r="C30" s="772"/>
      <c r="D30" s="28"/>
    </row>
    <row r="31" spans="2:11" ht="54" customHeight="1">
      <c r="B31" s="30" t="s">
        <v>64</v>
      </c>
      <c r="C31" s="27" t="s">
        <v>72</v>
      </c>
      <c r="D31" s="24"/>
      <c r="E31" s="25"/>
      <c r="F31" s="25"/>
      <c r="G31" s="25"/>
      <c r="H31" s="25"/>
      <c r="I31" s="25"/>
      <c r="J31" s="25"/>
      <c r="K31" s="25"/>
    </row>
    <row r="32" spans="2:11" ht="18" customHeight="1">
      <c r="B32" s="30" t="s">
        <v>64</v>
      </c>
      <c r="C32" s="27" t="s">
        <v>75</v>
      </c>
      <c r="D32" s="24"/>
    </row>
    <row r="33" spans="2:11" ht="18" customHeight="1">
      <c r="B33" s="772" t="s">
        <v>79</v>
      </c>
      <c r="C33" s="772"/>
      <c r="D33" s="28"/>
    </row>
    <row r="34" spans="2:11" ht="18" customHeight="1">
      <c r="B34" s="30" t="s">
        <v>64</v>
      </c>
      <c r="C34" s="27" t="s">
        <v>80</v>
      </c>
      <c r="D34" s="24"/>
    </row>
    <row r="35" spans="2:11" ht="18" customHeight="1">
      <c r="B35" s="772" t="s">
        <v>81</v>
      </c>
      <c r="C35" s="772"/>
      <c r="D35" s="28"/>
    </row>
    <row r="36" spans="2:11" ht="66.599999999999994" customHeight="1">
      <c r="B36" s="30" t="s">
        <v>64</v>
      </c>
      <c r="C36" s="27" t="s">
        <v>82</v>
      </c>
      <c r="D36" s="24"/>
      <c r="E36" s="25"/>
      <c r="F36" s="25"/>
      <c r="G36" s="25"/>
      <c r="H36" s="25"/>
      <c r="I36" s="25"/>
      <c r="J36" s="25"/>
      <c r="K36" s="25"/>
    </row>
    <row r="37" spans="2:11" ht="146.1" customHeight="1">
      <c r="B37" s="30" t="s">
        <v>64</v>
      </c>
      <c r="C37" s="27" t="s">
        <v>83</v>
      </c>
      <c r="D37" s="24"/>
      <c r="E37" s="25"/>
      <c r="F37" s="25"/>
      <c r="G37" s="25"/>
      <c r="H37" s="25"/>
      <c r="I37" s="25"/>
      <c r="J37" s="25"/>
      <c r="K37" s="25"/>
    </row>
    <row r="38" spans="2:11" ht="164.1" customHeight="1">
      <c r="B38" s="30" t="s">
        <v>64</v>
      </c>
      <c r="C38" s="27" t="s">
        <v>84</v>
      </c>
      <c r="D38" s="24"/>
      <c r="E38" s="25"/>
      <c r="F38" s="25"/>
      <c r="G38" s="25"/>
      <c r="H38" s="25"/>
      <c r="I38" s="25"/>
      <c r="J38" s="25"/>
      <c r="K38" s="25"/>
    </row>
    <row r="39" spans="2:11" ht="75.95" customHeight="1">
      <c r="B39" s="30" t="s">
        <v>64</v>
      </c>
      <c r="C39" s="27" t="s">
        <v>85</v>
      </c>
      <c r="D39" s="24"/>
      <c r="E39" s="25"/>
      <c r="F39" s="25"/>
      <c r="G39" s="25"/>
      <c r="H39" s="25"/>
      <c r="I39" s="25"/>
      <c r="J39" s="25"/>
      <c r="K39" s="25"/>
    </row>
    <row r="40" spans="2:11" ht="38.1" customHeight="1">
      <c r="B40" s="30" t="s">
        <v>64</v>
      </c>
      <c r="C40" s="27" t="s">
        <v>86</v>
      </c>
    </row>
    <row r="41" spans="2:11" ht="18" customHeight="1">
      <c r="B41" s="772" t="s">
        <v>87</v>
      </c>
      <c r="C41" s="772"/>
    </row>
    <row r="42" spans="2:11" ht="38.1" customHeight="1">
      <c r="B42" s="30" t="s">
        <v>64</v>
      </c>
      <c r="C42" s="27" t="s">
        <v>88</v>
      </c>
    </row>
    <row r="43" spans="2:11" ht="18" customHeight="1">
      <c r="B43" s="30" t="s">
        <v>64</v>
      </c>
      <c r="C43" s="32" t="s">
        <v>89</v>
      </c>
    </row>
    <row r="44" spans="2:11" ht="18" customHeight="1">
      <c r="B44" s="772" t="s">
        <v>90</v>
      </c>
      <c r="C44" s="772"/>
    </row>
    <row r="45" spans="2:11" ht="38.1" customHeight="1">
      <c r="B45" s="30" t="s">
        <v>64</v>
      </c>
      <c r="C45" s="27" t="s">
        <v>91</v>
      </c>
    </row>
    <row r="46" spans="2:11" ht="18" customHeight="1">
      <c r="B46" s="30" t="s">
        <v>64</v>
      </c>
      <c r="C46" s="32" t="s">
        <v>89</v>
      </c>
    </row>
    <row r="47" spans="2:11" ht="18" customHeight="1">
      <c r="B47" s="772" t="s">
        <v>92</v>
      </c>
      <c r="C47" s="772" t="s">
        <v>93</v>
      </c>
    </row>
    <row r="48" spans="2:11" ht="48" customHeight="1">
      <c r="B48" s="30" t="s">
        <v>64</v>
      </c>
      <c r="C48" s="27" t="s">
        <v>94</v>
      </c>
    </row>
    <row r="49" spans="1:11" ht="18" customHeight="1">
      <c r="B49" s="30" t="s">
        <v>64</v>
      </c>
      <c r="C49" s="32" t="s">
        <v>89</v>
      </c>
    </row>
    <row r="50" spans="1:11" ht="18" customHeight="1">
      <c r="B50" s="772" t="s">
        <v>95</v>
      </c>
      <c r="C50" s="772"/>
    </row>
    <row r="51" spans="1:11" ht="38.1" customHeight="1">
      <c r="B51" s="30" t="s">
        <v>64</v>
      </c>
      <c r="C51" s="27" t="s">
        <v>96</v>
      </c>
    </row>
    <row r="52" spans="1:11" ht="38.1" customHeight="1">
      <c r="B52" s="30" t="s">
        <v>64</v>
      </c>
      <c r="C52" s="27" t="s">
        <v>97</v>
      </c>
    </row>
    <row r="53" spans="1:11" ht="18" customHeight="1">
      <c r="B53" s="772" t="s">
        <v>98</v>
      </c>
      <c r="C53" s="772"/>
    </row>
    <row r="54" spans="1:11" ht="18" customHeight="1">
      <c r="B54" s="30" t="s">
        <v>64</v>
      </c>
      <c r="C54" s="33" t="s">
        <v>99</v>
      </c>
    </row>
    <row r="55" spans="1:11" ht="18" customHeight="1">
      <c r="B55" s="30" t="s">
        <v>64</v>
      </c>
      <c r="C55" s="33" t="s">
        <v>100</v>
      </c>
    </row>
    <row r="56" spans="1:11" ht="18" customHeight="1">
      <c r="B56" s="772" t="s">
        <v>101</v>
      </c>
      <c r="C56" s="772"/>
    </row>
    <row r="57" spans="1:11" ht="18" customHeight="1">
      <c r="B57" s="30" t="s">
        <v>64</v>
      </c>
      <c r="C57" s="27" t="s">
        <v>102</v>
      </c>
      <c r="D57" s="24"/>
      <c r="E57" s="25"/>
      <c r="F57" s="25"/>
      <c r="G57" s="25"/>
      <c r="H57" s="25"/>
      <c r="I57" s="25"/>
      <c r="J57" s="25"/>
      <c r="K57" s="25"/>
    </row>
    <row r="58" spans="1:11" ht="18" customHeight="1">
      <c r="B58" s="30" t="s">
        <v>64</v>
      </c>
      <c r="C58" s="27" t="s">
        <v>103</v>
      </c>
      <c r="D58" s="24"/>
      <c r="E58" s="25"/>
      <c r="F58" s="25"/>
      <c r="G58" s="25"/>
      <c r="H58" s="25"/>
      <c r="I58" s="25"/>
      <c r="J58" s="25"/>
      <c r="K58" s="25"/>
    </row>
    <row r="59" spans="1:11" ht="36" customHeight="1">
      <c r="B59" s="30" t="s">
        <v>64</v>
      </c>
      <c r="C59" s="27" t="s">
        <v>104</v>
      </c>
      <c r="D59" s="24"/>
      <c r="E59" s="25"/>
      <c r="F59" s="25"/>
      <c r="G59" s="25"/>
      <c r="H59" s="25"/>
      <c r="I59" s="25"/>
      <c r="J59" s="25"/>
      <c r="K59" s="25"/>
    </row>
    <row r="60" spans="1:11" ht="18" customHeight="1">
      <c r="B60" s="30" t="s">
        <v>64</v>
      </c>
      <c r="C60" s="27" t="s">
        <v>105</v>
      </c>
      <c r="D60" s="24"/>
      <c r="E60" s="25"/>
      <c r="F60" s="25"/>
      <c r="G60" s="25"/>
      <c r="H60" s="25"/>
      <c r="I60" s="25"/>
      <c r="J60" s="25"/>
      <c r="K60" s="25"/>
    </row>
    <row r="61" spans="1:11" ht="18" customHeight="1">
      <c r="A61" s="21"/>
      <c r="C61" s="34"/>
    </row>
    <row r="62" spans="1:11" ht="18" customHeight="1">
      <c r="A62" s="773"/>
      <c r="B62" s="773"/>
      <c r="C62" s="773"/>
      <c r="D62" s="35"/>
    </row>
    <row r="63" spans="1:11" ht="18" customHeight="1">
      <c r="A63" s="770" t="s">
        <v>106</v>
      </c>
      <c r="B63" s="770"/>
      <c r="C63" s="770"/>
      <c r="D63" s="35"/>
    </row>
    <row r="64" spans="1:11" ht="36" customHeight="1">
      <c r="A64" s="771" t="s">
        <v>107</v>
      </c>
      <c r="B64" s="771"/>
      <c r="C64" s="771"/>
    </row>
    <row r="65" spans="2:3" ht="18" customHeight="1">
      <c r="B65" s="36"/>
      <c r="C65" s="36"/>
    </row>
    <row r="66" spans="2:3" ht="18" customHeight="1">
      <c r="C66" s="33"/>
    </row>
    <row r="67" spans="2:3" ht="18" customHeight="1">
      <c r="C67" s="34"/>
    </row>
    <row r="68" spans="2:3" ht="18" customHeight="1">
      <c r="C68" s="33"/>
    </row>
    <row r="69" spans="2:3" ht="18" customHeight="1">
      <c r="B69" s="34"/>
      <c r="C69" s="34"/>
    </row>
    <row r="70" spans="2:3" ht="18" customHeight="1">
      <c r="B70" s="34"/>
      <c r="C70" s="34"/>
    </row>
    <row r="71" spans="2:3" ht="18" customHeight="1">
      <c r="B71" s="34"/>
      <c r="C71" s="34"/>
    </row>
    <row r="72" spans="2:3" ht="18" customHeight="1">
      <c r="B72" s="34"/>
      <c r="C72" s="34"/>
    </row>
    <row r="73" spans="2:3" ht="18" customHeight="1">
      <c r="B73" s="34"/>
      <c r="C73" s="34"/>
    </row>
    <row r="74" spans="2:3" ht="18" customHeight="1">
      <c r="B74" s="34"/>
      <c r="C74" s="34"/>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C497F4E0-7D3E-4065-935D-7086BE9276FE}"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scale="88"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9" sqref="C9:F9"/>
    </sheetView>
  </sheetViews>
  <sheetFormatPr defaultRowHeight="15.75"/>
  <cols>
    <col min="1" max="1" width="33" style="308" customWidth="1"/>
    <col min="2" max="2" width="11.7109375" style="308" customWidth="1"/>
    <col min="3" max="4" width="6.42578125" style="308" customWidth="1"/>
    <col min="5" max="5" width="6.42578125" style="311" customWidth="1"/>
    <col min="6" max="6" width="39" style="311" customWidth="1"/>
    <col min="7" max="7" width="11.85546875" style="311" hidden="1" customWidth="1"/>
    <col min="8" max="8" width="11.85546875" style="311" customWidth="1"/>
    <col min="9" max="11" width="11.85546875" style="311" hidden="1" customWidth="1"/>
    <col min="12" max="12" width="9.140625" style="311" hidden="1" customWidth="1"/>
    <col min="13" max="13" width="15.28515625" style="311" hidden="1" customWidth="1"/>
    <col min="14" max="14" width="9.140625" style="311" hidden="1" customWidth="1"/>
    <col min="15" max="16" width="9.140625" style="311" customWidth="1"/>
    <col min="17" max="16384" width="9.140625" style="311"/>
  </cols>
  <sheetData>
    <row r="1" spans="1:15" s="308" customFormat="1" ht="42.75" customHeight="1">
      <c r="A1" s="778" t="str">
        <f>Cover!$B$2</f>
        <v xml:space="preserve"> Substation extension package (AIS) for augmentation of transformation capacity at 400/220kV Samba (PG) Substation in Jammu &amp; Kashmir by 1x500MVA 400/220kV ICT (4th).</v>
      </c>
      <c r="B1" s="778"/>
      <c r="C1" s="778"/>
      <c r="D1" s="778"/>
      <c r="E1" s="778"/>
      <c r="F1" s="778"/>
      <c r="G1" s="309"/>
      <c r="H1" s="309"/>
      <c r="I1" s="309"/>
      <c r="J1" s="309"/>
      <c r="K1" s="309"/>
      <c r="M1" s="310"/>
      <c r="N1" s="310"/>
      <c r="O1" s="310"/>
    </row>
    <row r="2" spans="1:15" ht="16.5" customHeight="1">
      <c r="A2" s="779" t="str">
        <f>Cover!B3</f>
        <v>NR2/NT/W-MISC/DOM/J01/25/07157</v>
      </c>
      <c r="B2" s="779"/>
      <c r="C2" s="779"/>
      <c r="D2" s="779"/>
      <c r="E2" s="779"/>
      <c r="F2" s="779"/>
      <c r="G2" s="308"/>
      <c r="H2" s="308"/>
      <c r="I2" s="308"/>
      <c r="J2" s="308"/>
      <c r="K2" s="308"/>
      <c r="M2" s="311" t="s">
        <v>108</v>
      </c>
      <c r="N2" s="312">
        <v>1</v>
      </c>
      <c r="O2" s="313"/>
    </row>
    <row r="3" spans="1:15" ht="12" customHeight="1">
      <c r="A3" s="314"/>
      <c r="B3" s="314"/>
      <c r="C3" s="314"/>
      <c r="D3" s="314"/>
      <c r="E3" s="308"/>
      <c r="F3" s="308"/>
      <c r="G3" s="308"/>
      <c r="H3" s="308"/>
      <c r="I3" s="308"/>
      <c r="J3" s="308"/>
      <c r="K3" s="308"/>
      <c r="M3" s="311" t="s">
        <v>109</v>
      </c>
      <c r="N3" s="312" t="s">
        <v>110</v>
      </c>
      <c r="O3" s="313"/>
    </row>
    <row r="4" spans="1:15" ht="20.100000000000001" customHeight="1">
      <c r="A4" s="780" t="s">
        <v>111</v>
      </c>
      <c r="B4" s="780"/>
      <c r="C4" s="780"/>
      <c r="D4" s="780"/>
      <c r="E4" s="780"/>
      <c r="F4" s="780"/>
      <c r="G4" s="308"/>
      <c r="H4" s="308"/>
      <c r="I4" s="308"/>
      <c r="J4" s="308"/>
      <c r="K4" s="308"/>
      <c r="N4" s="312"/>
      <c r="O4" s="313"/>
    </row>
    <row r="5" spans="1:15" ht="12" customHeight="1">
      <c r="A5" s="315"/>
      <c r="B5" s="315"/>
      <c r="E5" s="308"/>
      <c r="F5" s="308"/>
      <c r="G5" s="308"/>
      <c r="H5" s="308"/>
      <c r="I5" s="308"/>
      <c r="J5" s="308"/>
      <c r="K5" s="308"/>
      <c r="M5" s="313"/>
      <c r="N5" s="313"/>
      <c r="O5" s="313"/>
    </row>
    <row r="6" spans="1:15" s="308" customFormat="1" ht="50.25" customHeight="1">
      <c r="A6" s="785" t="s">
        <v>329</v>
      </c>
      <c r="B6" s="785"/>
      <c r="C6" s="781" t="s">
        <v>108</v>
      </c>
      <c r="D6" s="781"/>
      <c r="E6" s="781"/>
      <c r="F6" s="781"/>
      <c r="G6" s="316"/>
      <c r="H6" s="316"/>
      <c r="I6" s="316"/>
      <c r="J6" s="335">
        <f>IF(C6="Sole Bidder", 1,2)</f>
        <v>1</v>
      </c>
      <c r="K6" s="316"/>
      <c r="M6" s="317">
        <f>IF(C6= "Sole Bidder", 0, C7)</f>
        <v>0</v>
      </c>
      <c r="N6" s="310"/>
      <c r="O6" s="310"/>
    </row>
    <row r="7" spans="1:15" ht="50.1" customHeight="1">
      <c r="A7" s="318" t="str">
        <f>IF(C6= "JV (Joint Venture)", "Total Nos. of  Partners in the JV [excluding the Lead Partner]", "")</f>
        <v/>
      </c>
      <c r="B7" s="319"/>
      <c r="C7" s="782" t="s">
        <v>110</v>
      </c>
      <c r="D7" s="783"/>
      <c r="E7" s="783"/>
      <c r="F7" s="784"/>
      <c r="M7" s="313"/>
      <c r="N7" s="313"/>
      <c r="O7" s="313"/>
    </row>
    <row r="8" spans="1:15" ht="19.5" customHeight="1">
      <c r="A8" s="320"/>
      <c r="B8" s="320"/>
      <c r="C8" s="316"/>
    </row>
    <row r="9" spans="1:15" ht="20.100000000000001" customHeight="1">
      <c r="A9" s="321" t="str">
        <f>IF(C6= "Sole Bidder", "Name of Sole Bidder", "Name of Lead Partner")</f>
        <v>Name of Sole Bidder</v>
      </c>
      <c r="B9" s="322"/>
      <c r="C9" s="775"/>
      <c r="D9" s="776"/>
      <c r="E9" s="776"/>
      <c r="F9" s="777"/>
    </row>
    <row r="10" spans="1:15" ht="20.100000000000001" customHeight="1">
      <c r="A10" s="323" t="str">
        <f>IF(C6= "Sole Bidder", "Address of Sole Bidder", "Address of Lead Partner")</f>
        <v>Address of Sole Bidder</v>
      </c>
      <c r="B10" s="324"/>
      <c r="C10" s="775"/>
      <c r="D10" s="776"/>
      <c r="E10" s="776"/>
      <c r="F10" s="777"/>
    </row>
    <row r="11" spans="1:15" ht="20.100000000000001" customHeight="1">
      <c r="A11" s="325"/>
      <c r="B11" s="326"/>
      <c r="C11" s="775"/>
      <c r="D11" s="776"/>
      <c r="E11" s="776"/>
      <c r="F11" s="777"/>
    </row>
    <row r="12" spans="1:15" ht="20.100000000000001" customHeight="1">
      <c r="A12" s="327"/>
      <c r="B12" s="328"/>
      <c r="C12" s="775"/>
      <c r="D12" s="776"/>
      <c r="E12" s="776"/>
      <c r="F12" s="777"/>
    </row>
    <row r="13" spans="1:15" ht="21.75" customHeight="1"/>
    <row r="14" spans="1:15" ht="20.100000000000001" customHeight="1">
      <c r="A14" s="321" t="s">
        <v>112</v>
      </c>
      <c r="B14" s="322"/>
      <c r="C14" s="775"/>
      <c r="D14" s="776"/>
      <c r="E14" s="776"/>
      <c r="F14" s="777"/>
    </row>
    <row r="15" spans="1:15" ht="20.100000000000001" customHeight="1">
      <c r="A15" s="323" t="s">
        <v>113</v>
      </c>
      <c r="B15" s="324"/>
      <c r="C15" s="775"/>
      <c r="D15" s="776"/>
      <c r="E15" s="776"/>
      <c r="F15" s="777"/>
    </row>
    <row r="16" spans="1:15" ht="20.100000000000001" customHeight="1">
      <c r="A16" s="325"/>
      <c r="B16" s="326"/>
      <c r="C16" s="775"/>
      <c r="D16" s="776"/>
      <c r="E16" s="776"/>
      <c r="F16" s="777"/>
    </row>
    <row r="17" spans="1:7" ht="20.100000000000001" customHeight="1">
      <c r="A17" s="327"/>
      <c r="B17" s="328"/>
      <c r="C17" s="775"/>
      <c r="D17" s="776"/>
      <c r="E17" s="776"/>
      <c r="F17" s="777"/>
    </row>
    <row r="18" spans="1:7" ht="20.100000000000001" customHeight="1"/>
    <row r="19" spans="1:7" ht="21" customHeight="1">
      <c r="A19" s="329" t="s">
        <v>114</v>
      </c>
      <c r="B19" s="330"/>
      <c r="C19" s="788"/>
      <c r="D19" s="789"/>
      <c r="E19" s="789"/>
      <c r="F19" s="790"/>
    </row>
    <row r="20" spans="1:7" ht="21" customHeight="1">
      <c r="A20" s="329" t="s">
        <v>115</v>
      </c>
      <c r="B20" s="330"/>
      <c r="C20" s="775"/>
      <c r="D20" s="786"/>
      <c r="E20" s="786"/>
      <c r="F20" s="787"/>
    </row>
    <row r="21" spans="1:7" ht="21" customHeight="1">
      <c r="A21" s="331"/>
      <c r="B21" s="331"/>
      <c r="C21" s="331"/>
    </row>
    <row r="22" spans="1:7" s="308" customFormat="1" ht="21" customHeight="1">
      <c r="A22" s="329" t="s">
        <v>116</v>
      </c>
      <c r="B22" s="330"/>
      <c r="C22" s="332"/>
      <c r="D22" s="334"/>
      <c r="E22" s="332"/>
      <c r="F22" s="333" t="str">
        <f>IF(C22&gt;G22, "Invalid Date !", "")</f>
        <v/>
      </c>
      <c r="G22" s="310">
        <f>IF(D22="Feb",28,IF(OR(D22="Apr", D22="Jun", D22="Sep", D22="Nov"),30,31))</f>
        <v>31</v>
      </c>
    </row>
    <row r="23" spans="1:7" ht="21" customHeight="1">
      <c r="A23" s="329" t="s">
        <v>117</v>
      </c>
      <c r="B23" s="330"/>
      <c r="C23" s="775"/>
      <c r="D23" s="786"/>
      <c r="E23" s="786"/>
      <c r="F23" s="787"/>
    </row>
    <row r="24" spans="1:7">
      <c r="D24" s="311"/>
    </row>
  </sheetData>
  <sheetProtection algorithmName="SHA-512" hashValue="Kcrt61hnDOn+y1YvdtYX6uTPaTkNLMQYMANBdJqYIoscbzZVtt55akTspgvIH3lSjzylE+LnrrCH6+Qf0Kqyvw==" saltValue="Ggc+cfFyT/UJA566eHHIow==" spinCount="100000" sheet="1" formatColumns="0" formatRows="0" selectLockedCells="1"/>
  <customSheetViews>
    <customSheetView guid="{1211E1B9-FC37-4364-9CF0-0FFC01866726}" scale="115" showGridLines="0" printArea="1" hiddenColumns="1" view="pageBreakPreview">
      <selection activeCell="E22" sqref="E22"/>
      <pageMargins left="0.75" right="0.75" top="0.69" bottom="0.7" header="0.4" footer="0.37"/>
      <pageSetup scale="86" orientation="portrait" r:id="rId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3"/>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4"/>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5"/>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8"/>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9"/>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 guid="{889C3D82-0A24-4765-A688-A80A782F5056}" scale="115" showGridLines="0" printArea="1" hiddenColumns="1" view="pageBreakPreview">
      <selection activeCell="E22" sqref="E22"/>
      <pageMargins left="0.75" right="0.75" top="0.69" bottom="0.7" header="0.4" footer="0.37"/>
      <pageSetup scale="86" orientation="portrait" r:id="rId12"/>
      <headerFooter alignWithMargins="0"/>
    </customSheetView>
    <customSheetView guid="{C497F4E0-7D3E-4065-935D-7086BE9276FE}" scale="115" showGridLines="0" printArea="1" hiddenColumns="1" view="pageBreakPreview">
      <selection activeCell="E22" sqref="E22"/>
      <pageMargins left="0.75" right="0.75" top="0.69" bottom="0.7" header="0.4" footer="0.37"/>
      <pageSetup scale="86" orientation="portrait" r:id="rId13"/>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"2024,2025"</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13"/>
  <sheetViews>
    <sheetView view="pageBreakPreview" topLeftCell="A60" zoomScale="85" zoomScaleNormal="92" zoomScaleSheetLayoutView="85" workbookViewId="0">
      <selection activeCell="I18" sqref="I18"/>
    </sheetView>
  </sheetViews>
  <sheetFormatPr defaultRowHeight="15.75"/>
  <cols>
    <col min="1" max="1" width="7.28515625" style="475" customWidth="1"/>
    <col min="2" max="2" width="18.7109375" style="475" customWidth="1"/>
    <col min="3" max="3" width="8.5703125" style="475" customWidth="1"/>
    <col min="4" max="4" width="29.5703125" style="482" customWidth="1"/>
    <col min="5" max="5" width="19.140625" style="475" customWidth="1"/>
    <col min="6" max="6" width="13" style="475" customWidth="1"/>
    <col min="7" max="7" width="17.5703125" style="475" customWidth="1"/>
    <col min="8" max="8" width="12.42578125" style="489" customWidth="1"/>
    <col min="9" max="9" width="17.5703125" style="475" customWidth="1"/>
    <col min="10" max="10" width="119.5703125" style="482" customWidth="1"/>
    <col min="11" max="11" width="7.140625" style="475" customWidth="1"/>
    <col min="12" max="12" width="9" style="475" customWidth="1"/>
    <col min="13" max="13" width="16.7109375" style="475" customWidth="1"/>
    <col min="14" max="14" width="21.28515625" style="475" customWidth="1"/>
    <col min="15" max="15" width="14" style="475" hidden="1" customWidth="1"/>
    <col min="16" max="16" width="14.85546875" style="475" hidden="1" customWidth="1"/>
    <col min="17" max="17" width="13" style="475" hidden="1" customWidth="1"/>
    <col min="18" max="18" width="20.140625" style="475" hidden="1" customWidth="1"/>
    <col min="19" max="19" width="16.140625" style="475" hidden="1" customWidth="1"/>
    <col min="20" max="20" width="15" style="475" hidden="1" customWidth="1"/>
    <col min="21" max="21" width="9.140625" style="475" customWidth="1"/>
    <col min="22" max="37" width="9.140625" style="475" hidden="1" customWidth="1"/>
    <col min="38" max="38" width="0.28515625" style="475" hidden="1" customWidth="1"/>
    <col min="39" max="39" width="9.140625" style="475" hidden="1" customWidth="1"/>
    <col min="40" max="44" width="9.140625" style="475" customWidth="1"/>
    <col min="45" max="16384" width="9.140625" style="475"/>
  </cols>
  <sheetData>
    <row r="1" spans="1:256" ht="22.5" customHeight="1">
      <c r="A1" s="484" t="str">
        <f>Basic!B5</f>
        <v>NR2/NT/W-MISC/DOM/J01/25/07157</v>
      </c>
      <c r="B1" s="485"/>
      <c r="C1" s="485"/>
      <c r="D1" s="434"/>
      <c r="E1" s="485"/>
      <c r="F1" s="485"/>
      <c r="G1" s="485"/>
      <c r="H1" s="485"/>
      <c r="I1" s="485"/>
      <c r="J1" s="486"/>
      <c r="K1" s="485"/>
      <c r="L1" s="485"/>
      <c r="M1" s="485"/>
      <c r="N1" s="485" t="s">
        <v>453</v>
      </c>
    </row>
    <row r="2" spans="1:256">
      <c r="A2" s="445"/>
      <c r="B2" s="445"/>
      <c r="C2" s="445"/>
      <c r="D2" s="439"/>
      <c r="E2" s="445"/>
      <c r="F2" s="445"/>
      <c r="G2" s="445"/>
      <c r="H2" s="445"/>
      <c r="I2" s="445"/>
      <c r="J2" s="439"/>
      <c r="K2" s="445"/>
      <c r="L2" s="445"/>
      <c r="M2" s="445"/>
      <c r="N2" s="445"/>
    </row>
    <row r="3" spans="1:256" ht="68.25" customHeight="1">
      <c r="A3" s="791" t="str">
        <f>Cover!$B$2</f>
        <v xml:space="preserve"> Substation extension package (AIS) for augmentation of transformation capacity at 400/220kV Samba (PG) Substation in Jammu &amp; Kashmir by 1x500MVA 400/220kV ICT (4th).</v>
      </c>
      <c r="B3" s="791"/>
      <c r="C3" s="791"/>
      <c r="D3" s="791"/>
      <c r="E3" s="791"/>
      <c r="F3" s="791"/>
      <c r="G3" s="791"/>
      <c r="H3" s="791"/>
      <c r="I3" s="791"/>
      <c r="J3" s="791"/>
      <c r="K3" s="791"/>
      <c r="L3" s="791"/>
      <c r="M3" s="791"/>
      <c r="N3" s="791"/>
    </row>
    <row r="4" spans="1:256" ht="16.5">
      <c r="A4" s="792" t="s">
        <v>0</v>
      </c>
      <c r="B4" s="792"/>
      <c r="C4" s="792"/>
      <c r="D4" s="792"/>
      <c r="E4" s="792"/>
      <c r="F4" s="792"/>
      <c r="G4" s="792"/>
      <c r="H4" s="792"/>
      <c r="I4" s="792"/>
      <c r="J4" s="792"/>
      <c r="K4" s="792"/>
      <c r="L4" s="792"/>
      <c r="M4" s="792"/>
      <c r="N4" s="792"/>
    </row>
    <row r="5" spans="1:256" ht="27" customHeight="1">
      <c r="A5" s="487"/>
      <c r="B5" s="487"/>
      <c r="C5" s="487"/>
      <c r="D5" s="487"/>
      <c r="E5" s="487"/>
      <c r="F5" s="487"/>
      <c r="G5" s="487"/>
      <c r="H5" s="487"/>
      <c r="I5" s="487"/>
      <c r="J5" s="487"/>
      <c r="K5" s="487"/>
      <c r="L5" s="487"/>
      <c r="M5" s="487"/>
      <c r="N5" s="487"/>
    </row>
    <row r="6" spans="1:256" ht="23.25" customHeight="1">
      <c r="A6" s="793" t="s">
        <v>328</v>
      </c>
      <c r="B6" s="793"/>
      <c r="C6" s="445"/>
      <c r="D6" s="439"/>
      <c r="E6" s="445"/>
      <c r="F6" s="445"/>
      <c r="G6" s="445"/>
      <c r="H6" s="445"/>
      <c r="I6" s="445"/>
      <c r="J6" s="439"/>
      <c r="K6" s="445"/>
      <c r="L6" s="445"/>
      <c r="M6" s="445"/>
      <c r="N6" s="445"/>
    </row>
    <row r="7" spans="1:256" ht="24" customHeight="1">
      <c r="A7" s="797">
        <f>IF(Z7=1,Z8,"JOINT VENTURE OF "&amp;Z8&amp;" &amp; "&amp;Z10)</f>
        <v>0</v>
      </c>
      <c r="B7" s="797"/>
      <c r="C7" s="797"/>
      <c r="D7" s="797"/>
      <c r="E7" s="797"/>
      <c r="F7" s="797"/>
      <c r="G7" s="797"/>
      <c r="H7" s="797"/>
      <c r="I7" s="797"/>
      <c r="J7" s="488"/>
      <c r="K7" s="448" t="s">
        <v>1</v>
      </c>
      <c r="L7" s="451"/>
      <c r="N7" s="445"/>
      <c r="Z7" s="489">
        <f>'Names of Bidder'!J6</f>
        <v>1</v>
      </c>
    </row>
    <row r="8" spans="1:256" ht="24" customHeight="1">
      <c r="A8" s="794" t="str">
        <f>"Bidder’s Name and Address  (" &amp; MID('Names of Bidder'!A9,9, 20) &amp; ") :"</f>
        <v>Bidder’s Name and Address  (Sole Bidder) :</v>
      </c>
      <c r="B8" s="794"/>
      <c r="C8" s="794"/>
      <c r="D8" s="794"/>
      <c r="E8" s="794"/>
      <c r="F8" s="794"/>
      <c r="G8" s="794"/>
      <c r="H8" s="450"/>
      <c r="I8" s="450"/>
      <c r="J8" s="450"/>
      <c r="K8" s="449" t="s">
        <v>2</v>
      </c>
      <c r="L8" s="450"/>
      <c r="N8" s="445"/>
      <c r="U8" s="490"/>
      <c r="Z8" s="799">
        <f>'Names of Bidder'!C9</f>
        <v>0</v>
      </c>
      <c r="AA8" s="799"/>
      <c r="AB8" s="799"/>
      <c r="AC8" s="799"/>
      <c r="AD8" s="799"/>
      <c r="AE8" s="799"/>
      <c r="AF8" s="799"/>
      <c r="AG8" s="799"/>
      <c r="AH8" s="799"/>
      <c r="AI8" s="799"/>
      <c r="AJ8" s="799"/>
      <c r="AK8" s="799"/>
      <c r="AL8" s="799"/>
    </row>
    <row r="9" spans="1:256" ht="24" customHeight="1">
      <c r="A9" s="446" t="s">
        <v>9</v>
      </c>
      <c r="B9" s="451"/>
      <c r="C9" s="797" t="str">
        <f>IF('Names of Bidder'!C9=0, "", 'Names of Bidder'!C9)</f>
        <v/>
      </c>
      <c r="D9" s="797"/>
      <c r="E9" s="797"/>
      <c r="F9" s="797"/>
      <c r="G9" s="797"/>
      <c r="H9" s="453"/>
      <c r="I9" s="453"/>
      <c r="J9" s="488"/>
      <c r="K9" s="449" t="s">
        <v>3</v>
      </c>
      <c r="N9" s="445"/>
      <c r="U9" s="490"/>
      <c r="Z9" s="799">
        <f>'Names of Bidder'!C9</f>
        <v>0</v>
      </c>
      <c r="AA9" s="799"/>
      <c r="AB9" s="799"/>
      <c r="AC9" s="799"/>
      <c r="AD9" s="799"/>
      <c r="AE9" s="799"/>
      <c r="AF9" s="799"/>
      <c r="AG9" s="799"/>
      <c r="AH9" s="799"/>
      <c r="AI9" s="799"/>
      <c r="AJ9" s="799"/>
      <c r="AK9" s="799"/>
      <c r="AL9" s="799"/>
    </row>
    <row r="10" spans="1:256" ht="24" customHeight="1">
      <c r="A10" s="446" t="s">
        <v>8</v>
      </c>
      <c r="B10" s="451"/>
      <c r="C10" s="796" t="str">
        <f>IF('Names of Bidder'!C10=0, "", 'Names of Bidder'!C10)</f>
        <v/>
      </c>
      <c r="D10" s="796"/>
      <c r="E10" s="796"/>
      <c r="F10" s="796"/>
      <c r="G10" s="796"/>
      <c r="H10" s="453"/>
      <c r="I10" s="453"/>
      <c r="J10" s="727"/>
      <c r="K10" s="449" t="s">
        <v>510</v>
      </c>
      <c r="L10" s="491"/>
      <c r="M10" s="491"/>
      <c r="N10" s="737"/>
      <c r="Z10" s="799">
        <f>'Names of Bidder'!C14</f>
        <v>0</v>
      </c>
      <c r="AA10" s="799"/>
      <c r="AB10" s="799"/>
      <c r="AC10" s="799"/>
      <c r="AD10" s="799"/>
      <c r="AE10" s="799"/>
      <c r="AF10" s="799"/>
      <c r="AG10" s="799"/>
      <c r="AH10" s="799"/>
      <c r="AI10" s="799"/>
      <c r="AJ10" s="799"/>
      <c r="AK10" s="799"/>
      <c r="AL10" s="799"/>
    </row>
    <row r="11" spans="1:256" ht="24" customHeight="1">
      <c r="A11" s="453"/>
      <c r="B11" s="453"/>
      <c r="C11" s="796" t="str">
        <f>IF('Names of Bidder'!C11=0, "", 'Names of Bidder'!C11)</f>
        <v/>
      </c>
      <c r="D11" s="796"/>
      <c r="E11" s="796"/>
      <c r="F11" s="796"/>
      <c r="G11" s="796"/>
      <c r="H11" s="453"/>
      <c r="I11" s="453"/>
      <c r="J11" s="727"/>
      <c r="K11" s="449" t="s">
        <v>511</v>
      </c>
      <c r="L11" s="491"/>
      <c r="M11" s="491"/>
      <c r="N11" s="737"/>
    </row>
    <row r="12" spans="1:256" ht="24" customHeight="1">
      <c r="A12" s="453"/>
      <c r="B12" s="453"/>
      <c r="C12" s="796" t="str">
        <f>IF('Names of Bidder'!C12=0, "", 'Names of Bidder'!C12)</f>
        <v/>
      </c>
      <c r="D12" s="796"/>
      <c r="E12" s="796"/>
      <c r="F12" s="796"/>
      <c r="G12" s="796"/>
      <c r="H12" s="453"/>
      <c r="I12" s="453"/>
      <c r="J12" s="488"/>
      <c r="K12" s="449" t="s">
        <v>512</v>
      </c>
      <c r="N12" s="445"/>
    </row>
    <row r="13" spans="1:256" s="491" customFormat="1" ht="26.25" customHeight="1">
      <c r="A13" s="798" t="s">
        <v>289</v>
      </c>
      <c r="B13" s="798"/>
      <c r="C13" s="798"/>
      <c r="D13" s="798"/>
      <c r="E13" s="798"/>
      <c r="F13" s="798"/>
      <c r="G13" s="798"/>
      <c r="H13" s="798"/>
      <c r="I13" s="798"/>
      <c r="J13" s="798"/>
      <c r="K13" s="798"/>
      <c r="L13" s="798"/>
      <c r="M13" s="798"/>
      <c r="N13" s="798"/>
    </row>
    <row r="14" spans="1:256" ht="15.75" customHeight="1">
      <c r="A14" s="445"/>
      <c r="B14" s="445"/>
      <c r="C14" s="445"/>
      <c r="D14" s="439"/>
      <c r="E14" s="445"/>
      <c r="F14" s="445"/>
      <c r="G14" s="445"/>
      <c r="H14" s="445"/>
      <c r="I14" s="445"/>
      <c r="J14" s="439"/>
      <c r="K14" s="795" t="s">
        <v>333</v>
      </c>
      <c r="L14" s="795"/>
      <c r="M14" s="795"/>
      <c r="N14" s="795"/>
    </row>
    <row r="15" spans="1:256" ht="122.25" customHeight="1">
      <c r="A15" s="492" t="s">
        <v>4</v>
      </c>
      <c r="B15" s="492" t="s">
        <v>250</v>
      </c>
      <c r="C15" s="492" t="s">
        <v>262</v>
      </c>
      <c r="D15" s="492" t="s">
        <v>264</v>
      </c>
      <c r="E15" s="492" t="s">
        <v>10</v>
      </c>
      <c r="F15" s="492" t="s">
        <v>290</v>
      </c>
      <c r="G15" s="493" t="s">
        <v>293</v>
      </c>
      <c r="H15" s="492" t="s">
        <v>296</v>
      </c>
      <c r="I15" s="494" t="s">
        <v>294</v>
      </c>
      <c r="J15" s="492" t="s">
        <v>5</v>
      </c>
      <c r="K15" s="495" t="s">
        <v>6</v>
      </c>
      <c r="L15" s="495" t="s">
        <v>7</v>
      </c>
      <c r="M15" s="492" t="s">
        <v>332</v>
      </c>
      <c r="N15" s="492" t="s">
        <v>331</v>
      </c>
    </row>
    <row r="16" spans="1:256" s="499" customFormat="1">
      <c r="A16" s="496">
        <v>1</v>
      </c>
      <c r="B16" s="496">
        <v>2</v>
      </c>
      <c r="C16" s="496">
        <v>3</v>
      </c>
      <c r="D16" s="462">
        <v>4</v>
      </c>
      <c r="E16" s="496">
        <v>5</v>
      </c>
      <c r="F16" s="496">
        <v>6</v>
      </c>
      <c r="G16" s="497">
        <v>7</v>
      </c>
      <c r="H16" s="496">
        <v>8</v>
      </c>
      <c r="I16" s="498">
        <v>9</v>
      </c>
      <c r="J16" s="462">
        <v>10</v>
      </c>
      <c r="K16" s="496">
        <v>11</v>
      </c>
      <c r="L16" s="496">
        <v>12</v>
      </c>
      <c r="M16" s="496">
        <v>13</v>
      </c>
      <c r="N16" s="496" t="s">
        <v>330</v>
      </c>
      <c r="IV16" s="499">
        <f>SUM(A16:IU16)</f>
        <v>91</v>
      </c>
    </row>
    <row r="17" spans="1:20" s="499" customFormat="1" ht="33.75" customHeight="1">
      <c r="A17" s="500" t="s">
        <v>45</v>
      </c>
      <c r="B17" s="501" t="s">
        <v>576</v>
      </c>
      <c r="C17" s="502"/>
      <c r="D17" s="503"/>
      <c r="E17" s="504"/>
      <c r="F17" s="504"/>
      <c r="G17" s="504"/>
      <c r="H17" s="504"/>
      <c r="I17" s="504"/>
      <c r="J17" s="504"/>
      <c r="K17" s="504"/>
      <c r="L17" s="504"/>
      <c r="M17" s="504"/>
      <c r="N17" s="504"/>
    </row>
    <row r="18" spans="1:20" ht="31.5">
      <c r="A18" s="505">
        <v>1</v>
      </c>
      <c r="B18" s="429">
        <v>7000031190</v>
      </c>
      <c r="C18" s="429">
        <v>10</v>
      </c>
      <c r="D18" s="429" t="s">
        <v>513</v>
      </c>
      <c r="E18" s="429">
        <v>1000004501</v>
      </c>
      <c r="F18" s="429">
        <v>85352913</v>
      </c>
      <c r="G18" s="429"/>
      <c r="H18" s="429">
        <v>18</v>
      </c>
      <c r="I18" s="302"/>
      <c r="J18" s="429" t="s">
        <v>556</v>
      </c>
      <c r="K18" s="429" t="s">
        <v>540</v>
      </c>
      <c r="L18" s="429">
        <v>1</v>
      </c>
      <c r="M18" s="428"/>
      <c r="N18" s="304" t="str">
        <f>IF(M18=0, "INCLUDED", IF(ISERROR(M18*L18), M18, M18*L18))</f>
        <v>INCLUDED</v>
      </c>
      <c r="O18" s="506">
        <f>IF(N18="Included",0,N18)</f>
        <v>0</v>
      </c>
      <c r="P18" s="506">
        <f>IF( I18="",H18*(IF(N18="Included",0,N18))/100,I18*(IF(N18="Included",0,N18)))</f>
        <v>0</v>
      </c>
      <c r="Q18" s="507">
        <f>Discount!$H$36</f>
        <v>0</v>
      </c>
      <c r="R18" s="507">
        <f>Q18*O18</f>
        <v>0</v>
      </c>
      <c r="S18" s="507">
        <f>IF(I18="",H18*R18/100,I18*R18)</f>
        <v>0</v>
      </c>
      <c r="T18" s="508">
        <f>M18*L18</f>
        <v>0</v>
      </c>
    </row>
    <row r="19" spans="1:20" ht="31.5">
      <c r="A19" s="509">
        <v>2</v>
      </c>
      <c r="B19" s="429">
        <v>7000031190</v>
      </c>
      <c r="C19" s="429">
        <v>20</v>
      </c>
      <c r="D19" s="429" t="s">
        <v>513</v>
      </c>
      <c r="E19" s="429">
        <v>1000004498</v>
      </c>
      <c r="F19" s="429">
        <v>85353090</v>
      </c>
      <c r="G19" s="429"/>
      <c r="H19" s="429">
        <v>18</v>
      </c>
      <c r="I19" s="302"/>
      <c r="J19" s="429" t="s">
        <v>557</v>
      </c>
      <c r="K19" s="429" t="s">
        <v>540</v>
      </c>
      <c r="L19" s="429">
        <v>2</v>
      </c>
      <c r="M19" s="428"/>
      <c r="N19" s="304" t="str">
        <f t="shared" ref="N19:N57" si="0">IF(M19=0, "INCLUDED", IF(ISERROR(M19*L19), M19, M19*L19))</f>
        <v>INCLUDED</v>
      </c>
      <c r="O19" s="506">
        <f>IF(N19="Included",0,N19)</f>
        <v>0</v>
      </c>
      <c r="P19" s="506">
        <f>IF( I19="",H19*(IF(N19="Included",0,N19))/100,I19*(IF(N19="Included",0,N19)))</f>
        <v>0</v>
      </c>
      <c r="Q19" s="506">
        <f>Discount!$H$36</f>
        <v>0</v>
      </c>
      <c r="R19" s="507">
        <f>Q19*O19</f>
        <v>0</v>
      </c>
      <c r="S19" s="507">
        <f>IF(I19="",H19*R19/100,I19*R19)</f>
        <v>0</v>
      </c>
      <c r="T19" s="508">
        <f t="shared" ref="T19:T72" si="1">M19*L19</f>
        <v>0</v>
      </c>
    </row>
    <row r="20" spans="1:20" ht="31.5">
      <c r="A20" s="505">
        <v>3</v>
      </c>
      <c r="B20" s="429">
        <v>7000031190</v>
      </c>
      <c r="C20" s="429">
        <v>30</v>
      </c>
      <c r="D20" s="429" t="s">
        <v>513</v>
      </c>
      <c r="E20" s="429">
        <v>1000004463</v>
      </c>
      <c r="F20" s="429">
        <v>85359090</v>
      </c>
      <c r="G20" s="429"/>
      <c r="H20" s="429">
        <v>18</v>
      </c>
      <c r="I20" s="302"/>
      <c r="J20" s="429" t="s">
        <v>558</v>
      </c>
      <c r="K20" s="429" t="s">
        <v>540</v>
      </c>
      <c r="L20" s="429">
        <v>3</v>
      </c>
      <c r="M20" s="428"/>
      <c r="N20" s="304" t="str">
        <f t="shared" si="0"/>
        <v>INCLUDED</v>
      </c>
      <c r="O20" s="506">
        <f>IF(N20="Included",0,N20)</f>
        <v>0</v>
      </c>
      <c r="P20" s="506">
        <f>IF( I20="",H20*(IF(N20="Included",0,N20))/100,I20*(IF(N20="Included",0,N20)))</f>
        <v>0</v>
      </c>
      <c r="Q20" s="506">
        <f>Discount!$H$36</f>
        <v>0</v>
      </c>
      <c r="R20" s="507">
        <f>Q20*O20</f>
        <v>0</v>
      </c>
      <c r="S20" s="507">
        <f>IF(I20="",H20*R20/100,I20*R20)</f>
        <v>0</v>
      </c>
      <c r="T20" s="508">
        <f t="shared" si="1"/>
        <v>0</v>
      </c>
    </row>
    <row r="21" spans="1:20" ht="31.5">
      <c r="A21" s="505">
        <v>4</v>
      </c>
      <c r="B21" s="429">
        <v>7000031190</v>
      </c>
      <c r="C21" s="429">
        <v>40</v>
      </c>
      <c r="D21" s="429" t="s">
        <v>513</v>
      </c>
      <c r="E21" s="429">
        <v>1000004401</v>
      </c>
      <c r="F21" s="429">
        <v>85462040</v>
      </c>
      <c r="G21" s="429"/>
      <c r="H21" s="429">
        <v>18</v>
      </c>
      <c r="I21" s="302"/>
      <c r="J21" s="429" t="s">
        <v>559</v>
      </c>
      <c r="K21" s="429" t="s">
        <v>540</v>
      </c>
      <c r="L21" s="429">
        <v>3</v>
      </c>
      <c r="M21" s="428"/>
      <c r="N21" s="304" t="str">
        <f t="shared" si="0"/>
        <v>INCLUDED</v>
      </c>
      <c r="O21" s="506">
        <f>IF(N21="Included",0,N21)</f>
        <v>0</v>
      </c>
      <c r="P21" s="506">
        <f>IF( I21="",H21*(IF(N21="Included",0,N21))/100,I21*(IF(N21="Included",0,N21)))</f>
        <v>0</v>
      </c>
      <c r="Q21" s="506">
        <f>Discount!$H$36</f>
        <v>0</v>
      </c>
      <c r="R21" s="507">
        <f>Q21*O21</f>
        <v>0</v>
      </c>
      <c r="S21" s="507">
        <f>IF(I21="",H21*R21/100,I21*R21)</f>
        <v>0</v>
      </c>
      <c r="T21" s="508">
        <f t="shared" si="1"/>
        <v>0</v>
      </c>
    </row>
    <row r="22" spans="1:20" ht="31.5">
      <c r="A22" s="509">
        <v>5</v>
      </c>
      <c r="B22" s="429">
        <v>7000031190</v>
      </c>
      <c r="C22" s="429">
        <v>50</v>
      </c>
      <c r="D22" s="429" t="s">
        <v>513</v>
      </c>
      <c r="E22" s="429">
        <v>1000020419</v>
      </c>
      <c r="F22" s="429">
        <v>85354010</v>
      </c>
      <c r="G22" s="429"/>
      <c r="H22" s="429">
        <v>18</v>
      </c>
      <c r="I22" s="302"/>
      <c r="J22" s="429" t="s">
        <v>560</v>
      </c>
      <c r="K22" s="429" t="s">
        <v>540</v>
      </c>
      <c r="L22" s="429">
        <v>3</v>
      </c>
      <c r="M22" s="428"/>
      <c r="N22" s="304" t="str">
        <f t="shared" si="0"/>
        <v>INCLUDED</v>
      </c>
      <c r="O22" s="506">
        <f t="shared" ref="O22:O57" si="2">IF(N22="Included",0,N22)</f>
        <v>0</v>
      </c>
      <c r="P22" s="506">
        <f t="shared" ref="P22:P57" si="3">IF( I22="",H22*(IF(N22="Included",0,N22))/100,I22*(IF(N22="Included",0,N22)))</f>
        <v>0</v>
      </c>
      <c r="Q22" s="506">
        <f>Discount!$H$36</f>
        <v>0</v>
      </c>
      <c r="R22" s="507">
        <f t="shared" ref="R22:R57" si="4">Q22*O22</f>
        <v>0</v>
      </c>
      <c r="S22" s="507">
        <f t="shared" ref="S22:S57" si="5">IF(I22="",H22*R22/100,I22*R22)</f>
        <v>0</v>
      </c>
      <c r="T22" s="508">
        <f t="shared" si="1"/>
        <v>0</v>
      </c>
    </row>
    <row r="23" spans="1:20" ht="31.5">
      <c r="A23" s="505">
        <v>6</v>
      </c>
      <c r="B23" s="429">
        <v>7000031190</v>
      </c>
      <c r="C23" s="429">
        <v>60</v>
      </c>
      <c r="D23" s="429" t="s">
        <v>513</v>
      </c>
      <c r="E23" s="429">
        <v>1000009713</v>
      </c>
      <c r="F23" s="429">
        <v>85389000</v>
      </c>
      <c r="G23" s="429"/>
      <c r="H23" s="429">
        <v>18</v>
      </c>
      <c r="I23" s="302"/>
      <c r="J23" s="429" t="s">
        <v>465</v>
      </c>
      <c r="K23" s="429" t="s">
        <v>540</v>
      </c>
      <c r="L23" s="429">
        <v>2</v>
      </c>
      <c r="M23" s="428"/>
      <c r="N23" s="304" t="str">
        <f t="shared" si="0"/>
        <v>INCLUDED</v>
      </c>
      <c r="O23" s="506">
        <f t="shared" si="2"/>
        <v>0</v>
      </c>
      <c r="P23" s="506">
        <f t="shared" si="3"/>
        <v>0</v>
      </c>
      <c r="Q23" s="506">
        <f>Discount!$H$36</f>
        <v>0</v>
      </c>
      <c r="R23" s="507">
        <f t="shared" si="4"/>
        <v>0</v>
      </c>
      <c r="S23" s="507">
        <f t="shared" si="5"/>
        <v>0</v>
      </c>
      <c r="T23" s="508">
        <f t="shared" si="1"/>
        <v>0</v>
      </c>
    </row>
    <row r="24" spans="1:20" ht="31.5">
      <c r="A24" s="505">
        <v>7</v>
      </c>
      <c r="B24" s="429">
        <v>7000031190</v>
      </c>
      <c r="C24" s="429">
        <v>70</v>
      </c>
      <c r="D24" s="429" t="s">
        <v>514</v>
      </c>
      <c r="E24" s="429">
        <v>1000001683</v>
      </c>
      <c r="F24" s="429">
        <v>85352912</v>
      </c>
      <c r="G24" s="429"/>
      <c r="H24" s="429">
        <v>18</v>
      </c>
      <c r="I24" s="302"/>
      <c r="J24" s="429" t="s">
        <v>561</v>
      </c>
      <c r="K24" s="429" t="s">
        <v>540</v>
      </c>
      <c r="L24" s="429">
        <v>1</v>
      </c>
      <c r="M24" s="428"/>
      <c r="N24" s="304" t="str">
        <f t="shared" si="0"/>
        <v>INCLUDED</v>
      </c>
      <c r="O24" s="506">
        <f t="shared" si="2"/>
        <v>0</v>
      </c>
      <c r="P24" s="506">
        <f t="shared" si="3"/>
        <v>0</v>
      </c>
      <c r="Q24" s="506">
        <f>Discount!$H$36</f>
        <v>0</v>
      </c>
      <c r="R24" s="507">
        <f t="shared" si="4"/>
        <v>0</v>
      </c>
      <c r="S24" s="507">
        <f t="shared" si="5"/>
        <v>0</v>
      </c>
      <c r="T24" s="508">
        <f t="shared" si="1"/>
        <v>0</v>
      </c>
    </row>
    <row r="25" spans="1:20" ht="31.5">
      <c r="A25" s="509">
        <v>8</v>
      </c>
      <c r="B25" s="429">
        <v>7000031190</v>
      </c>
      <c r="C25" s="429">
        <v>80</v>
      </c>
      <c r="D25" s="429" t="s">
        <v>514</v>
      </c>
      <c r="E25" s="429">
        <v>1000001684</v>
      </c>
      <c r="F25" s="429">
        <v>85359090</v>
      </c>
      <c r="G25" s="429"/>
      <c r="H25" s="429">
        <v>18</v>
      </c>
      <c r="I25" s="302"/>
      <c r="J25" s="429" t="s">
        <v>502</v>
      </c>
      <c r="K25" s="429" t="s">
        <v>540</v>
      </c>
      <c r="L25" s="429">
        <v>3</v>
      </c>
      <c r="M25" s="428"/>
      <c r="N25" s="304" t="str">
        <f t="shared" si="0"/>
        <v>INCLUDED</v>
      </c>
      <c r="O25" s="506">
        <f t="shared" si="2"/>
        <v>0</v>
      </c>
      <c r="P25" s="506">
        <f t="shared" si="3"/>
        <v>0</v>
      </c>
      <c r="Q25" s="506">
        <f>Discount!$H$36</f>
        <v>0</v>
      </c>
      <c r="R25" s="507">
        <f t="shared" si="4"/>
        <v>0</v>
      </c>
      <c r="S25" s="507">
        <f t="shared" si="5"/>
        <v>0</v>
      </c>
      <c r="T25" s="508">
        <f t="shared" si="1"/>
        <v>0</v>
      </c>
    </row>
    <row r="26" spans="1:20" ht="31.5">
      <c r="A26" s="505">
        <v>9</v>
      </c>
      <c r="B26" s="429">
        <v>7000031190</v>
      </c>
      <c r="C26" s="429">
        <v>90</v>
      </c>
      <c r="D26" s="429" t="s">
        <v>514</v>
      </c>
      <c r="E26" s="429">
        <v>1000001688</v>
      </c>
      <c r="F26" s="429">
        <v>85353090</v>
      </c>
      <c r="G26" s="429"/>
      <c r="H26" s="429">
        <v>18</v>
      </c>
      <c r="I26" s="302"/>
      <c r="J26" s="429" t="s">
        <v>562</v>
      </c>
      <c r="K26" s="429" t="s">
        <v>540</v>
      </c>
      <c r="L26" s="429">
        <v>1</v>
      </c>
      <c r="M26" s="428"/>
      <c r="N26" s="304" t="str">
        <f t="shared" si="0"/>
        <v>INCLUDED</v>
      </c>
      <c r="O26" s="506">
        <f t="shared" si="2"/>
        <v>0</v>
      </c>
      <c r="P26" s="506">
        <f t="shared" si="3"/>
        <v>0</v>
      </c>
      <c r="Q26" s="506">
        <f>Discount!$H$36</f>
        <v>0</v>
      </c>
      <c r="R26" s="507">
        <f t="shared" si="4"/>
        <v>0</v>
      </c>
      <c r="S26" s="507">
        <f t="shared" si="5"/>
        <v>0</v>
      </c>
      <c r="T26" s="508">
        <f t="shared" si="1"/>
        <v>0</v>
      </c>
    </row>
    <row r="27" spans="1:20" ht="31.5">
      <c r="A27" s="505">
        <v>10</v>
      </c>
      <c r="B27" s="429">
        <v>7000031190</v>
      </c>
      <c r="C27" s="429">
        <v>100</v>
      </c>
      <c r="D27" s="429" t="s">
        <v>514</v>
      </c>
      <c r="E27" s="429">
        <v>1000001689</v>
      </c>
      <c r="F27" s="429">
        <v>85353090</v>
      </c>
      <c r="G27" s="429"/>
      <c r="H27" s="429">
        <v>18</v>
      </c>
      <c r="I27" s="302"/>
      <c r="J27" s="429" t="s">
        <v>563</v>
      </c>
      <c r="K27" s="429" t="s">
        <v>540</v>
      </c>
      <c r="L27" s="429">
        <v>1</v>
      </c>
      <c r="M27" s="428"/>
      <c r="N27" s="304" t="str">
        <f t="shared" si="0"/>
        <v>INCLUDED</v>
      </c>
      <c r="O27" s="506">
        <f t="shared" si="2"/>
        <v>0</v>
      </c>
      <c r="P27" s="506">
        <f t="shared" si="3"/>
        <v>0</v>
      </c>
      <c r="Q27" s="506">
        <f>Discount!$H$36</f>
        <v>0</v>
      </c>
      <c r="R27" s="507">
        <f t="shared" si="4"/>
        <v>0</v>
      </c>
      <c r="S27" s="507">
        <f t="shared" si="5"/>
        <v>0</v>
      </c>
      <c r="T27" s="508">
        <f t="shared" si="1"/>
        <v>0</v>
      </c>
    </row>
    <row r="28" spans="1:20" ht="31.5">
      <c r="A28" s="509">
        <v>11</v>
      </c>
      <c r="B28" s="429">
        <v>7000031190</v>
      </c>
      <c r="C28" s="429">
        <v>110</v>
      </c>
      <c r="D28" s="429" t="s">
        <v>514</v>
      </c>
      <c r="E28" s="429">
        <v>1000032777</v>
      </c>
      <c r="F28" s="429">
        <v>85353090</v>
      </c>
      <c r="G28" s="429"/>
      <c r="H28" s="429">
        <v>18</v>
      </c>
      <c r="I28" s="302"/>
      <c r="J28" s="429" t="s">
        <v>524</v>
      </c>
      <c r="K28" s="429" t="s">
        <v>540</v>
      </c>
      <c r="L28" s="429">
        <v>2</v>
      </c>
      <c r="M28" s="428"/>
      <c r="N28" s="304" t="str">
        <f t="shared" si="0"/>
        <v>INCLUDED</v>
      </c>
      <c r="O28" s="506">
        <f t="shared" si="2"/>
        <v>0</v>
      </c>
      <c r="P28" s="506">
        <f t="shared" si="3"/>
        <v>0</v>
      </c>
      <c r="Q28" s="506">
        <f>Discount!$H$36</f>
        <v>0</v>
      </c>
      <c r="R28" s="507">
        <f t="shared" si="4"/>
        <v>0</v>
      </c>
      <c r="S28" s="507">
        <f t="shared" si="5"/>
        <v>0</v>
      </c>
      <c r="T28" s="508">
        <f t="shared" si="1"/>
        <v>0</v>
      </c>
    </row>
    <row r="29" spans="1:20" ht="31.5">
      <c r="A29" s="505">
        <v>12</v>
      </c>
      <c r="B29" s="429">
        <v>7000031190</v>
      </c>
      <c r="C29" s="429">
        <v>120</v>
      </c>
      <c r="D29" s="429" t="s">
        <v>514</v>
      </c>
      <c r="E29" s="429">
        <v>1000020417</v>
      </c>
      <c r="F29" s="429">
        <v>85354010</v>
      </c>
      <c r="G29" s="429"/>
      <c r="H29" s="429">
        <v>18</v>
      </c>
      <c r="I29" s="302"/>
      <c r="J29" s="429" t="s">
        <v>469</v>
      </c>
      <c r="K29" s="429" t="s">
        <v>540</v>
      </c>
      <c r="L29" s="429">
        <v>3</v>
      </c>
      <c r="M29" s="428"/>
      <c r="N29" s="304" t="str">
        <f t="shared" si="0"/>
        <v>INCLUDED</v>
      </c>
      <c r="O29" s="506">
        <f t="shared" si="2"/>
        <v>0</v>
      </c>
      <c r="P29" s="506">
        <f t="shared" si="3"/>
        <v>0</v>
      </c>
      <c r="Q29" s="506">
        <f>Discount!$H$36</f>
        <v>0</v>
      </c>
      <c r="R29" s="507">
        <f t="shared" si="4"/>
        <v>0</v>
      </c>
      <c r="S29" s="507">
        <f t="shared" si="5"/>
        <v>0</v>
      </c>
      <c r="T29" s="508">
        <f t="shared" si="1"/>
        <v>0</v>
      </c>
    </row>
    <row r="30" spans="1:20" ht="31.5">
      <c r="A30" s="505">
        <v>13</v>
      </c>
      <c r="B30" s="429">
        <v>7000031190</v>
      </c>
      <c r="C30" s="429">
        <v>130</v>
      </c>
      <c r="D30" s="429" t="s">
        <v>514</v>
      </c>
      <c r="E30" s="429">
        <v>1000001695</v>
      </c>
      <c r="F30" s="429">
        <v>85462040</v>
      </c>
      <c r="G30" s="429"/>
      <c r="H30" s="429">
        <v>18</v>
      </c>
      <c r="I30" s="302"/>
      <c r="J30" s="429" t="s">
        <v>470</v>
      </c>
      <c r="K30" s="429" t="s">
        <v>540</v>
      </c>
      <c r="L30" s="429">
        <v>10</v>
      </c>
      <c r="M30" s="428"/>
      <c r="N30" s="304" t="str">
        <f t="shared" si="0"/>
        <v>INCLUDED</v>
      </c>
      <c r="O30" s="506">
        <f t="shared" si="2"/>
        <v>0</v>
      </c>
      <c r="P30" s="506">
        <f t="shared" si="3"/>
        <v>0</v>
      </c>
      <c r="Q30" s="506">
        <f>Discount!$H$36</f>
        <v>0</v>
      </c>
      <c r="R30" s="507">
        <f t="shared" si="4"/>
        <v>0</v>
      </c>
      <c r="S30" s="507">
        <f t="shared" si="5"/>
        <v>0</v>
      </c>
      <c r="T30" s="508">
        <f t="shared" si="1"/>
        <v>0</v>
      </c>
    </row>
    <row r="31" spans="1:20" ht="31.5">
      <c r="A31" s="509">
        <v>14</v>
      </c>
      <c r="B31" s="429">
        <v>7000031190</v>
      </c>
      <c r="C31" s="429">
        <v>140</v>
      </c>
      <c r="D31" s="429" t="s">
        <v>553</v>
      </c>
      <c r="E31" s="429">
        <v>1000011320</v>
      </c>
      <c r="F31" s="429">
        <v>72169990</v>
      </c>
      <c r="G31" s="429"/>
      <c r="H31" s="429">
        <v>18</v>
      </c>
      <c r="I31" s="302"/>
      <c r="J31" s="429" t="s">
        <v>525</v>
      </c>
      <c r="K31" s="429" t="s">
        <v>464</v>
      </c>
      <c r="L31" s="429">
        <v>1</v>
      </c>
      <c r="M31" s="428"/>
      <c r="N31" s="304" t="str">
        <f t="shared" si="0"/>
        <v>INCLUDED</v>
      </c>
      <c r="O31" s="506">
        <f t="shared" si="2"/>
        <v>0</v>
      </c>
      <c r="P31" s="506">
        <f t="shared" si="3"/>
        <v>0</v>
      </c>
      <c r="Q31" s="506">
        <f>Discount!$H$36</f>
        <v>0</v>
      </c>
      <c r="R31" s="507">
        <f t="shared" si="4"/>
        <v>0</v>
      </c>
      <c r="S31" s="507">
        <f t="shared" si="5"/>
        <v>0</v>
      </c>
      <c r="T31" s="508">
        <f t="shared" si="1"/>
        <v>0</v>
      </c>
    </row>
    <row r="32" spans="1:20" ht="31.5">
      <c r="A32" s="505">
        <v>15</v>
      </c>
      <c r="B32" s="429">
        <v>7000031190</v>
      </c>
      <c r="C32" s="429">
        <v>150</v>
      </c>
      <c r="D32" s="429" t="s">
        <v>554</v>
      </c>
      <c r="E32" s="429">
        <v>1000011264</v>
      </c>
      <c r="F32" s="429">
        <v>72169990</v>
      </c>
      <c r="G32" s="429"/>
      <c r="H32" s="429">
        <v>18</v>
      </c>
      <c r="I32" s="302"/>
      <c r="J32" s="429" t="s">
        <v>564</v>
      </c>
      <c r="K32" s="429" t="s">
        <v>464</v>
      </c>
      <c r="L32" s="429">
        <v>1</v>
      </c>
      <c r="M32" s="428"/>
      <c r="N32" s="304" t="str">
        <f t="shared" si="0"/>
        <v>INCLUDED</v>
      </c>
      <c r="O32" s="506">
        <f t="shared" si="2"/>
        <v>0</v>
      </c>
      <c r="P32" s="506">
        <f t="shared" si="3"/>
        <v>0</v>
      </c>
      <c r="Q32" s="506">
        <f>Discount!$H$36</f>
        <v>0</v>
      </c>
      <c r="R32" s="507">
        <f t="shared" si="4"/>
        <v>0</v>
      </c>
      <c r="S32" s="507">
        <f t="shared" si="5"/>
        <v>0</v>
      </c>
      <c r="T32" s="508">
        <f t="shared" si="1"/>
        <v>0</v>
      </c>
    </row>
    <row r="33" spans="1:20">
      <c r="A33" s="505">
        <v>16</v>
      </c>
      <c r="B33" s="429">
        <v>7000031190</v>
      </c>
      <c r="C33" s="429">
        <v>160</v>
      </c>
      <c r="D33" s="429" t="s">
        <v>515</v>
      </c>
      <c r="E33" s="429">
        <v>1000032055</v>
      </c>
      <c r="F33" s="429">
        <v>72159090</v>
      </c>
      <c r="G33" s="429"/>
      <c r="H33" s="429">
        <v>18</v>
      </c>
      <c r="I33" s="302"/>
      <c r="J33" s="429" t="s">
        <v>526</v>
      </c>
      <c r="K33" s="429" t="s">
        <v>541</v>
      </c>
      <c r="L33" s="429">
        <v>0.5</v>
      </c>
      <c r="M33" s="428"/>
      <c r="N33" s="304" t="str">
        <f t="shared" si="0"/>
        <v>INCLUDED</v>
      </c>
      <c r="O33" s="506">
        <f t="shared" si="2"/>
        <v>0</v>
      </c>
      <c r="P33" s="506">
        <f t="shared" si="3"/>
        <v>0</v>
      </c>
      <c r="Q33" s="506">
        <f>Discount!$H$36</f>
        <v>0</v>
      </c>
      <c r="R33" s="507">
        <f t="shared" si="4"/>
        <v>0</v>
      </c>
      <c r="S33" s="507">
        <f t="shared" si="5"/>
        <v>0</v>
      </c>
      <c r="T33" s="508">
        <f t="shared" si="1"/>
        <v>0</v>
      </c>
    </row>
    <row r="34" spans="1:20" ht="31.5">
      <c r="A34" s="509">
        <v>17</v>
      </c>
      <c r="B34" s="429">
        <v>7000031190</v>
      </c>
      <c r="C34" s="429">
        <v>170</v>
      </c>
      <c r="D34" s="429" t="s">
        <v>516</v>
      </c>
      <c r="E34" s="429">
        <v>1000002165</v>
      </c>
      <c r="F34" s="429">
        <v>85371000</v>
      </c>
      <c r="G34" s="429"/>
      <c r="H34" s="429">
        <v>18</v>
      </c>
      <c r="I34" s="302"/>
      <c r="J34" s="429" t="s">
        <v>565</v>
      </c>
      <c r="K34" s="429" t="s">
        <v>540</v>
      </c>
      <c r="L34" s="429">
        <v>1</v>
      </c>
      <c r="M34" s="428"/>
      <c r="N34" s="304" t="str">
        <f t="shared" si="0"/>
        <v>INCLUDED</v>
      </c>
      <c r="O34" s="506">
        <f t="shared" si="2"/>
        <v>0</v>
      </c>
      <c r="P34" s="506">
        <f t="shared" si="3"/>
        <v>0</v>
      </c>
      <c r="Q34" s="506">
        <f>Discount!$H$36</f>
        <v>0</v>
      </c>
      <c r="R34" s="507">
        <f t="shared" si="4"/>
        <v>0</v>
      </c>
      <c r="S34" s="507">
        <f t="shared" si="5"/>
        <v>0</v>
      </c>
      <c r="T34" s="508">
        <f t="shared" si="1"/>
        <v>0</v>
      </c>
    </row>
    <row r="35" spans="1:20" ht="31.5">
      <c r="A35" s="505">
        <v>18</v>
      </c>
      <c r="B35" s="429">
        <v>7000031190</v>
      </c>
      <c r="C35" s="429">
        <v>180</v>
      </c>
      <c r="D35" s="429" t="s">
        <v>516</v>
      </c>
      <c r="E35" s="429">
        <v>1000004274</v>
      </c>
      <c r="F35" s="429">
        <v>85371000</v>
      </c>
      <c r="G35" s="429"/>
      <c r="H35" s="429">
        <v>18</v>
      </c>
      <c r="I35" s="302"/>
      <c r="J35" s="429" t="s">
        <v>500</v>
      </c>
      <c r="K35" s="429" t="s">
        <v>540</v>
      </c>
      <c r="L35" s="429">
        <v>1</v>
      </c>
      <c r="M35" s="428"/>
      <c r="N35" s="304" t="str">
        <f t="shared" si="0"/>
        <v>INCLUDED</v>
      </c>
      <c r="O35" s="506">
        <f t="shared" si="2"/>
        <v>0</v>
      </c>
      <c r="P35" s="506">
        <f t="shared" si="3"/>
        <v>0</v>
      </c>
      <c r="Q35" s="506">
        <f>Discount!$H$36</f>
        <v>0</v>
      </c>
      <c r="R35" s="507">
        <f t="shared" si="4"/>
        <v>0</v>
      </c>
      <c r="S35" s="507">
        <f t="shared" si="5"/>
        <v>0</v>
      </c>
      <c r="T35" s="508">
        <f t="shared" si="1"/>
        <v>0</v>
      </c>
    </row>
    <row r="36" spans="1:20" ht="31.5">
      <c r="A36" s="505">
        <v>19</v>
      </c>
      <c r="B36" s="429">
        <v>7000031190</v>
      </c>
      <c r="C36" s="429">
        <v>190</v>
      </c>
      <c r="D36" s="429" t="s">
        <v>516</v>
      </c>
      <c r="E36" s="429">
        <v>1000001167</v>
      </c>
      <c r="F36" s="429">
        <v>85371000</v>
      </c>
      <c r="G36" s="429"/>
      <c r="H36" s="429">
        <v>18</v>
      </c>
      <c r="I36" s="302"/>
      <c r="J36" s="429" t="s">
        <v>499</v>
      </c>
      <c r="K36" s="429" t="s">
        <v>464</v>
      </c>
      <c r="L36" s="429">
        <v>1</v>
      </c>
      <c r="M36" s="428"/>
      <c r="N36" s="304" t="str">
        <f t="shared" si="0"/>
        <v>INCLUDED</v>
      </c>
      <c r="O36" s="506">
        <f t="shared" si="2"/>
        <v>0</v>
      </c>
      <c r="P36" s="506">
        <f t="shared" si="3"/>
        <v>0</v>
      </c>
      <c r="Q36" s="506">
        <f>Discount!$H$36</f>
        <v>0</v>
      </c>
      <c r="R36" s="507">
        <f t="shared" si="4"/>
        <v>0</v>
      </c>
      <c r="S36" s="507">
        <f t="shared" si="5"/>
        <v>0</v>
      </c>
      <c r="T36" s="508">
        <f t="shared" si="1"/>
        <v>0</v>
      </c>
    </row>
    <row r="37" spans="1:20" ht="31.5">
      <c r="A37" s="509">
        <v>20</v>
      </c>
      <c r="B37" s="429">
        <v>7000031190</v>
      </c>
      <c r="C37" s="429">
        <v>200</v>
      </c>
      <c r="D37" s="429" t="s">
        <v>516</v>
      </c>
      <c r="E37" s="429">
        <v>1000001168</v>
      </c>
      <c r="F37" s="429">
        <v>85371000</v>
      </c>
      <c r="G37" s="429"/>
      <c r="H37" s="429">
        <v>18</v>
      </c>
      <c r="I37" s="302"/>
      <c r="J37" s="429" t="s">
        <v>566</v>
      </c>
      <c r="K37" s="429" t="s">
        <v>540</v>
      </c>
      <c r="L37" s="429">
        <v>1</v>
      </c>
      <c r="M37" s="428"/>
      <c r="N37" s="304" t="str">
        <f t="shared" si="0"/>
        <v>INCLUDED</v>
      </c>
      <c r="O37" s="506">
        <f t="shared" si="2"/>
        <v>0</v>
      </c>
      <c r="P37" s="506">
        <f t="shared" si="3"/>
        <v>0</v>
      </c>
      <c r="Q37" s="506">
        <f>Discount!$H$36</f>
        <v>0</v>
      </c>
      <c r="R37" s="507">
        <f t="shared" si="4"/>
        <v>0</v>
      </c>
      <c r="S37" s="507">
        <f t="shared" si="5"/>
        <v>0</v>
      </c>
      <c r="T37" s="508">
        <f t="shared" si="1"/>
        <v>0</v>
      </c>
    </row>
    <row r="38" spans="1:20">
      <c r="A38" s="505">
        <v>21</v>
      </c>
      <c r="B38" s="429">
        <v>7000031190</v>
      </c>
      <c r="C38" s="429">
        <v>210</v>
      </c>
      <c r="D38" s="429" t="s">
        <v>518</v>
      </c>
      <c r="E38" s="429">
        <v>1000003409</v>
      </c>
      <c r="F38" s="429">
        <v>85371000</v>
      </c>
      <c r="G38" s="429"/>
      <c r="H38" s="429">
        <v>18</v>
      </c>
      <c r="I38" s="302"/>
      <c r="J38" s="429" t="s">
        <v>567</v>
      </c>
      <c r="K38" s="429" t="s">
        <v>540</v>
      </c>
      <c r="L38" s="429">
        <v>1</v>
      </c>
      <c r="M38" s="428"/>
      <c r="N38" s="304" t="str">
        <f t="shared" si="0"/>
        <v>INCLUDED</v>
      </c>
      <c r="O38" s="506">
        <f t="shared" si="2"/>
        <v>0</v>
      </c>
      <c r="P38" s="506">
        <f t="shared" si="3"/>
        <v>0</v>
      </c>
      <c r="Q38" s="506">
        <f>Discount!$H$36</f>
        <v>0</v>
      </c>
      <c r="R38" s="507">
        <f t="shared" si="4"/>
        <v>0</v>
      </c>
      <c r="S38" s="507">
        <f t="shared" si="5"/>
        <v>0</v>
      </c>
      <c r="T38" s="508">
        <f t="shared" si="1"/>
        <v>0</v>
      </c>
    </row>
    <row r="39" spans="1:20" ht="31.5">
      <c r="A39" s="505">
        <v>22</v>
      </c>
      <c r="B39" s="429">
        <v>7000031190</v>
      </c>
      <c r="C39" s="429">
        <v>220</v>
      </c>
      <c r="D39" s="429" t="s">
        <v>518</v>
      </c>
      <c r="E39" s="429">
        <v>1000001333</v>
      </c>
      <c r="F39" s="429">
        <v>85371000</v>
      </c>
      <c r="G39" s="429"/>
      <c r="H39" s="429">
        <v>18</v>
      </c>
      <c r="I39" s="302"/>
      <c r="J39" s="429" t="s">
        <v>568</v>
      </c>
      <c r="K39" s="429" t="s">
        <v>540</v>
      </c>
      <c r="L39" s="429">
        <v>1</v>
      </c>
      <c r="M39" s="428"/>
      <c r="N39" s="304" t="str">
        <f t="shared" si="0"/>
        <v>INCLUDED</v>
      </c>
      <c r="O39" s="506">
        <f t="shared" si="2"/>
        <v>0</v>
      </c>
      <c r="P39" s="506">
        <f t="shared" si="3"/>
        <v>0</v>
      </c>
      <c r="Q39" s="506">
        <f>Discount!$H$36</f>
        <v>0</v>
      </c>
      <c r="R39" s="507">
        <f t="shared" si="4"/>
        <v>0</v>
      </c>
      <c r="S39" s="507">
        <f t="shared" si="5"/>
        <v>0</v>
      </c>
      <c r="T39" s="508">
        <f t="shared" si="1"/>
        <v>0</v>
      </c>
    </row>
    <row r="40" spans="1:20" ht="63">
      <c r="A40" s="509">
        <v>23</v>
      </c>
      <c r="B40" s="429">
        <v>7000031190</v>
      </c>
      <c r="C40" s="429">
        <v>230</v>
      </c>
      <c r="D40" s="429" t="s">
        <v>519</v>
      </c>
      <c r="E40" s="429">
        <v>1000030433</v>
      </c>
      <c r="F40" s="429">
        <v>85287390</v>
      </c>
      <c r="G40" s="429"/>
      <c r="H40" s="429">
        <v>18</v>
      </c>
      <c r="I40" s="302"/>
      <c r="J40" s="429" t="s">
        <v>527</v>
      </c>
      <c r="K40" s="429" t="s">
        <v>464</v>
      </c>
      <c r="L40" s="429">
        <v>1</v>
      </c>
      <c r="M40" s="428"/>
      <c r="N40" s="304" t="str">
        <f t="shared" si="0"/>
        <v>INCLUDED</v>
      </c>
      <c r="O40" s="506">
        <f t="shared" si="2"/>
        <v>0</v>
      </c>
      <c r="P40" s="506">
        <f t="shared" si="3"/>
        <v>0</v>
      </c>
      <c r="Q40" s="506">
        <f>Discount!$H$36</f>
        <v>0</v>
      </c>
      <c r="R40" s="507">
        <f t="shared" si="4"/>
        <v>0</v>
      </c>
      <c r="S40" s="507">
        <f t="shared" si="5"/>
        <v>0</v>
      </c>
      <c r="T40" s="508">
        <f t="shared" si="1"/>
        <v>0</v>
      </c>
    </row>
    <row r="41" spans="1:20">
      <c r="A41" s="505">
        <v>24</v>
      </c>
      <c r="B41" s="429">
        <v>7000031190</v>
      </c>
      <c r="C41" s="429">
        <v>240</v>
      </c>
      <c r="D41" s="429" t="s">
        <v>520</v>
      </c>
      <c r="E41" s="429">
        <v>1000031951</v>
      </c>
      <c r="F41" s="429">
        <v>85446090</v>
      </c>
      <c r="G41" s="429"/>
      <c r="H41" s="429">
        <v>18</v>
      </c>
      <c r="I41" s="302"/>
      <c r="J41" s="429" t="s">
        <v>528</v>
      </c>
      <c r="K41" s="429" t="s">
        <v>541</v>
      </c>
      <c r="L41" s="429">
        <v>0.5</v>
      </c>
      <c r="M41" s="428"/>
      <c r="N41" s="304" t="str">
        <f t="shared" si="0"/>
        <v>INCLUDED</v>
      </c>
      <c r="O41" s="506">
        <f t="shared" si="2"/>
        <v>0</v>
      </c>
      <c r="P41" s="506">
        <f t="shared" si="3"/>
        <v>0</v>
      </c>
      <c r="Q41" s="506">
        <f>Discount!$H$36</f>
        <v>0</v>
      </c>
      <c r="R41" s="507">
        <f t="shared" si="4"/>
        <v>0</v>
      </c>
      <c r="S41" s="507">
        <f t="shared" si="5"/>
        <v>0</v>
      </c>
      <c r="T41" s="508">
        <f t="shared" si="1"/>
        <v>0</v>
      </c>
    </row>
    <row r="42" spans="1:20">
      <c r="A42" s="505">
        <v>25</v>
      </c>
      <c r="B42" s="429">
        <v>7000031190</v>
      </c>
      <c r="C42" s="429">
        <v>250</v>
      </c>
      <c r="D42" s="429" t="s">
        <v>520</v>
      </c>
      <c r="E42" s="429">
        <v>1000031957</v>
      </c>
      <c r="F42" s="429">
        <v>85446020</v>
      </c>
      <c r="G42" s="429"/>
      <c r="H42" s="429">
        <v>18</v>
      </c>
      <c r="I42" s="302"/>
      <c r="J42" s="429" t="s">
        <v>569</v>
      </c>
      <c r="K42" s="429" t="s">
        <v>541</v>
      </c>
      <c r="L42" s="429">
        <v>3</v>
      </c>
      <c r="M42" s="428"/>
      <c r="N42" s="304" t="str">
        <f t="shared" si="0"/>
        <v>INCLUDED</v>
      </c>
      <c r="O42" s="506">
        <f t="shared" si="2"/>
        <v>0</v>
      </c>
      <c r="P42" s="506">
        <f t="shared" si="3"/>
        <v>0</v>
      </c>
      <c r="Q42" s="506">
        <f>Discount!$H$36</f>
        <v>0</v>
      </c>
      <c r="R42" s="507">
        <f t="shared" si="4"/>
        <v>0</v>
      </c>
      <c r="S42" s="507">
        <f t="shared" si="5"/>
        <v>0</v>
      </c>
      <c r="T42" s="508">
        <f t="shared" si="1"/>
        <v>0</v>
      </c>
    </row>
    <row r="43" spans="1:20">
      <c r="A43" s="509">
        <v>26</v>
      </c>
      <c r="B43" s="429">
        <v>7000031190</v>
      </c>
      <c r="C43" s="429">
        <v>260</v>
      </c>
      <c r="D43" s="429" t="s">
        <v>520</v>
      </c>
      <c r="E43" s="429">
        <v>1000031976</v>
      </c>
      <c r="F43" s="429">
        <v>85446020</v>
      </c>
      <c r="G43" s="429"/>
      <c r="H43" s="429">
        <v>18</v>
      </c>
      <c r="I43" s="302"/>
      <c r="J43" s="429" t="s">
        <v>529</v>
      </c>
      <c r="K43" s="429" t="s">
        <v>541</v>
      </c>
      <c r="L43" s="429">
        <v>2</v>
      </c>
      <c r="M43" s="428"/>
      <c r="N43" s="304" t="str">
        <f t="shared" si="0"/>
        <v>INCLUDED</v>
      </c>
      <c r="O43" s="506">
        <f t="shared" si="2"/>
        <v>0</v>
      </c>
      <c r="P43" s="506">
        <f t="shared" si="3"/>
        <v>0</v>
      </c>
      <c r="Q43" s="506">
        <f>Discount!$H$36</f>
        <v>0</v>
      </c>
      <c r="R43" s="507">
        <f t="shared" si="4"/>
        <v>0</v>
      </c>
      <c r="S43" s="507">
        <f t="shared" si="5"/>
        <v>0</v>
      </c>
      <c r="T43" s="508">
        <f t="shared" si="1"/>
        <v>0</v>
      </c>
    </row>
    <row r="44" spans="1:20">
      <c r="A44" s="505">
        <v>27</v>
      </c>
      <c r="B44" s="429">
        <v>7000031190</v>
      </c>
      <c r="C44" s="429">
        <v>270</v>
      </c>
      <c r="D44" s="429" t="s">
        <v>520</v>
      </c>
      <c r="E44" s="429">
        <v>1000031985</v>
      </c>
      <c r="F44" s="429">
        <v>85446020</v>
      </c>
      <c r="G44" s="429"/>
      <c r="H44" s="429">
        <v>18</v>
      </c>
      <c r="I44" s="302"/>
      <c r="J44" s="429" t="s">
        <v>530</v>
      </c>
      <c r="K44" s="429" t="s">
        <v>541</v>
      </c>
      <c r="L44" s="429">
        <v>3</v>
      </c>
      <c r="M44" s="428"/>
      <c r="N44" s="304" t="str">
        <f t="shared" si="0"/>
        <v>INCLUDED</v>
      </c>
      <c r="O44" s="506">
        <f t="shared" si="2"/>
        <v>0</v>
      </c>
      <c r="P44" s="506">
        <f t="shared" si="3"/>
        <v>0</v>
      </c>
      <c r="Q44" s="506">
        <f>Discount!$H$36</f>
        <v>0</v>
      </c>
      <c r="R44" s="507">
        <f t="shared" si="4"/>
        <v>0</v>
      </c>
      <c r="S44" s="507">
        <f t="shared" si="5"/>
        <v>0</v>
      </c>
      <c r="T44" s="508">
        <f t="shared" si="1"/>
        <v>0</v>
      </c>
    </row>
    <row r="45" spans="1:20">
      <c r="A45" s="505">
        <v>28</v>
      </c>
      <c r="B45" s="429">
        <v>7000031190</v>
      </c>
      <c r="C45" s="429">
        <v>280</v>
      </c>
      <c r="D45" s="429" t="s">
        <v>520</v>
      </c>
      <c r="E45" s="429">
        <v>1000031943</v>
      </c>
      <c r="F45" s="429">
        <v>85446020</v>
      </c>
      <c r="G45" s="429"/>
      <c r="H45" s="429">
        <v>18</v>
      </c>
      <c r="I45" s="302"/>
      <c r="J45" s="429" t="s">
        <v>531</v>
      </c>
      <c r="K45" s="429" t="s">
        <v>541</v>
      </c>
      <c r="L45" s="429">
        <v>2.5</v>
      </c>
      <c r="M45" s="428"/>
      <c r="N45" s="304" t="str">
        <f t="shared" si="0"/>
        <v>INCLUDED</v>
      </c>
      <c r="O45" s="506">
        <f t="shared" si="2"/>
        <v>0</v>
      </c>
      <c r="P45" s="506">
        <f t="shared" si="3"/>
        <v>0</v>
      </c>
      <c r="Q45" s="506">
        <f>Discount!$H$36</f>
        <v>0</v>
      </c>
      <c r="R45" s="507">
        <f t="shared" si="4"/>
        <v>0</v>
      </c>
      <c r="S45" s="507">
        <f t="shared" si="5"/>
        <v>0</v>
      </c>
      <c r="T45" s="508">
        <f t="shared" si="1"/>
        <v>0</v>
      </c>
    </row>
    <row r="46" spans="1:20">
      <c r="A46" s="509">
        <v>29</v>
      </c>
      <c r="B46" s="429">
        <v>7000031190</v>
      </c>
      <c r="C46" s="429">
        <v>290</v>
      </c>
      <c r="D46" s="429" t="s">
        <v>520</v>
      </c>
      <c r="E46" s="429">
        <v>1000031964</v>
      </c>
      <c r="F46" s="429">
        <v>85446020</v>
      </c>
      <c r="G46" s="429"/>
      <c r="H46" s="429">
        <v>18</v>
      </c>
      <c r="I46" s="302"/>
      <c r="J46" s="429" t="s">
        <v>570</v>
      </c>
      <c r="K46" s="429" t="s">
        <v>541</v>
      </c>
      <c r="L46" s="429">
        <v>5</v>
      </c>
      <c r="M46" s="428"/>
      <c r="N46" s="304" t="str">
        <f t="shared" si="0"/>
        <v>INCLUDED</v>
      </c>
      <c r="O46" s="506">
        <f t="shared" si="2"/>
        <v>0</v>
      </c>
      <c r="P46" s="506">
        <f t="shared" si="3"/>
        <v>0</v>
      </c>
      <c r="Q46" s="506">
        <f>Discount!$H$36</f>
        <v>0</v>
      </c>
      <c r="R46" s="507">
        <f t="shared" si="4"/>
        <v>0</v>
      </c>
      <c r="S46" s="507">
        <f t="shared" si="5"/>
        <v>0</v>
      </c>
      <c r="T46" s="508">
        <f t="shared" si="1"/>
        <v>0</v>
      </c>
    </row>
    <row r="47" spans="1:20">
      <c r="A47" s="505">
        <v>30</v>
      </c>
      <c r="B47" s="429">
        <v>7000031190</v>
      </c>
      <c r="C47" s="429">
        <v>300</v>
      </c>
      <c r="D47" s="429" t="s">
        <v>520</v>
      </c>
      <c r="E47" s="429">
        <v>1000031987</v>
      </c>
      <c r="F47" s="429">
        <v>85446020</v>
      </c>
      <c r="G47" s="429"/>
      <c r="H47" s="429">
        <v>18</v>
      </c>
      <c r="I47" s="302"/>
      <c r="J47" s="429" t="s">
        <v>532</v>
      </c>
      <c r="K47" s="429" t="s">
        <v>541</v>
      </c>
      <c r="L47" s="429">
        <v>7</v>
      </c>
      <c r="M47" s="428"/>
      <c r="N47" s="304" t="str">
        <f t="shared" si="0"/>
        <v>INCLUDED</v>
      </c>
      <c r="O47" s="506">
        <f t="shared" si="2"/>
        <v>0</v>
      </c>
      <c r="P47" s="506">
        <f t="shared" si="3"/>
        <v>0</v>
      </c>
      <c r="Q47" s="506">
        <f>Discount!$H$36</f>
        <v>0</v>
      </c>
      <c r="R47" s="507">
        <f t="shared" si="4"/>
        <v>0</v>
      </c>
      <c r="S47" s="507">
        <f t="shared" si="5"/>
        <v>0</v>
      </c>
      <c r="T47" s="508">
        <f t="shared" si="1"/>
        <v>0</v>
      </c>
    </row>
    <row r="48" spans="1:20">
      <c r="A48" s="505">
        <v>31</v>
      </c>
      <c r="B48" s="429">
        <v>7000031190</v>
      </c>
      <c r="C48" s="429">
        <v>310</v>
      </c>
      <c r="D48" s="429" t="s">
        <v>520</v>
      </c>
      <c r="E48" s="429">
        <v>1000031887</v>
      </c>
      <c r="F48" s="429">
        <v>85446020</v>
      </c>
      <c r="G48" s="429"/>
      <c r="H48" s="429">
        <v>18</v>
      </c>
      <c r="I48" s="302"/>
      <c r="J48" s="429" t="s">
        <v>533</v>
      </c>
      <c r="K48" s="429" t="s">
        <v>541</v>
      </c>
      <c r="L48" s="429">
        <v>3</v>
      </c>
      <c r="M48" s="428"/>
      <c r="N48" s="304" t="str">
        <f t="shared" si="0"/>
        <v>INCLUDED</v>
      </c>
      <c r="O48" s="506">
        <f t="shared" si="2"/>
        <v>0</v>
      </c>
      <c r="P48" s="506">
        <f t="shared" si="3"/>
        <v>0</v>
      </c>
      <c r="Q48" s="506">
        <f>Discount!$H$36</f>
        <v>0</v>
      </c>
      <c r="R48" s="507">
        <f t="shared" si="4"/>
        <v>0</v>
      </c>
      <c r="S48" s="507">
        <f t="shared" si="5"/>
        <v>0</v>
      </c>
      <c r="T48" s="508">
        <f t="shared" si="1"/>
        <v>0</v>
      </c>
    </row>
    <row r="49" spans="1:20">
      <c r="A49" s="509">
        <v>32</v>
      </c>
      <c r="B49" s="429">
        <v>7000031190</v>
      </c>
      <c r="C49" s="429">
        <v>320</v>
      </c>
      <c r="D49" s="429" t="s">
        <v>520</v>
      </c>
      <c r="E49" s="429">
        <v>1000056264</v>
      </c>
      <c r="F49" s="429">
        <v>85446020</v>
      </c>
      <c r="G49" s="429"/>
      <c r="H49" s="429">
        <v>18</v>
      </c>
      <c r="I49" s="302"/>
      <c r="J49" s="429" t="s">
        <v>534</v>
      </c>
      <c r="K49" s="429" t="s">
        <v>541</v>
      </c>
      <c r="L49" s="429">
        <v>4</v>
      </c>
      <c r="M49" s="428"/>
      <c r="N49" s="304" t="str">
        <f t="shared" si="0"/>
        <v>INCLUDED</v>
      </c>
      <c r="O49" s="506">
        <f t="shared" si="2"/>
        <v>0</v>
      </c>
      <c r="P49" s="506">
        <f t="shared" si="3"/>
        <v>0</v>
      </c>
      <c r="Q49" s="506">
        <f>Discount!$H$36</f>
        <v>0</v>
      </c>
      <c r="R49" s="507">
        <f t="shared" si="4"/>
        <v>0</v>
      </c>
      <c r="S49" s="507">
        <f t="shared" si="5"/>
        <v>0</v>
      </c>
      <c r="T49" s="508">
        <f t="shared" si="1"/>
        <v>0</v>
      </c>
    </row>
    <row r="50" spans="1:20">
      <c r="A50" s="505">
        <v>33</v>
      </c>
      <c r="B50" s="429">
        <v>7000031190</v>
      </c>
      <c r="C50" s="429">
        <v>330</v>
      </c>
      <c r="D50" s="429" t="s">
        <v>520</v>
      </c>
      <c r="E50" s="429">
        <v>1000056265</v>
      </c>
      <c r="F50" s="429">
        <v>85446020</v>
      </c>
      <c r="G50" s="429"/>
      <c r="H50" s="429">
        <v>18</v>
      </c>
      <c r="I50" s="302"/>
      <c r="J50" s="429" t="s">
        <v>535</v>
      </c>
      <c r="K50" s="429" t="s">
        <v>541</v>
      </c>
      <c r="L50" s="429">
        <v>2</v>
      </c>
      <c r="M50" s="428"/>
      <c r="N50" s="304" t="str">
        <f t="shared" si="0"/>
        <v>INCLUDED</v>
      </c>
      <c r="O50" s="506">
        <f t="shared" si="2"/>
        <v>0</v>
      </c>
      <c r="P50" s="506">
        <f t="shared" si="3"/>
        <v>0</v>
      </c>
      <c r="Q50" s="506">
        <f>Discount!$H$36</f>
        <v>0</v>
      </c>
      <c r="R50" s="507">
        <f t="shared" si="4"/>
        <v>0</v>
      </c>
      <c r="S50" s="507">
        <f t="shared" si="5"/>
        <v>0</v>
      </c>
      <c r="T50" s="508">
        <f t="shared" si="1"/>
        <v>0</v>
      </c>
    </row>
    <row r="51" spans="1:20">
      <c r="A51" s="505">
        <v>34</v>
      </c>
      <c r="B51" s="429">
        <v>7000031190</v>
      </c>
      <c r="C51" s="429">
        <v>340</v>
      </c>
      <c r="D51" s="429" t="s">
        <v>520</v>
      </c>
      <c r="E51" s="429">
        <v>1000032050</v>
      </c>
      <c r="F51" s="429">
        <v>85446020</v>
      </c>
      <c r="G51" s="429"/>
      <c r="H51" s="429">
        <v>18</v>
      </c>
      <c r="I51" s="302"/>
      <c r="J51" s="429" t="s">
        <v>536</v>
      </c>
      <c r="K51" s="429" t="s">
        <v>541</v>
      </c>
      <c r="L51" s="429">
        <v>1</v>
      </c>
      <c r="M51" s="428"/>
      <c r="N51" s="304" t="str">
        <f t="shared" si="0"/>
        <v>INCLUDED</v>
      </c>
      <c r="O51" s="506">
        <f t="shared" si="2"/>
        <v>0</v>
      </c>
      <c r="P51" s="506">
        <f t="shared" si="3"/>
        <v>0</v>
      </c>
      <c r="Q51" s="506">
        <f>Discount!$H$36</f>
        <v>0</v>
      </c>
      <c r="R51" s="507">
        <f t="shared" si="4"/>
        <v>0</v>
      </c>
      <c r="S51" s="507">
        <f t="shared" si="5"/>
        <v>0</v>
      </c>
      <c r="T51" s="508">
        <f t="shared" si="1"/>
        <v>0</v>
      </c>
    </row>
    <row r="52" spans="1:20" ht="31.5">
      <c r="A52" s="509">
        <v>35</v>
      </c>
      <c r="B52" s="429">
        <v>7000031190</v>
      </c>
      <c r="C52" s="429">
        <v>350</v>
      </c>
      <c r="D52" s="429" t="s">
        <v>521</v>
      </c>
      <c r="E52" s="429">
        <v>1000012069</v>
      </c>
      <c r="F52" s="429">
        <v>84248990</v>
      </c>
      <c r="G52" s="429"/>
      <c r="H52" s="429">
        <v>18</v>
      </c>
      <c r="I52" s="302"/>
      <c r="J52" s="429" t="s">
        <v>571</v>
      </c>
      <c r="K52" s="429" t="s">
        <v>464</v>
      </c>
      <c r="L52" s="429">
        <v>1</v>
      </c>
      <c r="M52" s="428"/>
      <c r="N52" s="304" t="str">
        <f t="shared" si="0"/>
        <v>INCLUDED</v>
      </c>
      <c r="O52" s="506">
        <f t="shared" si="2"/>
        <v>0</v>
      </c>
      <c r="P52" s="506">
        <f t="shared" si="3"/>
        <v>0</v>
      </c>
      <c r="Q52" s="506">
        <f>Discount!$H$36</f>
        <v>0</v>
      </c>
      <c r="R52" s="507">
        <f t="shared" si="4"/>
        <v>0</v>
      </c>
      <c r="S52" s="507">
        <f t="shared" si="5"/>
        <v>0</v>
      </c>
      <c r="T52" s="508">
        <f t="shared" si="1"/>
        <v>0</v>
      </c>
    </row>
    <row r="53" spans="1:20">
      <c r="A53" s="505">
        <v>36</v>
      </c>
      <c r="B53" s="429">
        <v>7000031190</v>
      </c>
      <c r="C53" s="429">
        <v>360</v>
      </c>
      <c r="D53" s="429" t="s">
        <v>522</v>
      </c>
      <c r="E53" s="429">
        <v>1000038385</v>
      </c>
      <c r="F53" s="429">
        <v>94059900</v>
      </c>
      <c r="G53" s="429"/>
      <c r="H53" s="429">
        <v>18</v>
      </c>
      <c r="I53" s="302"/>
      <c r="J53" s="429" t="s">
        <v>572</v>
      </c>
      <c r="K53" s="429" t="s">
        <v>540</v>
      </c>
      <c r="L53" s="429">
        <v>2</v>
      </c>
      <c r="M53" s="428"/>
      <c r="N53" s="304" t="str">
        <f t="shared" si="0"/>
        <v>INCLUDED</v>
      </c>
      <c r="O53" s="506">
        <f t="shared" si="2"/>
        <v>0</v>
      </c>
      <c r="P53" s="506">
        <f t="shared" si="3"/>
        <v>0</v>
      </c>
      <c r="Q53" s="506">
        <f>Discount!$H$36</f>
        <v>0</v>
      </c>
      <c r="R53" s="507">
        <f t="shared" si="4"/>
        <v>0</v>
      </c>
      <c r="S53" s="507">
        <f t="shared" si="5"/>
        <v>0</v>
      </c>
      <c r="T53" s="508">
        <f t="shared" si="1"/>
        <v>0</v>
      </c>
    </row>
    <row r="54" spans="1:20">
      <c r="A54" s="505">
        <v>37</v>
      </c>
      <c r="B54" s="429">
        <v>7000031190</v>
      </c>
      <c r="C54" s="429">
        <v>370</v>
      </c>
      <c r="D54" s="429" t="s">
        <v>522</v>
      </c>
      <c r="E54" s="429">
        <v>1000038387</v>
      </c>
      <c r="F54" s="429">
        <v>94051090</v>
      </c>
      <c r="G54" s="429"/>
      <c r="H54" s="429">
        <v>18</v>
      </c>
      <c r="I54" s="302"/>
      <c r="J54" s="429" t="s">
        <v>573</v>
      </c>
      <c r="K54" s="429" t="s">
        <v>540</v>
      </c>
      <c r="L54" s="429">
        <v>10</v>
      </c>
      <c r="M54" s="428"/>
      <c r="N54" s="304" t="str">
        <f t="shared" si="0"/>
        <v>INCLUDED</v>
      </c>
      <c r="O54" s="506">
        <f t="shared" si="2"/>
        <v>0</v>
      </c>
      <c r="P54" s="506">
        <f t="shared" si="3"/>
        <v>0</v>
      </c>
      <c r="Q54" s="506">
        <f>Discount!$H$36</f>
        <v>0</v>
      </c>
      <c r="R54" s="507">
        <f t="shared" si="4"/>
        <v>0</v>
      </c>
      <c r="S54" s="507">
        <f t="shared" si="5"/>
        <v>0</v>
      </c>
      <c r="T54" s="508">
        <f t="shared" si="1"/>
        <v>0</v>
      </c>
    </row>
    <row r="55" spans="1:20">
      <c r="A55" s="509">
        <v>38</v>
      </c>
      <c r="B55" s="429">
        <v>7000031190</v>
      </c>
      <c r="C55" s="429">
        <v>380</v>
      </c>
      <c r="D55" s="429" t="s">
        <v>522</v>
      </c>
      <c r="E55" s="429">
        <v>1000038325</v>
      </c>
      <c r="F55" s="429">
        <v>94059900</v>
      </c>
      <c r="G55" s="429"/>
      <c r="H55" s="429">
        <v>18</v>
      </c>
      <c r="I55" s="302"/>
      <c r="J55" s="429" t="s">
        <v>574</v>
      </c>
      <c r="K55" s="429" t="s">
        <v>540</v>
      </c>
      <c r="L55" s="429">
        <v>5</v>
      </c>
      <c r="M55" s="428"/>
      <c r="N55" s="304" t="str">
        <f t="shared" si="0"/>
        <v>INCLUDED</v>
      </c>
      <c r="O55" s="506">
        <f t="shared" si="2"/>
        <v>0</v>
      </c>
      <c r="P55" s="506">
        <f>IF( I55="",H55*(IF(N55="Included",0,N55))/100,I55*(IF(N55="Included",0,N55)))</f>
        <v>0</v>
      </c>
      <c r="Q55" s="506">
        <f>Discount!$H$36</f>
        <v>0</v>
      </c>
      <c r="R55" s="507">
        <f t="shared" si="4"/>
        <v>0</v>
      </c>
      <c r="S55" s="507">
        <f t="shared" si="5"/>
        <v>0</v>
      </c>
      <c r="T55" s="508">
        <f t="shared" si="1"/>
        <v>0</v>
      </c>
    </row>
    <row r="56" spans="1:20">
      <c r="A56" s="505">
        <v>39</v>
      </c>
      <c r="B56" s="429">
        <v>7000031190</v>
      </c>
      <c r="C56" s="429">
        <v>390</v>
      </c>
      <c r="D56" s="429" t="s">
        <v>522</v>
      </c>
      <c r="E56" s="429">
        <v>1000001894</v>
      </c>
      <c r="F56" s="429">
        <v>94059900</v>
      </c>
      <c r="G56" s="429"/>
      <c r="H56" s="429">
        <v>18</v>
      </c>
      <c r="I56" s="302"/>
      <c r="J56" s="429" t="s">
        <v>546</v>
      </c>
      <c r="K56" s="429" t="s">
        <v>540</v>
      </c>
      <c r="L56" s="429">
        <v>1</v>
      </c>
      <c r="M56" s="428"/>
      <c r="N56" s="304" t="str">
        <f t="shared" si="0"/>
        <v>INCLUDED</v>
      </c>
      <c r="O56" s="506">
        <f t="shared" si="2"/>
        <v>0</v>
      </c>
      <c r="P56" s="506">
        <f>IF( I56="",H56*(IF(N56="Included",0,N56))/100,I56*(IF(N56="Included",0,N56)))</f>
        <v>0</v>
      </c>
      <c r="Q56" s="506">
        <f>Discount!$H$36</f>
        <v>0</v>
      </c>
      <c r="R56" s="507">
        <f t="shared" si="4"/>
        <v>0</v>
      </c>
      <c r="S56" s="507">
        <f t="shared" si="5"/>
        <v>0</v>
      </c>
      <c r="T56" s="508">
        <f t="shared" si="1"/>
        <v>0</v>
      </c>
    </row>
    <row r="57" spans="1:20">
      <c r="A57" s="505">
        <v>40</v>
      </c>
      <c r="B57" s="429">
        <v>7000031190</v>
      </c>
      <c r="C57" s="429">
        <v>400</v>
      </c>
      <c r="D57" s="429" t="s">
        <v>522</v>
      </c>
      <c r="E57" s="429">
        <v>1000004952</v>
      </c>
      <c r="F57" s="429">
        <v>94059900</v>
      </c>
      <c r="G57" s="429"/>
      <c r="H57" s="429">
        <v>18</v>
      </c>
      <c r="I57" s="302"/>
      <c r="J57" s="429" t="s">
        <v>507</v>
      </c>
      <c r="K57" s="429" t="s">
        <v>540</v>
      </c>
      <c r="L57" s="429">
        <v>1</v>
      </c>
      <c r="M57" s="428"/>
      <c r="N57" s="304" t="str">
        <f t="shared" si="0"/>
        <v>INCLUDED</v>
      </c>
      <c r="O57" s="506">
        <f t="shared" si="2"/>
        <v>0</v>
      </c>
      <c r="P57" s="506">
        <f t="shared" si="3"/>
        <v>0</v>
      </c>
      <c r="Q57" s="506">
        <f>Discount!$H$36</f>
        <v>0</v>
      </c>
      <c r="R57" s="507">
        <f t="shared" si="4"/>
        <v>0</v>
      </c>
      <c r="S57" s="507">
        <f t="shared" si="5"/>
        <v>0</v>
      </c>
      <c r="T57" s="508">
        <f t="shared" si="1"/>
        <v>0</v>
      </c>
    </row>
    <row r="58" spans="1:20">
      <c r="A58" s="509">
        <v>41</v>
      </c>
      <c r="B58" s="429">
        <v>7000031190</v>
      </c>
      <c r="C58" s="429">
        <v>410</v>
      </c>
      <c r="D58" s="429" t="s">
        <v>522</v>
      </c>
      <c r="E58" s="429">
        <v>1000014547</v>
      </c>
      <c r="F58" s="429">
        <v>85371000</v>
      </c>
      <c r="G58" s="429"/>
      <c r="H58" s="429">
        <v>18</v>
      </c>
      <c r="I58" s="302"/>
      <c r="J58" s="429" t="s">
        <v>471</v>
      </c>
      <c r="K58" s="429" t="s">
        <v>540</v>
      </c>
      <c r="L58" s="429">
        <v>1</v>
      </c>
      <c r="M58" s="428"/>
      <c r="N58" s="304" t="str">
        <f t="shared" ref="N58:N72" si="6">IF(M58=0, "INCLUDED", IF(ISERROR(M58*L58), M58, M58*L58))</f>
        <v>INCLUDED</v>
      </c>
      <c r="O58" s="506">
        <f t="shared" ref="O58:O71" si="7">IF(N58="Included",0,N58)</f>
        <v>0</v>
      </c>
      <c r="P58" s="506">
        <f t="shared" ref="P58:P71" si="8">IF( I58="",H58*(IF(N58="Included",0,N58))/100,I58*(IF(N58="Included",0,N58)))</f>
        <v>0</v>
      </c>
      <c r="Q58" s="506">
        <f>Discount!$H$36</f>
        <v>0</v>
      </c>
      <c r="R58" s="507">
        <f t="shared" ref="R58:R71" si="9">Q58*O58</f>
        <v>0</v>
      </c>
      <c r="S58" s="507">
        <f t="shared" ref="S58:S71" si="10">IF(I58="",H58*R58/100,I58*R58)</f>
        <v>0</v>
      </c>
      <c r="T58" s="508">
        <f t="shared" si="1"/>
        <v>0</v>
      </c>
    </row>
    <row r="59" spans="1:20">
      <c r="A59" s="505">
        <v>42</v>
      </c>
      <c r="B59" s="429">
        <v>7000031190</v>
      </c>
      <c r="C59" s="429">
        <v>420</v>
      </c>
      <c r="D59" s="429" t="s">
        <v>523</v>
      </c>
      <c r="E59" s="429">
        <v>1000019918</v>
      </c>
      <c r="F59" s="429">
        <v>85359090</v>
      </c>
      <c r="G59" s="429"/>
      <c r="H59" s="429">
        <v>18</v>
      </c>
      <c r="I59" s="302"/>
      <c r="J59" s="429" t="s">
        <v>473</v>
      </c>
      <c r="K59" s="429" t="s">
        <v>542</v>
      </c>
      <c r="L59" s="429">
        <v>1</v>
      </c>
      <c r="M59" s="428"/>
      <c r="N59" s="304" t="str">
        <f t="shared" si="6"/>
        <v>INCLUDED</v>
      </c>
      <c r="O59" s="506">
        <f t="shared" si="7"/>
        <v>0</v>
      </c>
      <c r="P59" s="506">
        <f t="shared" si="8"/>
        <v>0</v>
      </c>
      <c r="Q59" s="506">
        <f>Discount!$H$36</f>
        <v>0</v>
      </c>
      <c r="R59" s="507">
        <f t="shared" si="9"/>
        <v>0</v>
      </c>
      <c r="S59" s="507">
        <f t="shared" si="10"/>
        <v>0</v>
      </c>
      <c r="T59" s="508">
        <f t="shared" si="1"/>
        <v>0</v>
      </c>
    </row>
    <row r="60" spans="1:20">
      <c r="A60" s="505">
        <v>43</v>
      </c>
      <c r="B60" s="429">
        <v>7000031190</v>
      </c>
      <c r="C60" s="429">
        <v>430</v>
      </c>
      <c r="D60" s="429" t="s">
        <v>523</v>
      </c>
      <c r="E60" s="429">
        <v>1000019919</v>
      </c>
      <c r="F60" s="429">
        <v>85353090</v>
      </c>
      <c r="G60" s="429"/>
      <c r="H60" s="429">
        <v>18</v>
      </c>
      <c r="I60" s="302"/>
      <c r="J60" s="429" t="s">
        <v>474</v>
      </c>
      <c r="K60" s="429" t="s">
        <v>542</v>
      </c>
      <c r="L60" s="429">
        <v>1</v>
      </c>
      <c r="M60" s="428"/>
      <c r="N60" s="304" t="str">
        <f t="shared" si="6"/>
        <v>INCLUDED</v>
      </c>
      <c r="O60" s="506">
        <f t="shared" si="7"/>
        <v>0</v>
      </c>
      <c r="P60" s="506">
        <f t="shared" si="8"/>
        <v>0</v>
      </c>
      <c r="Q60" s="506">
        <f>Discount!$H$36</f>
        <v>0</v>
      </c>
      <c r="R60" s="507">
        <f t="shared" si="9"/>
        <v>0</v>
      </c>
      <c r="S60" s="507">
        <f t="shared" si="10"/>
        <v>0</v>
      </c>
      <c r="T60" s="508">
        <f t="shared" si="1"/>
        <v>0</v>
      </c>
    </row>
    <row r="61" spans="1:20">
      <c r="A61" s="509">
        <v>44</v>
      </c>
      <c r="B61" s="429">
        <v>7000031190</v>
      </c>
      <c r="C61" s="429">
        <v>440</v>
      </c>
      <c r="D61" s="429" t="s">
        <v>523</v>
      </c>
      <c r="E61" s="429">
        <v>1000024186</v>
      </c>
      <c r="F61" s="429">
        <v>85354010</v>
      </c>
      <c r="G61" s="429"/>
      <c r="H61" s="429">
        <v>18</v>
      </c>
      <c r="I61" s="302"/>
      <c r="J61" s="429" t="s">
        <v>537</v>
      </c>
      <c r="K61" s="429" t="s">
        <v>542</v>
      </c>
      <c r="L61" s="429">
        <v>1</v>
      </c>
      <c r="M61" s="428"/>
      <c r="N61" s="304" t="str">
        <f t="shared" si="6"/>
        <v>INCLUDED</v>
      </c>
      <c r="O61" s="506">
        <f t="shared" si="7"/>
        <v>0</v>
      </c>
      <c r="P61" s="506">
        <f t="shared" si="8"/>
        <v>0</v>
      </c>
      <c r="Q61" s="506">
        <f>Discount!$H$36</f>
        <v>0</v>
      </c>
      <c r="R61" s="507">
        <f t="shared" si="9"/>
        <v>0</v>
      </c>
      <c r="S61" s="507">
        <f t="shared" si="10"/>
        <v>0</v>
      </c>
      <c r="T61" s="508">
        <f t="shared" si="1"/>
        <v>0</v>
      </c>
    </row>
    <row r="62" spans="1:20">
      <c r="A62" s="505">
        <v>45</v>
      </c>
      <c r="B62" s="429">
        <v>7000031190</v>
      </c>
      <c r="C62" s="429">
        <v>450</v>
      </c>
      <c r="D62" s="429" t="s">
        <v>523</v>
      </c>
      <c r="E62" s="429">
        <v>1000025941</v>
      </c>
      <c r="F62" s="429">
        <v>85389000</v>
      </c>
      <c r="G62" s="429"/>
      <c r="H62" s="429">
        <v>18</v>
      </c>
      <c r="I62" s="302"/>
      <c r="J62" s="429" t="s">
        <v>475</v>
      </c>
      <c r="K62" s="429" t="s">
        <v>464</v>
      </c>
      <c r="L62" s="429">
        <v>1</v>
      </c>
      <c r="M62" s="428"/>
      <c r="N62" s="304" t="str">
        <f t="shared" si="6"/>
        <v>INCLUDED</v>
      </c>
      <c r="O62" s="506">
        <f t="shared" si="7"/>
        <v>0</v>
      </c>
      <c r="P62" s="506">
        <f t="shared" si="8"/>
        <v>0</v>
      </c>
      <c r="Q62" s="506">
        <f>Discount!$H$36</f>
        <v>0</v>
      </c>
      <c r="R62" s="507">
        <f t="shared" si="9"/>
        <v>0</v>
      </c>
      <c r="S62" s="507">
        <f t="shared" si="10"/>
        <v>0</v>
      </c>
      <c r="T62" s="508">
        <f t="shared" si="1"/>
        <v>0</v>
      </c>
    </row>
    <row r="63" spans="1:20">
      <c r="A63" s="505">
        <v>46</v>
      </c>
      <c r="B63" s="429">
        <v>7000031190</v>
      </c>
      <c r="C63" s="429">
        <v>460</v>
      </c>
      <c r="D63" s="429" t="s">
        <v>523</v>
      </c>
      <c r="E63" s="429">
        <v>1000025935</v>
      </c>
      <c r="F63" s="429">
        <v>85389000</v>
      </c>
      <c r="G63" s="429"/>
      <c r="H63" s="429">
        <v>18</v>
      </c>
      <c r="I63" s="302"/>
      <c r="J63" s="429" t="s">
        <v>503</v>
      </c>
      <c r="K63" s="429" t="s">
        <v>464</v>
      </c>
      <c r="L63" s="429">
        <v>1</v>
      </c>
      <c r="M63" s="428"/>
      <c r="N63" s="304" t="str">
        <f t="shared" si="6"/>
        <v>INCLUDED</v>
      </c>
      <c r="O63" s="506">
        <f t="shared" si="7"/>
        <v>0</v>
      </c>
      <c r="P63" s="506">
        <f t="shared" si="8"/>
        <v>0</v>
      </c>
      <c r="Q63" s="506">
        <f>Discount!$H$36</f>
        <v>0</v>
      </c>
      <c r="R63" s="507">
        <f t="shared" si="9"/>
        <v>0</v>
      </c>
      <c r="S63" s="507">
        <f t="shared" si="10"/>
        <v>0</v>
      </c>
      <c r="T63" s="508">
        <f t="shared" si="1"/>
        <v>0</v>
      </c>
    </row>
    <row r="64" spans="1:20">
      <c r="A64" s="509">
        <v>47</v>
      </c>
      <c r="B64" s="429">
        <v>7000031190</v>
      </c>
      <c r="C64" s="429">
        <v>470</v>
      </c>
      <c r="D64" s="429" t="s">
        <v>523</v>
      </c>
      <c r="E64" s="429">
        <v>1000025936</v>
      </c>
      <c r="F64" s="429">
        <v>85353090</v>
      </c>
      <c r="G64" s="429"/>
      <c r="H64" s="429">
        <v>18</v>
      </c>
      <c r="I64" s="302"/>
      <c r="J64" s="429" t="s">
        <v>504</v>
      </c>
      <c r="K64" s="429" t="s">
        <v>464</v>
      </c>
      <c r="L64" s="429">
        <v>1</v>
      </c>
      <c r="M64" s="428"/>
      <c r="N64" s="304" t="str">
        <f t="shared" si="6"/>
        <v>INCLUDED</v>
      </c>
      <c r="O64" s="506">
        <f t="shared" si="7"/>
        <v>0</v>
      </c>
      <c r="P64" s="506">
        <f t="shared" si="8"/>
        <v>0</v>
      </c>
      <c r="Q64" s="506">
        <f>Discount!$H$36</f>
        <v>0</v>
      </c>
      <c r="R64" s="507">
        <f t="shared" si="9"/>
        <v>0</v>
      </c>
      <c r="S64" s="507">
        <f t="shared" si="10"/>
        <v>0</v>
      </c>
      <c r="T64" s="508">
        <f t="shared" si="1"/>
        <v>0</v>
      </c>
    </row>
    <row r="65" spans="1:20">
      <c r="A65" s="505">
        <v>48</v>
      </c>
      <c r="B65" s="429">
        <v>7000031190</v>
      </c>
      <c r="C65" s="429">
        <v>480</v>
      </c>
      <c r="D65" s="429" t="s">
        <v>523</v>
      </c>
      <c r="E65" s="429">
        <v>1000025930</v>
      </c>
      <c r="F65" s="429">
        <v>85354010</v>
      </c>
      <c r="G65" s="429"/>
      <c r="H65" s="429">
        <v>18</v>
      </c>
      <c r="I65" s="302"/>
      <c r="J65" s="429" t="s">
        <v>538</v>
      </c>
      <c r="K65" s="429" t="s">
        <v>464</v>
      </c>
      <c r="L65" s="429">
        <v>1</v>
      </c>
      <c r="M65" s="428"/>
      <c r="N65" s="304" t="str">
        <f t="shared" si="6"/>
        <v>INCLUDED</v>
      </c>
      <c r="O65" s="506">
        <f t="shared" si="7"/>
        <v>0</v>
      </c>
      <c r="P65" s="506">
        <f t="shared" si="8"/>
        <v>0</v>
      </c>
      <c r="Q65" s="506">
        <f>Discount!$H$36</f>
        <v>0</v>
      </c>
      <c r="R65" s="507">
        <f t="shared" si="9"/>
        <v>0</v>
      </c>
      <c r="S65" s="507">
        <f t="shared" si="10"/>
        <v>0</v>
      </c>
      <c r="T65" s="508">
        <f t="shared" si="1"/>
        <v>0</v>
      </c>
    </row>
    <row r="66" spans="1:20">
      <c r="A66" s="505">
        <v>49</v>
      </c>
      <c r="B66" s="429">
        <v>7000031190</v>
      </c>
      <c r="C66" s="429">
        <v>490</v>
      </c>
      <c r="D66" s="429" t="s">
        <v>523</v>
      </c>
      <c r="E66" s="429">
        <v>1000025933</v>
      </c>
      <c r="F66" s="429">
        <v>85389000</v>
      </c>
      <c r="G66" s="429"/>
      <c r="H66" s="429">
        <v>18</v>
      </c>
      <c r="I66" s="302"/>
      <c r="J66" s="429" t="s">
        <v>505</v>
      </c>
      <c r="K66" s="429" t="s">
        <v>464</v>
      </c>
      <c r="L66" s="429">
        <v>1</v>
      </c>
      <c r="M66" s="428"/>
      <c r="N66" s="304" t="str">
        <f t="shared" si="6"/>
        <v>INCLUDED</v>
      </c>
      <c r="O66" s="506">
        <f t="shared" si="7"/>
        <v>0</v>
      </c>
      <c r="P66" s="506">
        <f t="shared" si="8"/>
        <v>0</v>
      </c>
      <c r="Q66" s="506">
        <f>Discount!$H$36</f>
        <v>0</v>
      </c>
      <c r="R66" s="507">
        <f t="shared" si="9"/>
        <v>0</v>
      </c>
      <c r="S66" s="507">
        <f t="shared" si="10"/>
        <v>0</v>
      </c>
      <c r="T66" s="508">
        <f t="shared" si="1"/>
        <v>0</v>
      </c>
    </row>
    <row r="67" spans="1:20">
      <c r="A67" s="509">
        <v>50</v>
      </c>
      <c r="B67" s="429">
        <v>7000031190</v>
      </c>
      <c r="C67" s="429">
        <v>500</v>
      </c>
      <c r="D67" s="429" t="s">
        <v>523</v>
      </c>
      <c r="E67" s="429">
        <v>1000019912</v>
      </c>
      <c r="F67" s="429">
        <v>85371000</v>
      </c>
      <c r="G67" s="429"/>
      <c r="H67" s="429">
        <v>18</v>
      </c>
      <c r="I67" s="302"/>
      <c r="J67" s="429" t="s">
        <v>476</v>
      </c>
      <c r="K67" s="429" t="s">
        <v>542</v>
      </c>
      <c r="L67" s="429">
        <v>1</v>
      </c>
      <c r="M67" s="428"/>
      <c r="N67" s="304" t="str">
        <f t="shared" si="6"/>
        <v>INCLUDED</v>
      </c>
      <c r="O67" s="506">
        <f t="shared" si="7"/>
        <v>0</v>
      </c>
      <c r="P67" s="506">
        <f t="shared" si="8"/>
        <v>0</v>
      </c>
      <c r="Q67" s="506">
        <f>Discount!$H$36</f>
        <v>0</v>
      </c>
      <c r="R67" s="507">
        <f t="shared" si="9"/>
        <v>0</v>
      </c>
      <c r="S67" s="507">
        <f t="shared" si="10"/>
        <v>0</v>
      </c>
      <c r="T67" s="508">
        <f t="shared" si="1"/>
        <v>0</v>
      </c>
    </row>
    <row r="68" spans="1:20">
      <c r="A68" s="505">
        <v>51</v>
      </c>
      <c r="B68" s="429">
        <v>7000031190</v>
      </c>
      <c r="C68" s="429">
        <v>510</v>
      </c>
      <c r="D68" s="429" t="s">
        <v>523</v>
      </c>
      <c r="E68" s="429">
        <v>1000019927</v>
      </c>
      <c r="F68" s="429">
        <v>85389000</v>
      </c>
      <c r="G68" s="429"/>
      <c r="H68" s="429">
        <v>18</v>
      </c>
      <c r="I68" s="302"/>
      <c r="J68" s="429" t="s">
        <v>575</v>
      </c>
      <c r="K68" s="429" t="s">
        <v>542</v>
      </c>
      <c r="L68" s="429">
        <v>1</v>
      </c>
      <c r="M68" s="428"/>
      <c r="N68" s="304" t="str">
        <f t="shared" si="6"/>
        <v>INCLUDED</v>
      </c>
      <c r="O68" s="506">
        <f t="shared" si="7"/>
        <v>0</v>
      </c>
      <c r="P68" s="506">
        <f t="shared" si="8"/>
        <v>0</v>
      </c>
      <c r="Q68" s="506">
        <f>Discount!$H$36</f>
        <v>0</v>
      </c>
      <c r="R68" s="507">
        <f t="shared" si="9"/>
        <v>0</v>
      </c>
      <c r="S68" s="507">
        <f t="shared" si="10"/>
        <v>0</v>
      </c>
      <c r="T68" s="508">
        <f t="shared" si="1"/>
        <v>0</v>
      </c>
    </row>
    <row r="69" spans="1:20">
      <c r="A69" s="505">
        <v>52</v>
      </c>
      <c r="B69" s="429">
        <v>7000031190</v>
      </c>
      <c r="C69" s="429">
        <v>520</v>
      </c>
      <c r="D69" s="429" t="s">
        <v>523</v>
      </c>
      <c r="E69" s="429">
        <v>1000019925</v>
      </c>
      <c r="F69" s="429">
        <v>84819090</v>
      </c>
      <c r="G69" s="429"/>
      <c r="H69" s="429">
        <v>18</v>
      </c>
      <c r="I69" s="302"/>
      <c r="J69" s="429" t="s">
        <v>539</v>
      </c>
      <c r="K69" s="429" t="s">
        <v>542</v>
      </c>
      <c r="L69" s="429">
        <v>1</v>
      </c>
      <c r="M69" s="428"/>
      <c r="N69" s="304" t="str">
        <f t="shared" si="6"/>
        <v>INCLUDED</v>
      </c>
      <c r="O69" s="506">
        <f t="shared" si="7"/>
        <v>0</v>
      </c>
      <c r="P69" s="506">
        <f t="shared" si="8"/>
        <v>0</v>
      </c>
      <c r="Q69" s="506">
        <f>Discount!$H$36</f>
        <v>0</v>
      </c>
      <c r="R69" s="507">
        <f t="shared" si="9"/>
        <v>0</v>
      </c>
      <c r="S69" s="507">
        <f t="shared" si="10"/>
        <v>0</v>
      </c>
      <c r="T69" s="508">
        <f t="shared" si="1"/>
        <v>0</v>
      </c>
    </row>
    <row r="70" spans="1:20" ht="47.25">
      <c r="A70" s="509">
        <v>53</v>
      </c>
      <c r="B70" s="429">
        <v>7000031190</v>
      </c>
      <c r="C70" s="429">
        <v>530</v>
      </c>
      <c r="D70" s="429" t="s">
        <v>555</v>
      </c>
      <c r="E70" s="429">
        <v>1000015954</v>
      </c>
      <c r="F70" s="429">
        <v>73082011</v>
      </c>
      <c r="G70" s="429"/>
      <c r="H70" s="429">
        <v>18</v>
      </c>
      <c r="I70" s="302"/>
      <c r="J70" s="429" t="s">
        <v>477</v>
      </c>
      <c r="K70" s="429" t="s">
        <v>543</v>
      </c>
      <c r="L70" s="429">
        <v>25</v>
      </c>
      <c r="M70" s="428"/>
      <c r="N70" s="304" t="str">
        <f t="shared" si="6"/>
        <v>INCLUDED</v>
      </c>
      <c r="O70" s="506">
        <f t="shared" si="7"/>
        <v>0</v>
      </c>
      <c r="P70" s="506">
        <f t="shared" si="8"/>
        <v>0</v>
      </c>
      <c r="Q70" s="506">
        <f>Discount!$H$36</f>
        <v>0</v>
      </c>
      <c r="R70" s="507">
        <f t="shared" si="9"/>
        <v>0</v>
      </c>
      <c r="S70" s="507">
        <f t="shared" si="10"/>
        <v>0</v>
      </c>
      <c r="T70" s="508">
        <f t="shared" si="1"/>
        <v>0</v>
      </c>
    </row>
    <row r="71" spans="1:20" ht="31.5">
      <c r="A71" s="505">
        <v>54</v>
      </c>
      <c r="B71" s="429">
        <v>7000031190</v>
      </c>
      <c r="C71" s="429">
        <v>540</v>
      </c>
      <c r="D71" s="429" t="s">
        <v>555</v>
      </c>
      <c r="E71" s="429">
        <v>1000011713</v>
      </c>
      <c r="F71" s="429">
        <v>73082011</v>
      </c>
      <c r="G71" s="429"/>
      <c r="H71" s="429">
        <v>18</v>
      </c>
      <c r="I71" s="302"/>
      <c r="J71" s="429" t="s">
        <v>478</v>
      </c>
      <c r="K71" s="429" t="s">
        <v>543</v>
      </c>
      <c r="L71" s="429">
        <v>3</v>
      </c>
      <c r="M71" s="428"/>
      <c r="N71" s="304" t="str">
        <f t="shared" si="6"/>
        <v>INCLUDED</v>
      </c>
      <c r="O71" s="506">
        <f t="shared" si="7"/>
        <v>0</v>
      </c>
      <c r="P71" s="506">
        <f t="shared" si="8"/>
        <v>0</v>
      </c>
      <c r="Q71" s="506">
        <f>Discount!$H$36</f>
        <v>0</v>
      </c>
      <c r="R71" s="507">
        <f t="shared" si="9"/>
        <v>0</v>
      </c>
      <c r="S71" s="507">
        <f t="shared" si="10"/>
        <v>0</v>
      </c>
      <c r="T71" s="508">
        <f t="shared" si="1"/>
        <v>0</v>
      </c>
    </row>
    <row r="72" spans="1:20" ht="31.5">
      <c r="A72" s="505">
        <v>55</v>
      </c>
      <c r="B72" s="429">
        <v>7000031190</v>
      </c>
      <c r="C72" s="429">
        <v>550</v>
      </c>
      <c r="D72" s="429" t="s">
        <v>555</v>
      </c>
      <c r="E72" s="429">
        <v>1000012373</v>
      </c>
      <c r="F72" s="429">
        <v>73082011</v>
      </c>
      <c r="G72" s="429"/>
      <c r="H72" s="429">
        <v>18</v>
      </c>
      <c r="I72" s="302"/>
      <c r="J72" s="429" t="s">
        <v>479</v>
      </c>
      <c r="K72" s="429" t="s">
        <v>543</v>
      </c>
      <c r="L72" s="429">
        <v>4</v>
      </c>
      <c r="M72" s="428"/>
      <c r="N72" s="304" t="str">
        <f t="shared" si="6"/>
        <v>INCLUDED</v>
      </c>
      <c r="O72" s="506">
        <f t="shared" ref="O72" si="11">IF(N72="Included",0,N72)</f>
        <v>0</v>
      </c>
      <c r="P72" s="506">
        <f t="shared" ref="P72" si="12">IF( I72="",H72*(IF(N72="Included",0,N72))/100,I72*(IF(N72="Included",0,N72)))</f>
        <v>0</v>
      </c>
      <c r="Q72" s="506">
        <f>Discount!$H$36</f>
        <v>0</v>
      </c>
      <c r="R72" s="507">
        <f t="shared" ref="R72" si="13">Q72*O72</f>
        <v>0</v>
      </c>
      <c r="S72" s="507">
        <f t="shared" ref="S72" si="14">IF(I72="",H72*R72/100,I72*R72)</f>
        <v>0</v>
      </c>
      <c r="T72" s="508">
        <f t="shared" si="1"/>
        <v>0</v>
      </c>
    </row>
    <row r="73" spans="1:20" ht="34.5" customHeight="1">
      <c r="A73" s="805"/>
      <c r="B73" s="806"/>
      <c r="C73" s="806"/>
      <c r="D73" s="806"/>
      <c r="E73" s="806"/>
      <c r="F73" s="806"/>
      <c r="G73" s="806"/>
      <c r="H73" s="806"/>
      <c r="I73" s="806"/>
      <c r="J73" s="806"/>
      <c r="K73" s="806"/>
      <c r="L73" s="806"/>
      <c r="M73" s="806"/>
      <c r="N73" s="807"/>
      <c r="O73" s="506"/>
      <c r="P73" s="506"/>
      <c r="Q73" s="506"/>
      <c r="R73" s="507"/>
      <c r="S73" s="507"/>
      <c r="T73" s="508"/>
    </row>
    <row r="74" spans="1:20" ht="16.5" customHeight="1">
      <c r="A74" s="800" t="s">
        <v>451</v>
      </c>
      <c r="B74" s="800"/>
      <c r="C74" s="800"/>
      <c r="D74" s="800"/>
      <c r="E74" s="800"/>
      <c r="F74" s="800"/>
      <c r="G74" s="800"/>
      <c r="H74" s="800"/>
      <c r="I74" s="800"/>
      <c r="J74" s="800"/>
      <c r="K74" s="800"/>
      <c r="L74" s="800"/>
      <c r="M74" s="800"/>
      <c r="N74" s="510">
        <f>SUM(N18:N72)</f>
        <v>0</v>
      </c>
      <c r="O74" s="511"/>
      <c r="P74" s="512">
        <f>SUM(P18:P72)</f>
        <v>0</v>
      </c>
      <c r="Q74" s="513"/>
      <c r="R74" s="514">
        <f>SUM(R18:R72)</f>
        <v>0</v>
      </c>
      <c r="S74" s="515">
        <f>SUM(S18:S72)</f>
        <v>0</v>
      </c>
      <c r="T74" s="508">
        <f>SUM(T18:T72)</f>
        <v>0</v>
      </c>
    </row>
    <row r="75" spans="1:20" ht="16.5">
      <c r="A75" s="800" t="s">
        <v>255</v>
      </c>
      <c r="B75" s="800"/>
      <c r="C75" s="800"/>
      <c r="D75" s="800"/>
      <c r="E75" s="800"/>
      <c r="F75" s="800"/>
      <c r="G75" s="800"/>
      <c r="H75" s="800"/>
      <c r="I75" s="800"/>
      <c r="J75" s="800"/>
      <c r="K75" s="800"/>
      <c r="L75" s="800"/>
      <c r="M75" s="800"/>
      <c r="N75" s="510">
        <f>'Sch-7'!M18</f>
        <v>0</v>
      </c>
      <c r="Q75" s="516"/>
      <c r="R75" s="516"/>
      <c r="S75" s="516"/>
    </row>
    <row r="76" spans="1:20" ht="16.5">
      <c r="A76" s="800" t="s">
        <v>452</v>
      </c>
      <c r="B76" s="800"/>
      <c r="C76" s="800"/>
      <c r="D76" s="800"/>
      <c r="E76" s="800"/>
      <c r="F76" s="800"/>
      <c r="G76" s="800"/>
      <c r="H76" s="800"/>
      <c r="I76" s="800"/>
      <c r="J76" s="800"/>
      <c r="K76" s="800"/>
      <c r="L76" s="800"/>
      <c r="M76" s="800"/>
      <c r="N76" s="510">
        <f>N74+N75</f>
        <v>0</v>
      </c>
      <c r="Q76" s="516"/>
      <c r="R76" s="516"/>
      <c r="S76" s="516"/>
    </row>
    <row r="77" spans="1:20" ht="32.25" customHeight="1">
      <c r="B77" s="802" t="s">
        <v>292</v>
      </c>
      <c r="C77" s="802"/>
      <c r="D77" s="802"/>
      <c r="E77" s="802"/>
      <c r="F77" s="802"/>
      <c r="G77" s="802"/>
      <c r="H77" s="802"/>
      <c r="I77" s="802"/>
      <c r="J77" s="802"/>
      <c r="K77" s="802"/>
      <c r="L77" s="802"/>
      <c r="M77" s="802"/>
      <c r="N77" s="802"/>
      <c r="Q77" s="516"/>
      <c r="R77" s="516"/>
      <c r="S77" s="516"/>
    </row>
    <row r="78" spans="1:20">
      <c r="H78" s="475"/>
      <c r="O78" s="516"/>
      <c r="P78" s="516"/>
      <c r="Q78" s="516"/>
      <c r="R78" s="516"/>
      <c r="S78" s="516"/>
    </row>
    <row r="79" spans="1:20" ht="16.5">
      <c r="B79" s="475" t="s">
        <v>297</v>
      </c>
      <c r="C79" s="804" t="str">
        <f>'Names of Bidder'!C22&amp;" "&amp;'Names of Bidder'!D22&amp;" "&amp;'Names of Bidder'!E22</f>
        <v xml:space="preserve">  </v>
      </c>
      <c r="D79" s="801"/>
      <c r="H79" s="475"/>
      <c r="I79" s="517"/>
      <c r="J79" s="477" t="s">
        <v>299</v>
      </c>
      <c r="K79" s="803" t="str">
        <f>IF('Names of Bidder'!C19="","",'Names of Bidder'!C19)</f>
        <v/>
      </c>
      <c r="L79" s="803"/>
      <c r="M79" s="803"/>
      <c r="N79" s="803"/>
      <c r="O79" s="516"/>
      <c r="P79" s="516"/>
      <c r="Q79" s="516"/>
      <c r="R79" s="516"/>
      <c r="S79" s="516"/>
    </row>
    <row r="80" spans="1:20" ht="16.5">
      <c r="B80" s="475" t="s">
        <v>298</v>
      </c>
      <c r="C80" s="801" t="str">
        <f>IF('Names of Bidder'!C23="","",'Names of Bidder'!C23)</f>
        <v/>
      </c>
      <c r="D80" s="801"/>
      <c r="H80" s="475"/>
      <c r="I80" s="517"/>
      <c r="J80" s="477" t="s">
        <v>115</v>
      </c>
      <c r="K80" s="803" t="str">
        <f>IF('Names of Bidder'!C20="","",'Names of Bidder'!C20)</f>
        <v/>
      </c>
      <c r="L80" s="803"/>
      <c r="M80" s="803"/>
      <c r="N80" s="803"/>
      <c r="O80" s="516"/>
      <c r="P80" s="516"/>
      <c r="Q80" s="516"/>
      <c r="R80" s="516"/>
      <c r="S80" s="516"/>
    </row>
    <row r="81" spans="7:19">
      <c r="H81" s="475"/>
      <c r="O81" s="516"/>
      <c r="P81" s="516"/>
      <c r="Q81" s="516"/>
      <c r="R81" s="516"/>
      <c r="S81" s="516"/>
    </row>
    <row r="82" spans="7:19">
      <c r="G82" s="482"/>
      <c r="H82" s="482"/>
      <c r="I82" s="482"/>
    </row>
    <row r="83" spans="7:19">
      <c r="G83" s="482"/>
      <c r="H83" s="482"/>
      <c r="I83" s="482"/>
    </row>
    <row r="84" spans="7:19">
      <c r="G84" s="482"/>
      <c r="H84" s="482"/>
      <c r="I84" s="482"/>
    </row>
    <row r="85" spans="7:19">
      <c r="G85" s="482"/>
      <c r="H85" s="482"/>
      <c r="I85" s="482"/>
    </row>
    <row r="86" spans="7:19">
      <c r="G86" s="482"/>
      <c r="H86" s="482"/>
      <c r="I86" s="482"/>
    </row>
    <row r="87" spans="7:19">
      <c r="G87" s="482"/>
      <c r="H87" s="482"/>
      <c r="I87" s="482"/>
    </row>
    <row r="88" spans="7:19">
      <c r="G88" s="482"/>
      <c r="H88" s="482"/>
      <c r="I88" s="482"/>
    </row>
    <row r="89" spans="7:19">
      <c r="G89" s="482"/>
      <c r="H89" s="482"/>
      <c r="I89" s="482"/>
    </row>
    <row r="90" spans="7:19">
      <c r="G90" s="482"/>
      <c r="H90" s="482"/>
      <c r="I90" s="482"/>
    </row>
    <row r="91" spans="7:19">
      <c r="G91" s="482"/>
      <c r="H91" s="482"/>
      <c r="I91" s="482"/>
    </row>
    <row r="92" spans="7:19">
      <c r="G92" s="482"/>
      <c r="H92" s="482"/>
      <c r="I92" s="482"/>
    </row>
    <row r="93" spans="7:19">
      <c r="G93" s="482"/>
      <c r="H93" s="482"/>
      <c r="I93" s="482"/>
    </row>
    <row r="94" spans="7:19">
      <c r="G94" s="482"/>
      <c r="H94" s="482"/>
      <c r="I94" s="482"/>
    </row>
    <row r="95" spans="7:19">
      <c r="G95" s="482"/>
      <c r="H95" s="482"/>
      <c r="I95" s="482"/>
    </row>
    <row r="96" spans="7:19">
      <c r="G96" s="482"/>
      <c r="H96" s="482"/>
      <c r="I96" s="482"/>
    </row>
    <row r="97" spans="7:9">
      <c r="G97" s="482"/>
      <c r="H97" s="482"/>
      <c r="I97" s="482"/>
    </row>
    <row r="98" spans="7:9">
      <c r="G98" s="482"/>
      <c r="H98" s="482"/>
      <c r="I98" s="482"/>
    </row>
    <row r="99" spans="7:9">
      <c r="G99" s="482"/>
      <c r="H99" s="482"/>
      <c r="I99" s="482"/>
    </row>
    <row r="100" spans="7:9">
      <c r="G100" s="482"/>
      <c r="H100" s="482"/>
      <c r="I100" s="482"/>
    </row>
    <row r="101" spans="7:9">
      <c r="G101" s="482"/>
      <c r="H101" s="482"/>
      <c r="I101" s="482"/>
    </row>
    <row r="102" spans="7:9">
      <c r="G102" s="482"/>
      <c r="H102" s="482"/>
      <c r="I102" s="482"/>
    </row>
    <row r="103" spans="7:9">
      <c r="G103" s="482"/>
      <c r="H103" s="482"/>
      <c r="I103" s="482"/>
    </row>
    <row r="104" spans="7:9">
      <c r="G104" s="482"/>
      <c r="H104" s="482"/>
      <c r="I104" s="482"/>
    </row>
    <row r="105" spans="7:9">
      <c r="G105" s="482"/>
      <c r="H105" s="482"/>
      <c r="I105" s="482"/>
    </row>
    <row r="106" spans="7:9">
      <c r="G106" s="482"/>
      <c r="H106" s="482"/>
      <c r="I106" s="482"/>
    </row>
    <row r="107" spans="7:9">
      <c r="G107" s="482"/>
      <c r="H107" s="482"/>
      <c r="I107" s="482"/>
    </row>
    <row r="108" spans="7:9">
      <c r="G108" s="482"/>
      <c r="H108" s="482"/>
      <c r="I108" s="482"/>
    </row>
    <row r="109" spans="7:9">
      <c r="G109" s="482"/>
      <c r="H109" s="482"/>
      <c r="I109" s="482"/>
    </row>
    <row r="110" spans="7:9">
      <c r="G110" s="482"/>
      <c r="H110" s="482"/>
      <c r="I110" s="482"/>
    </row>
    <row r="111" spans="7:9">
      <c r="G111" s="482"/>
      <c r="H111" s="482"/>
      <c r="I111" s="482"/>
    </row>
    <row r="112" spans="7:9">
      <c r="G112" s="482"/>
      <c r="H112" s="482"/>
      <c r="I112" s="482"/>
    </row>
    <row r="113" spans="7:9">
      <c r="G113" s="482"/>
      <c r="H113" s="482"/>
      <c r="I113" s="482"/>
    </row>
  </sheetData>
  <sheetProtection algorithmName="SHA-512" hashValue="CXU8fssUxtsW6ZiMiCZHuKj8GlSoQGpEyWnz/o+yZx9XzZtqqkMT2Sat1YlFjLEgfIm74o7JAhVaCJIl00l6kA==" saltValue="N97FeClUQjlEv7AJoo7ICQ==" spinCount="100000" sheet="1" formatColumns="0" formatRows="0" selectLockedCells="1"/>
  <customSheetViews>
    <customSheetView guid="{1211E1B9-FC37-4364-9CF0-0FFC0186672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2"/>
      <headerFooter>
        <oddHeader>&amp;RSchedule-1Page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3"/>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4"/>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5"/>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8"/>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9"/>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10"/>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11"/>
      <headerFooter>
        <oddHeader>&amp;RSchedule-1Page &amp;P of &amp;N</oddHeader>
      </headerFooter>
    </customSheetView>
    <customSheetView guid="{889C3D82-0A24-4765-A688-A80A782F505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12"/>
      <headerFooter>
        <oddHeader>&amp;RSchedule-1Page &amp;P of &amp;N</oddHeader>
      </headerFooter>
    </customSheetView>
    <customSheetView guid="{C497F4E0-7D3E-4065-935D-7086BE9276FE}" scale="85" showPageBreaks="1" fitToPage="1" printArea="1" hiddenColumns="1" view="pageBreakPreview" topLeftCell="A161">
      <selection activeCell="I207" sqref="I207"/>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Z10:AL10"/>
    <mergeCell ref="Z8:AL8"/>
    <mergeCell ref="Z9:AL9"/>
    <mergeCell ref="A74:M74"/>
    <mergeCell ref="C80:D80"/>
    <mergeCell ref="B77:N77"/>
    <mergeCell ref="K80:N80"/>
    <mergeCell ref="K79:N79"/>
    <mergeCell ref="A75:M75"/>
    <mergeCell ref="A76:M76"/>
    <mergeCell ref="C79:D79"/>
    <mergeCell ref="A73:N73"/>
    <mergeCell ref="A3:N3"/>
    <mergeCell ref="A4:N4"/>
    <mergeCell ref="A6:B6"/>
    <mergeCell ref="A8:G8"/>
    <mergeCell ref="K14:N14"/>
    <mergeCell ref="C12:G12"/>
    <mergeCell ref="C10:G10"/>
    <mergeCell ref="C9:G9"/>
    <mergeCell ref="A7:I7"/>
    <mergeCell ref="A13:N13"/>
    <mergeCell ref="C11:G11"/>
  </mergeCells>
  <conditionalFormatting sqref="I18:I72">
    <cfRule type="expression" dxfId="4" priority="4" stopIfTrue="1">
      <formula>H18&gt;0</formula>
    </cfRule>
  </conditionalFormatting>
  <dataValidations count="3">
    <dataValidation type="list" operator="greaterThan" allowBlank="1" showInputMessage="1" showErrorMessage="1" sqref="I18:I72" xr:uid="{00000000-0002-0000-0400-000000000000}">
      <formula1>"0%,5%,12%,18%,28%"</formula1>
    </dataValidation>
    <dataValidation type="whole" operator="greaterThan" allowBlank="1" showInputMessage="1" showErrorMessage="1" sqref="G18:H72" xr:uid="{00000000-0002-0000-0400-000001000000}">
      <formula1>0</formula1>
    </dataValidation>
    <dataValidation type="decimal" operator="greaterThanOrEqual" allowBlank="1" showInputMessage="1" showErrorMessage="1" sqref="M18:M72"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rowBreaks count="1" manualBreakCount="1">
    <brk id="37" max="13" man="1"/>
  </rowBreak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80"/>
  <sheetViews>
    <sheetView tabSelected="1" view="pageBreakPreview" topLeftCell="A35" zoomScaleSheetLayoutView="100" workbookViewId="0">
      <selection activeCell="I71" sqref="I71"/>
    </sheetView>
  </sheetViews>
  <sheetFormatPr defaultRowHeight="15.75"/>
  <cols>
    <col min="1" max="1" width="6.140625" style="442" customWidth="1"/>
    <col min="2" max="2" width="15" style="442" customWidth="1"/>
    <col min="3" max="3" width="11.28515625" style="442" customWidth="1"/>
    <col min="4" max="4" width="23.85546875" style="442" customWidth="1"/>
    <col min="5" max="5" width="20.28515625" style="442" customWidth="1"/>
    <col min="6" max="6" width="105.7109375" style="443" customWidth="1"/>
    <col min="7" max="7" width="11.28515625" style="442" customWidth="1"/>
    <col min="8" max="8" width="11" style="442" customWidth="1"/>
    <col min="9" max="9" width="18.85546875" style="444" customWidth="1"/>
    <col min="10" max="10" width="24.28515625" style="442" customWidth="1"/>
    <col min="11" max="13" width="10.28515625" style="437" customWidth="1"/>
    <col min="14" max="14" width="9.140625" style="437" customWidth="1"/>
    <col min="15" max="28" width="9.140625" style="437"/>
    <col min="29" max="16384" width="9.140625" style="438"/>
  </cols>
  <sheetData>
    <row r="1" spans="1:32" ht="27.75" customHeight="1">
      <c r="A1" s="432" t="str">
        <f>Basic!B5</f>
        <v>NR2/NT/W-MISC/DOM/J01/25/07157</v>
      </c>
      <c r="B1" s="432"/>
      <c r="C1" s="432"/>
      <c r="D1" s="433"/>
      <c r="E1" s="433"/>
      <c r="F1" s="433"/>
      <c r="G1" s="434"/>
      <c r="H1" s="434"/>
      <c r="I1" s="435"/>
      <c r="J1" s="436" t="s">
        <v>11</v>
      </c>
    </row>
    <row r="2" spans="1:32" ht="21.75" customHeight="1">
      <c r="A2" s="431"/>
      <c r="B2" s="431"/>
      <c r="C2" s="431"/>
      <c r="D2" s="431"/>
      <c r="E2" s="431"/>
      <c r="F2" s="431"/>
      <c r="G2" s="439"/>
      <c r="H2" s="439"/>
      <c r="I2" s="438"/>
      <c r="J2" s="439"/>
    </row>
    <row r="3" spans="1:32" ht="92.25" customHeight="1">
      <c r="A3" s="791" t="str">
        <f>Cover!$B$2</f>
        <v xml:space="preserve"> Substation extension package (AIS) for augmentation of transformation capacity at 400/220kV Samba (PG) Substation in Jammu &amp; Kashmir by 1x500MVA 400/220kV ICT (4th).</v>
      </c>
      <c r="B3" s="791"/>
      <c r="C3" s="791"/>
      <c r="D3" s="791"/>
      <c r="E3" s="791"/>
      <c r="F3" s="791"/>
      <c r="G3" s="791"/>
      <c r="H3" s="791"/>
      <c r="I3" s="791"/>
      <c r="J3" s="791"/>
      <c r="K3" s="440"/>
      <c r="N3" s="808"/>
      <c r="O3" s="808"/>
      <c r="AC3" s="437"/>
      <c r="AD3" s="437"/>
      <c r="AE3" s="437"/>
      <c r="AF3" s="437"/>
    </row>
    <row r="4" spans="1:32" ht="21.95" customHeight="1">
      <c r="A4" s="809" t="s">
        <v>0</v>
      </c>
      <c r="B4" s="809"/>
      <c r="C4" s="809"/>
      <c r="D4" s="809"/>
      <c r="E4" s="809"/>
      <c r="F4" s="809"/>
      <c r="G4" s="809"/>
      <c r="H4" s="809"/>
      <c r="I4" s="809"/>
      <c r="J4" s="809"/>
    </row>
    <row r="5" spans="1:32" ht="15" customHeight="1">
      <c r="J5" s="439"/>
    </row>
    <row r="6" spans="1:32" ht="22.5" customHeight="1">
      <c r="A6" s="793" t="s">
        <v>328</v>
      </c>
      <c r="B6" s="793"/>
      <c r="C6" s="445"/>
      <c r="D6" s="439"/>
      <c r="E6" s="445"/>
      <c r="F6" s="445"/>
      <c r="G6" s="445"/>
      <c r="H6" s="445"/>
      <c r="I6" s="445"/>
      <c r="J6" s="439"/>
    </row>
    <row r="7" spans="1:32" ht="25.5" customHeight="1">
      <c r="A7" s="797">
        <f>'Sch-1'!A7</f>
        <v>0</v>
      </c>
      <c r="B7" s="797"/>
      <c r="C7" s="797"/>
      <c r="D7" s="797"/>
      <c r="E7" s="797"/>
      <c r="F7" s="797"/>
      <c r="G7" s="447"/>
      <c r="H7" s="448" t="s">
        <v>1</v>
      </c>
      <c r="I7" s="447"/>
      <c r="J7" s="439"/>
    </row>
    <row r="8" spans="1:32" ht="29.25" customHeight="1">
      <c r="A8" s="794" t="str">
        <f>"Bidder’s Name and Address  (" &amp; MID('Names of Bidder'!A9,9, 20) &amp; ") :"</f>
        <v>Bidder’s Name and Address  (Sole Bidder) :</v>
      </c>
      <c r="B8" s="794"/>
      <c r="C8" s="794"/>
      <c r="D8" s="794"/>
      <c r="E8" s="794"/>
      <c r="F8" s="794"/>
      <c r="G8" s="794"/>
      <c r="H8" s="449" t="s">
        <v>2</v>
      </c>
      <c r="I8" s="450"/>
      <c r="J8" s="439"/>
    </row>
    <row r="9" spans="1:32" ht="26.25" customHeight="1">
      <c r="A9" s="446" t="s">
        <v>9</v>
      </c>
      <c r="B9" s="451"/>
      <c r="C9" s="797" t="str">
        <f>IF('Names of Bidder'!C9=0, "", 'Names of Bidder'!C9)</f>
        <v/>
      </c>
      <c r="D9" s="797"/>
      <c r="E9" s="797"/>
      <c r="F9" s="452"/>
      <c r="G9" s="452"/>
      <c r="H9" s="449" t="s">
        <v>3</v>
      </c>
      <c r="I9" s="453"/>
      <c r="J9" s="439"/>
    </row>
    <row r="10" spans="1:32" ht="17.25" customHeight="1">
      <c r="A10" s="446" t="s">
        <v>8</v>
      </c>
      <c r="B10" s="451"/>
      <c r="C10" s="796" t="str">
        <f>IF('Names of Bidder'!C10=0, "", 'Names of Bidder'!C10)</f>
        <v/>
      </c>
      <c r="D10" s="796"/>
      <c r="E10" s="796"/>
      <c r="F10" s="452"/>
      <c r="G10" s="452"/>
      <c r="H10" s="449" t="str">
        <f>'Sch-1'!K10</f>
        <v>Northern Region Transmission System-II</v>
      </c>
      <c r="I10" s="453"/>
      <c r="J10" s="439"/>
    </row>
    <row r="11" spans="1:32" ht="18" customHeight="1">
      <c r="A11" s="453"/>
      <c r="B11" s="453"/>
      <c r="C11" s="796" t="str">
        <f>IF('Names of Bidder'!C11=0, "", 'Names of Bidder'!C11)</f>
        <v/>
      </c>
      <c r="D11" s="796"/>
      <c r="E11" s="796"/>
      <c r="F11" s="452"/>
      <c r="G11" s="452"/>
      <c r="H11" s="449" t="str">
        <f>'Sch-1'!K11</f>
        <v>Regional Head Quarters, Grid Bhawan, OB-26</v>
      </c>
      <c r="I11" s="453"/>
      <c r="J11" s="439"/>
    </row>
    <row r="12" spans="1:32" ht="18" customHeight="1">
      <c r="A12" s="453"/>
      <c r="B12" s="453"/>
      <c r="C12" s="796" t="str">
        <f>IF('Names of Bidder'!C12=0, "", 'Names of Bidder'!C12)</f>
        <v/>
      </c>
      <c r="D12" s="796"/>
      <c r="E12" s="796"/>
      <c r="F12" s="452"/>
      <c r="G12" s="452"/>
      <c r="H12" s="449" t="str">
        <f>'Sch-1'!K12</f>
        <v>Rail Head Complex, Jammu-180 012 (J&amp;K)</v>
      </c>
      <c r="I12" s="453"/>
      <c r="J12" s="439"/>
    </row>
    <row r="13" spans="1:32" s="450" customFormat="1" ht="26.45" customHeight="1">
      <c r="A13" s="815" t="s">
        <v>342</v>
      </c>
      <c r="B13" s="815"/>
      <c r="C13" s="815"/>
      <c r="D13" s="815"/>
      <c r="E13" s="815"/>
      <c r="F13" s="815"/>
      <c r="G13" s="815"/>
      <c r="H13" s="815"/>
      <c r="I13" s="815"/>
      <c r="J13" s="815"/>
      <c r="K13" s="454"/>
      <c r="L13" s="454"/>
      <c r="M13" s="454"/>
      <c r="N13" s="454"/>
      <c r="O13" s="454"/>
      <c r="P13" s="454"/>
      <c r="Q13" s="454"/>
      <c r="R13" s="454"/>
      <c r="S13" s="454"/>
      <c r="T13" s="454"/>
      <c r="U13" s="454"/>
      <c r="V13" s="454"/>
      <c r="W13" s="454"/>
      <c r="X13" s="454"/>
      <c r="Y13" s="454"/>
      <c r="Z13" s="454"/>
      <c r="AA13" s="454"/>
      <c r="AB13" s="454"/>
    </row>
    <row r="14" spans="1:32" ht="20.25" customHeight="1" thickBot="1">
      <c r="A14" s="455"/>
      <c r="B14" s="455"/>
      <c r="C14" s="455"/>
      <c r="D14" s="455"/>
      <c r="E14" s="455"/>
      <c r="F14" s="456"/>
      <c r="G14" s="457"/>
      <c r="H14" s="457"/>
      <c r="I14" s="811" t="s">
        <v>333</v>
      </c>
      <c r="J14" s="811"/>
    </row>
    <row r="15" spans="1:32" ht="102" customHeight="1">
      <c r="A15" s="458" t="s">
        <v>4</v>
      </c>
      <c r="B15" s="459" t="s">
        <v>250</v>
      </c>
      <c r="C15" s="459" t="s">
        <v>262</v>
      </c>
      <c r="D15" s="459" t="s">
        <v>264</v>
      </c>
      <c r="E15" s="459" t="s">
        <v>10</v>
      </c>
      <c r="F15" s="460" t="s">
        <v>12</v>
      </c>
      <c r="G15" s="460" t="s">
        <v>6</v>
      </c>
      <c r="H15" s="460" t="s">
        <v>13</v>
      </c>
      <c r="I15" s="460" t="s">
        <v>341</v>
      </c>
      <c r="J15" s="461" t="s">
        <v>340</v>
      </c>
    </row>
    <row r="16" spans="1:32" s="464" customFormat="1">
      <c r="A16" s="462">
        <v>1</v>
      </c>
      <c r="B16" s="462">
        <v>2</v>
      </c>
      <c r="C16" s="462">
        <v>3</v>
      </c>
      <c r="D16" s="462">
        <v>4</v>
      </c>
      <c r="E16" s="462">
        <v>5</v>
      </c>
      <c r="F16" s="462">
        <v>6</v>
      </c>
      <c r="G16" s="462">
        <v>7</v>
      </c>
      <c r="H16" s="462">
        <v>8</v>
      </c>
      <c r="I16" s="462">
        <v>9</v>
      </c>
      <c r="J16" s="462" t="s">
        <v>334</v>
      </c>
      <c r="K16" s="463"/>
      <c r="L16" s="463"/>
      <c r="M16" s="463"/>
      <c r="N16" s="463"/>
      <c r="O16" s="463"/>
      <c r="P16" s="463"/>
      <c r="Q16" s="463"/>
      <c r="R16" s="463"/>
      <c r="S16" s="463"/>
      <c r="T16" s="463"/>
      <c r="U16" s="463"/>
      <c r="V16" s="463"/>
      <c r="W16" s="463"/>
      <c r="X16" s="463"/>
      <c r="Y16" s="463"/>
      <c r="Z16" s="463"/>
      <c r="AA16" s="463"/>
      <c r="AB16" s="463"/>
    </row>
    <row r="17" spans="1:28" s="471" customFormat="1" ht="34.5" customHeight="1">
      <c r="A17" s="465" t="str">
        <f>'Sch-1'!A17</f>
        <v>I</v>
      </c>
      <c r="B17" s="466" t="str">
        <f>'Sch-1'!B17</f>
        <v>ICT(4th) Augmentation at Samba substation</v>
      </c>
      <c r="C17" s="467"/>
      <c r="D17" s="468"/>
      <c r="E17" s="469"/>
      <c r="F17" s="469"/>
      <c r="G17" s="469"/>
      <c r="H17" s="469"/>
      <c r="I17" s="469"/>
      <c r="J17" s="469"/>
      <c r="K17" s="470"/>
      <c r="L17" s="470"/>
      <c r="M17" s="470"/>
      <c r="N17" s="470"/>
      <c r="O17" s="470"/>
      <c r="P17" s="470"/>
      <c r="Q17" s="470"/>
      <c r="R17" s="470"/>
      <c r="S17" s="470"/>
      <c r="T17" s="470"/>
      <c r="U17" s="470"/>
      <c r="V17" s="470"/>
      <c r="W17" s="470"/>
      <c r="X17" s="470"/>
      <c r="Y17" s="470"/>
      <c r="Z17" s="470"/>
      <c r="AA17" s="470"/>
      <c r="AB17" s="470"/>
    </row>
    <row r="18" spans="1:28" ht="31.5">
      <c r="A18" s="472">
        <v>1</v>
      </c>
      <c r="B18" s="429">
        <v>7000031190</v>
      </c>
      <c r="C18" s="429">
        <v>10</v>
      </c>
      <c r="D18" s="429" t="s">
        <v>513</v>
      </c>
      <c r="E18" s="429">
        <v>1000004501</v>
      </c>
      <c r="F18" s="429" t="s">
        <v>556</v>
      </c>
      <c r="G18" s="429" t="s">
        <v>540</v>
      </c>
      <c r="H18" s="429">
        <v>1</v>
      </c>
      <c r="I18" s="303"/>
      <c r="J18" s="304" t="str">
        <f t="shared" ref="J18:J72" si="0">IF(I18=0, "INCLUDED", IF(ISERROR(I18*H18), I18, I18*H18))</f>
        <v>INCLUDED</v>
      </c>
    </row>
    <row r="19" spans="1:28" ht="31.5">
      <c r="A19" s="472">
        <v>2</v>
      </c>
      <c r="B19" s="429">
        <v>7000031190</v>
      </c>
      <c r="C19" s="429">
        <v>20</v>
      </c>
      <c r="D19" s="429" t="s">
        <v>513</v>
      </c>
      <c r="E19" s="429">
        <v>1000004498</v>
      </c>
      <c r="F19" s="429" t="s">
        <v>557</v>
      </c>
      <c r="G19" s="429" t="s">
        <v>540</v>
      </c>
      <c r="H19" s="429">
        <v>2</v>
      </c>
      <c r="I19" s="303"/>
      <c r="J19" s="304" t="str">
        <f t="shared" si="0"/>
        <v>INCLUDED</v>
      </c>
    </row>
    <row r="20" spans="1:28" ht="31.5">
      <c r="A20" s="472">
        <v>3</v>
      </c>
      <c r="B20" s="429">
        <v>7000031190</v>
      </c>
      <c r="C20" s="429">
        <v>30</v>
      </c>
      <c r="D20" s="429" t="s">
        <v>513</v>
      </c>
      <c r="E20" s="429">
        <v>1000004463</v>
      </c>
      <c r="F20" s="429" t="s">
        <v>558</v>
      </c>
      <c r="G20" s="429" t="s">
        <v>540</v>
      </c>
      <c r="H20" s="429">
        <v>3</v>
      </c>
      <c r="I20" s="303"/>
      <c r="J20" s="304" t="str">
        <f t="shared" si="0"/>
        <v>INCLUDED</v>
      </c>
    </row>
    <row r="21" spans="1:28" ht="31.5">
      <c r="A21" s="472">
        <v>4</v>
      </c>
      <c r="B21" s="429">
        <v>7000031190</v>
      </c>
      <c r="C21" s="429">
        <v>40</v>
      </c>
      <c r="D21" s="429" t="s">
        <v>513</v>
      </c>
      <c r="E21" s="429">
        <v>1000004401</v>
      </c>
      <c r="F21" s="429" t="s">
        <v>559</v>
      </c>
      <c r="G21" s="429" t="s">
        <v>540</v>
      </c>
      <c r="H21" s="429">
        <v>3</v>
      </c>
      <c r="I21" s="303"/>
      <c r="J21" s="304" t="str">
        <f t="shared" si="0"/>
        <v>INCLUDED</v>
      </c>
    </row>
    <row r="22" spans="1:28" ht="31.5">
      <c r="A22" s="472">
        <v>5</v>
      </c>
      <c r="B22" s="429">
        <v>7000031190</v>
      </c>
      <c r="C22" s="429">
        <v>50</v>
      </c>
      <c r="D22" s="429" t="s">
        <v>513</v>
      </c>
      <c r="E22" s="429">
        <v>1000020419</v>
      </c>
      <c r="F22" s="429" t="s">
        <v>560</v>
      </c>
      <c r="G22" s="429" t="s">
        <v>540</v>
      </c>
      <c r="H22" s="429">
        <v>3</v>
      </c>
      <c r="I22" s="303"/>
      <c r="J22" s="304" t="str">
        <f t="shared" si="0"/>
        <v>INCLUDED</v>
      </c>
    </row>
    <row r="23" spans="1:28" ht="31.5">
      <c r="A23" s="472">
        <v>6</v>
      </c>
      <c r="B23" s="429">
        <v>7000031190</v>
      </c>
      <c r="C23" s="429">
        <v>60</v>
      </c>
      <c r="D23" s="429" t="s">
        <v>513</v>
      </c>
      <c r="E23" s="429">
        <v>1000009713</v>
      </c>
      <c r="F23" s="429" t="s">
        <v>465</v>
      </c>
      <c r="G23" s="429" t="s">
        <v>540</v>
      </c>
      <c r="H23" s="429">
        <v>2</v>
      </c>
      <c r="I23" s="303"/>
      <c r="J23" s="304" t="str">
        <f t="shared" si="0"/>
        <v>INCLUDED</v>
      </c>
    </row>
    <row r="24" spans="1:28" ht="31.5">
      <c r="A24" s="472">
        <v>7</v>
      </c>
      <c r="B24" s="429">
        <v>7000031190</v>
      </c>
      <c r="C24" s="429">
        <v>70</v>
      </c>
      <c r="D24" s="429" t="s">
        <v>514</v>
      </c>
      <c r="E24" s="429">
        <v>1000001683</v>
      </c>
      <c r="F24" s="429" t="s">
        <v>561</v>
      </c>
      <c r="G24" s="429" t="s">
        <v>540</v>
      </c>
      <c r="H24" s="429">
        <v>1</v>
      </c>
      <c r="I24" s="303"/>
      <c r="J24" s="304" t="str">
        <f t="shared" si="0"/>
        <v>INCLUDED</v>
      </c>
    </row>
    <row r="25" spans="1:28" ht="31.5">
      <c r="A25" s="472">
        <v>8</v>
      </c>
      <c r="B25" s="429">
        <v>7000031190</v>
      </c>
      <c r="C25" s="429">
        <v>80</v>
      </c>
      <c r="D25" s="429" t="s">
        <v>514</v>
      </c>
      <c r="E25" s="429">
        <v>1000001684</v>
      </c>
      <c r="F25" s="429" t="s">
        <v>502</v>
      </c>
      <c r="G25" s="429" t="s">
        <v>540</v>
      </c>
      <c r="H25" s="429">
        <v>3</v>
      </c>
      <c r="I25" s="303"/>
      <c r="J25" s="304" t="str">
        <f t="shared" si="0"/>
        <v>INCLUDED</v>
      </c>
    </row>
    <row r="26" spans="1:28" ht="31.5">
      <c r="A26" s="472">
        <v>9</v>
      </c>
      <c r="B26" s="429">
        <v>7000031190</v>
      </c>
      <c r="C26" s="429">
        <v>90</v>
      </c>
      <c r="D26" s="429" t="s">
        <v>514</v>
      </c>
      <c r="E26" s="429">
        <v>1000001688</v>
      </c>
      <c r="F26" s="429" t="s">
        <v>562</v>
      </c>
      <c r="G26" s="429" t="s">
        <v>540</v>
      </c>
      <c r="H26" s="429">
        <v>1</v>
      </c>
      <c r="I26" s="303"/>
      <c r="J26" s="304" t="str">
        <f t="shared" si="0"/>
        <v>INCLUDED</v>
      </c>
    </row>
    <row r="27" spans="1:28" ht="31.5">
      <c r="A27" s="472">
        <v>10</v>
      </c>
      <c r="B27" s="429">
        <v>7000031190</v>
      </c>
      <c r="C27" s="429">
        <v>100</v>
      </c>
      <c r="D27" s="429" t="s">
        <v>514</v>
      </c>
      <c r="E27" s="429">
        <v>1000001689</v>
      </c>
      <c r="F27" s="429" t="s">
        <v>563</v>
      </c>
      <c r="G27" s="429" t="s">
        <v>540</v>
      </c>
      <c r="H27" s="429">
        <v>1</v>
      </c>
      <c r="I27" s="303"/>
      <c r="J27" s="304" t="str">
        <f t="shared" si="0"/>
        <v>INCLUDED</v>
      </c>
    </row>
    <row r="28" spans="1:28" ht="31.5">
      <c r="A28" s="472">
        <v>11</v>
      </c>
      <c r="B28" s="429">
        <v>7000031190</v>
      </c>
      <c r="C28" s="429">
        <v>110</v>
      </c>
      <c r="D28" s="429" t="s">
        <v>514</v>
      </c>
      <c r="E28" s="429">
        <v>1000032777</v>
      </c>
      <c r="F28" s="429" t="s">
        <v>524</v>
      </c>
      <c r="G28" s="429" t="s">
        <v>540</v>
      </c>
      <c r="H28" s="429">
        <v>2</v>
      </c>
      <c r="I28" s="303"/>
      <c r="J28" s="304" t="str">
        <f t="shared" si="0"/>
        <v>INCLUDED</v>
      </c>
    </row>
    <row r="29" spans="1:28" ht="31.5">
      <c r="A29" s="472">
        <v>12</v>
      </c>
      <c r="B29" s="429">
        <v>7000031190</v>
      </c>
      <c r="C29" s="429">
        <v>120</v>
      </c>
      <c r="D29" s="429" t="s">
        <v>514</v>
      </c>
      <c r="E29" s="429">
        <v>1000020417</v>
      </c>
      <c r="F29" s="429" t="s">
        <v>469</v>
      </c>
      <c r="G29" s="429" t="s">
        <v>540</v>
      </c>
      <c r="H29" s="429">
        <v>3</v>
      </c>
      <c r="I29" s="303"/>
      <c r="J29" s="304" t="str">
        <f t="shared" si="0"/>
        <v>INCLUDED</v>
      </c>
    </row>
    <row r="30" spans="1:28" ht="31.5">
      <c r="A30" s="472">
        <v>13</v>
      </c>
      <c r="B30" s="429">
        <v>7000031190</v>
      </c>
      <c r="C30" s="429">
        <v>130</v>
      </c>
      <c r="D30" s="429" t="s">
        <v>514</v>
      </c>
      <c r="E30" s="429">
        <v>1000001695</v>
      </c>
      <c r="F30" s="429" t="s">
        <v>470</v>
      </c>
      <c r="G30" s="429" t="s">
        <v>540</v>
      </c>
      <c r="H30" s="429">
        <v>10</v>
      </c>
      <c r="I30" s="303"/>
      <c r="J30" s="304" t="str">
        <f t="shared" si="0"/>
        <v>INCLUDED</v>
      </c>
    </row>
    <row r="31" spans="1:28" ht="31.5">
      <c r="A31" s="472">
        <v>14</v>
      </c>
      <c r="B31" s="429">
        <v>7000031190</v>
      </c>
      <c r="C31" s="429">
        <v>140</v>
      </c>
      <c r="D31" s="429" t="s">
        <v>553</v>
      </c>
      <c r="E31" s="429">
        <v>1000011320</v>
      </c>
      <c r="F31" s="429" t="s">
        <v>525</v>
      </c>
      <c r="G31" s="429" t="s">
        <v>464</v>
      </c>
      <c r="H31" s="429">
        <v>1</v>
      </c>
      <c r="I31" s="303"/>
      <c r="J31" s="304" t="str">
        <f t="shared" si="0"/>
        <v>INCLUDED</v>
      </c>
    </row>
    <row r="32" spans="1:28" ht="47.25">
      <c r="A32" s="472">
        <v>15</v>
      </c>
      <c r="B32" s="429">
        <v>7000031190</v>
      </c>
      <c r="C32" s="429">
        <v>150</v>
      </c>
      <c r="D32" s="429" t="s">
        <v>554</v>
      </c>
      <c r="E32" s="429">
        <v>1000011264</v>
      </c>
      <c r="F32" s="429" t="s">
        <v>564</v>
      </c>
      <c r="G32" s="429" t="s">
        <v>464</v>
      </c>
      <c r="H32" s="429">
        <v>1</v>
      </c>
      <c r="I32" s="303"/>
      <c r="J32" s="304" t="str">
        <f t="shared" si="0"/>
        <v>INCLUDED</v>
      </c>
    </row>
    <row r="33" spans="1:10">
      <c r="A33" s="472">
        <v>16</v>
      </c>
      <c r="B33" s="429">
        <v>7000031190</v>
      </c>
      <c r="C33" s="429">
        <v>160</v>
      </c>
      <c r="D33" s="429" t="s">
        <v>515</v>
      </c>
      <c r="E33" s="429">
        <v>1000032055</v>
      </c>
      <c r="F33" s="429" t="s">
        <v>526</v>
      </c>
      <c r="G33" s="429" t="s">
        <v>541</v>
      </c>
      <c r="H33" s="429">
        <v>0.5</v>
      </c>
      <c r="I33" s="303"/>
      <c r="J33" s="304" t="str">
        <f t="shared" si="0"/>
        <v>INCLUDED</v>
      </c>
    </row>
    <row r="34" spans="1:10" ht="31.5">
      <c r="A34" s="472">
        <v>17</v>
      </c>
      <c r="B34" s="429">
        <v>7000031190</v>
      </c>
      <c r="C34" s="429">
        <v>170</v>
      </c>
      <c r="D34" s="429" t="s">
        <v>516</v>
      </c>
      <c r="E34" s="429">
        <v>1000002165</v>
      </c>
      <c r="F34" s="429" t="s">
        <v>565</v>
      </c>
      <c r="G34" s="429" t="s">
        <v>540</v>
      </c>
      <c r="H34" s="429">
        <v>1</v>
      </c>
      <c r="I34" s="303"/>
      <c r="J34" s="304" t="str">
        <f t="shared" si="0"/>
        <v>INCLUDED</v>
      </c>
    </row>
    <row r="35" spans="1:10" ht="31.5">
      <c r="A35" s="472">
        <v>18</v>
      </c>
      <c r="B35" s="429">
        <v>7000031190</v>
      </c>
      <c r="C35" s="429">
        <v>180</v>
      </c>
      <c r="D35" s="429" t="s">
        <v>516</v>
      </c>
      <c r="E35" s="429">
        <v>1000004274</v>
      </c>
      <c r="F35" s="429" t="s">
        <v>500</v>
      </c>
      <c r="G35" s="429" t="s">
        <v>540</v>
      </c>
      <c r="H35" s="429">
        <v>1</v>
      </c>
      <c r="I35" s="303"/>
      <c r="J35" s="304" t="str">
        <f t="shared" si="0"/>
        <v>INCLUDED</v>
      </c>
    </row>
    <row r="36" spans="1:10" ht="31.5">
      <c r="A36" s="472">
        <v>19</v>
      </c>
      <c r="B36" s="429">
        <v>7000031190</v>
      </c>
      <c r="C36" s="429">
        <v>190</v>
      </c>
      <c r="D36" s="429" t="s">
        <v>516</v>
      </c>
      <c r="E36" s="429">
        <v>1000001167</v>
      </c>
      <c r="F36" s="429" t="s">
        <v>499</v>
      </c>
      <c r="G36" s="429" t="s">
        <v>464</v>
      </c>
      <c r="H36" s="429">
        <v>1</v>
      </c>
      <c r="I36" s="303"/>
      <c r="J36" s="304" t="str">
        <f t="shared" si="0"/>
        <v>INCLUDED</v>
      </c>
    </row>
    <row r="37" spans="1:10" ht="31.5">
      <c r="A37" s="472">
        <v>20</v>
      </c>
      <c r="B37" s="429">
        <v>7000031190</v>
      </c>
      <c r="C37" s="429">
        <v>200</v>
      </c>
      <c r="D37" s="429" t="s">
        <v>516</v>
      </c>
      <c r="E37" s="429">
        <v>1000001168</v>
      </c>
      <c r="F37" s="429" t="s">
        <v>566</v>
      </c>
      <c r="G37" s="429" t="s">
        <v>540</v>
      </c>
      <c r="H37" s="429">
        <v>1</v>
      </c>
      <c r="I37" s="303"/>
      <c r="J37" s="304" t="str">
        <f t="shared" si="0"/>
        <v>INCLUDED</v>
      </c>
    </row>
    <row r="38" spans="1:10">
      <c r="A38" s="472">
        <v>21</v>
      </c>
      <c r="B38" s="429">
        <v>7000031190</v>
      </c>
      <c r="C38" s="429">
        <v>210</v>
      </c>
      <c r="D38" s="429" t="s">
        <v>518</v>
      </c>
      <c r="E38" s="429">
        <v>1000003409</v>
      </c>
      <c r="F38" s="429" t="s">
        <v>567</v>
      </c>
      <c r="G38" s="429" t="s">
        <v>540</v>
      </c>
      <c r="H38" s="429">
        <v>1</v>
      </c>
      <c r="I38" s="303"/>
      <c r="J38" s="304" t="str">
        <f t="shared" si="0"/>
        <v>INCLUDED</v>
      </c>
    </row>
    <row r="39" spans="1:10" ht="31.5">
      <c r="A39" s="472">
        <v>22</v>
      </c>
      <c r="B39" s="429">
        <v>7000031190</v>
      </c>
      <c r="C39" s="429">
        <v>220</v>
      </c>
      <c r="D39" s="429" t="s">
        <v>518</v>
      </c>
      <c r="E39" s="429">
        <v>1000001333</v>
      </c>
      <c r="F39" s="429" t="s">
        <v>568</v>
      </c>
      <c r="G39" s="429" t="s">
        <v>540</v>
      </c>
      <c r="H39" s="429">
        <v>1</v>
      </c>
      <c r="I39" s="303"/>
      <c r="J39" s="304" t="str">
        <f t="shared" si="0"/>
        <v>INCLUDED</v>
      </c>
    </row>
    <row r="40" spans="1:10" ht="63">
      <c r="A40" s="472">
        <v>23</v>
      </c>
      <c r="B40" s="429">
        <v>7000031190</v>
      </c>
      <c r="C40" s="429">
        <v>230</v>
      </c>
      <c r="D40" s="429" t="s">
        <v>519</v>
      </c>
      <c r="E40" s="429">
        <v>1000030433</v>
      </c>
      <c r="F40" s="429" t="s">
        <v>527</v>
      </c>
      <c r="G40" s="429" t="s">
        <v>464</v>
      </c>
      <c r="H40" s="429">
        <v>1</v>
      </c>
      <c r="I40" s="303"/>
      <c r="J40" s="304" t="str">
        <f t="shared" si="0"/>
        <v>INCLUDED</v>
      </c>
    </row>
    <row r="41" spans="1:10" ht="31.5">
      <c r="A41" s="472">
        <v>24</v>
      </c>
      <c r="B41" s="429">
        <v>7000031190</v>
      </c>
      <c r="C41" s="429">
        <v>240</v>
      </c>
      <c r="D41" s="429" t="s">
        <v>520</v>
      </c>
      <c r="E41" s="429">
        <v>1000031951</v>
      </c>
      <c r="F41" s="429" t="s">
        <v>528</v>
      </c>
      <c r="G41" s="429" t="s">
        <v>541</v>
      </c>
      <c r="H41" s="429">
        <v>0.5</v>
      </c>
      <c r="I41" s="303"/>
      <c r="J41" s="304" t="str">
        <f t="shared" si="0"/>
        <v>INCLUDED</v>
      </c>
    </row>
    <row r="42" spans="1:10" ht="31.5">
      <c r="A42" s="472">
        <v>25</v>
      </c>
      <c r="B42" s="429">
        <v>7000031190</v>
      </c>
      <c r="C42" s="429">
        <v>250</v>
      </c>
      <c r="D42" s="429" t="s">
        <v>520</v>
      </c>
      <c r="E42" s="429">
        <v>1000031957</v>
      </c>
      <c r="F42" s="429" t="s">
        <v>569</v>
      </c>
      <c r="G42" s="429" t="s">
        <v>541</v>
      </c>
      <c r="H42" s="429">
        <v>3</v>
      </c>
      <c r="I42" s="303"/>
      <c r="J42" s="304" t="str">
        <f t="shared" si="0"/>
        <v>INCLUDED</v>
      </c>
    </row>
    <row r="43" spans="1:10" ht="31.5">
      <c r="A43" s="472">
        <v>26</v>
      </c>
      <c r="B43" s="429">
        <v>7000031190</v>
      </c>
      <c r="C43" s="429">
        <v>260</v>
      </c>
      <c r="D43" s="429" t="s">
        <v>520</v>
      </c>
      <c r="E43" s="429">
        <v>1000031976</v>
      </c>
      <c r="F43" s="429" t="s">
        <v>529</v>
      </c>
      <c r="G43" s="429" t="s">
        <v>541</v>
      </c>
      <c r="H43" s="429">
        <v>2</v>
      </c>
      <c r="I43" s="303"/>
      <c r="J43" s="304" t="str">
        <f t="shared" si="0"/>
        <v>INCLUDED</v>
      </c>
    </row>
    <row r="44" spans="1:10" ht="31.5">
      <c r="A44" s="472">
        <v>27</v>
      </c>
      <c r="B44" s="429">
        <v>7000031190</v>
      </c>
      <c r="C44" s="429">
        <v>270</v>
      </c>
      <c r="D44" s="429" t="s">
        <v>520</v>
      </c>
      <c r="E44" s="429">
        <v>1000031985</v>
      </c>
      <c r="F44" s="429" t="s">
        <v>530</v>
      </c>
      <c r="G44" s="429" t="s">
        <v>541</v>
      </c>
      <c r="H44" s="429">
        <v>3</v>
      </c>
      <c r="I44" s="303"/>
      <c r="J44" s="304" t="str">
        <f t="shared" si="0"/>
        <v>INCLUDED</v>
      </c>
    </row>
    <row r="45" spans="1:10" ht="31.5">
      <c r="A45" s="472">
        <v>28</v>
      </c>
      <c r="B45" s="429">
        <v>7000031190</v>
      </c>
      <c r="C45" s="429">
        <v>280</v>
      </c>
      <c r="D45" s="429" t="s">
        <v>520</v>
      </c>
      <c r="E45" s="429">
        <v>1000031943</v>
      </c>
      <c r="F45" s="429" t="s">
        <v>531</v>
      </c>
      <c r="G45" s="429" t="s">
        <v>541</v>
      </c>
      <c r="H45" s="429">
        <v>2.5</v>
      </c>
      <c r="I45" s="303"/>
      <c r="J45" s="304" t="str">
        <f t="shared" si="0"/>
        <v>INCLUDED</v>
      </c>
    </row>
    <row r="46" spans="1:10" ht="31.5">
      <c r="A46" s="472">
        <v>29</v>
      </c>
      <c r="B46" s="429">
        <v>7000031190</v>
      </c>
      <c r="C46" s="429">
        <v>290</v>
      </c>
      <c r="D46" s="429" t="s">
        <v>520</v>
      </c>
      <c r="E46" s="429">
        <v>1000031964</v>
      </c>
      <c r="F46" s="429" t="s">
        <v>570</v>
      </c>
      <c r="G46" s="429" t="s">
        <v>541</v>
      </c>
      <c r="H46" s="429">
        <v>5</v>
      </c>
      <c r="I46" s="303"/>
      <c r="J46" s="304" t="str">
        <f t="shared" si="0"/>
        <v>INCLUDED</v>
      </c>
    </row>
    <row r="47" spans="1:10" ht="31.5">
      <c r="A47" s="472">
        <v>30</v>
      </c>
      <c r="B47" s="429">
        <v>7000031190</v>
      </c>
      <c r="C47" s="429">
        <v>300</v>
      </c>
      <c r="D47" s="429" t="s">
        <v>520</v>
      </c>
      <c r="E47" s="429">
        <v>1000031987</v>
      </c>
      <c r="F47" s="429" t="s">
        <v>532</v>
      </c>
      <c r="G47" s="429" t="s">
        <v>541</v>
      </c>
      <c r="H47" s="429">
        <v>7</v>
      </c>
      <c r="I47" s="303"/>
      <c r="J47" s="304" t="str">
        <f t="shared" si="0"/>
        <v>INCLUDED</v>
      </c>
    </row>
    <row r="48" spans="1:10" ht="31.5">
      <c r="A48" s="472">
        <v>31</v>
      </c>
      <c r="B48" s="429">
        <v>7000031190</v>
      </c>
      <c r="C48" s="429">
        <v>310</v>
      </c>
      <c r="D48" s="429" t="s">
        <v>520</v>
      </c>
      <c r="E48" s="429">
        <v>1000031887</v>
      </c>
      <c r="F48" s="429" t="s">
        <v>533</v>
      </c>
      <c r="G48" s="429" t="s">
        <v>541</v>
      </c>
      <c r="H48" s="429">
        <v>3</v>
      </c>
      <c r="I48" s="303"/>
      <c r="J48" s="304" t="str">
        <f t="shared" si="0"/>
        <v>INCLUDED</v>
      </c>
    </row>
    <row r="49" spans="1:10" ht="31.5">
      <c r="A49" s="472">
        <v>32</v>
      </c>
      <c r="B49" s="429">
        <v>7000031190</v>
      </c>
      <c r="C49" s="429">
        <v>320</v>
      </c>
      <c r="D49" s="429" t="s">
        <v>520</v>
      </c>
      <c r="E49" s="429">
        <v>1000056264</v>
      </c>
      <c r="F49" s="429" t="s">
        <v>534</v>
      </c>
      <c r="G49" s="429" t="s">
        <v>541</v>
      </c>
      <c r="H49" s="429">
        <v>4</v>
      </c>
      <c r="I49" s="303"/>
      <c r="J49" s="304" t="str">
        <f t="shared" si="0"/>
        <v>INCLUDED</v>
      </c>
    </row>
    <row r="50" spans="1:10" ht="31.5">
      <c r="A50" s="472">
        <v>33</v>
      </c>
      <c r="B50" s="429">
        <v>7000031190</v>
      </c>
      <c r="C50" s="429">
        <v>330</v>
      </c>
      <c r="D50" s="429" t="s">
        <v>520</v>
      </c>
      <c r="E50" s="429">
        <v>1000056265</v>
      </c>
      <c r="F50" s="429" t="s">
        <v>535</v>
      </c>
      <c r="G50" s="429" t="s">
        <v>541</v>
      </c>
      <c r="H50" s="429">
        <v>2</v>
      </c>
      <c r="I50" s="303"/>
      <c r="J50" s="304" t="str">
        <f t="shared" si="0"/>
        <v>INCLUDED</v>
      </c>
    </row>
    <row r="51" spans="1:10" ht="31.5">
      <c r="A51" s="472">
        <v>34</v>
      </c>
      <c r="B51" s="429">
        <v>7000031190</v>
      </c>
      <c r="C51" s="429">
        <v>340</v>
      </c>
      <c r="D51" s="429" t="s">
        <v>520</v>
      </c>
      <c r="E51" s="429">
        <v>1000032050</v>
      </c>
      <c r="F51" s="429" t="s">
        <v>536</v>
      </c>
      <c r="G51" s="429" t="s">
        <v>541</v>
      </c>
      <c r="H51" s="429">
        <v>1</v>
      </c>
      <c r="I51" s="303"/>
      <c r="J51" s="304" t="str">
        <f t="shared" si="0"/>
        <v>INCLUDED</v>
      </c>
    </row>
    <row r="52" spans="1:10" ht="31.5">
      <c r="A52" s="472">
        <v>35</v>
      </c>
      <c r="B52" s="429">
        <v>7000031190</v>
      </c>
      <c r="C52" s="429">
        <v>350</v>
      </c>
      <c r="D52" s="429" t="s">
        <v>521</v>
      </c>
      <c r="E52" s="429">
        <v>1000012069</v>
      </c>
      <c r="F52" s="429" t="s">
        <v>571</v>
      </c>
      <c r="G52" s="429" t="s">
        <v>464</v>
      </c>
      <c r="H52" s="429">
        <v>1</v>
      </c>
      <c r="I52" s="303"/>
      <c r="J52" s="304" t="str">
        <f t="shared" si="0"/>
        <v>INCLUDED</v>
      </c>
    </row>
    <row r="53" spans="1:10">
      <c r="A53" s="472">
        <v>36</v>
      </c>
      <c r="B53" s="429">
        <v>7000031190</v>
      </c>
      <c r="C53" s="429">
        <v>360</v>
      </c>
      <c r="D53" s="429" t="s">
        <v>522</v>
      </c>
      <c r="E53" s="429">
        <v>1000038385</v>
      </c>
      <c r="F53" s="429" t="s">
        <v>572</v>
      </c>
      <c r="G53" s="429" t="s">
        <v>540</v>
      </c>
      <c r="H53" s="429">
        <v>2</v>
      </c>
      <c r="I53" s="303"/>
      <c r="J53" s="304" t="str">
        <f t="shared" si="0"/>
        <v>INCLUDED</v>
      </c>
    </row>
    <row r="54" spans="1:10">
      <c r="A54" s="472">
        <v>37</v>
      </c>
      <c r="B54" s="429">
        <v>7000031190</v>
      </c>
      <c r="C54" s="429">
        <v>370</v>
      </c>
      <c r="D54" s="429" t="s">
        <v>522</v>
      </c>
      <c r="E54" s="429">
        <v>1000038387</v>
      </c>
      <c r="F54" s="429" t="s">
        <v>573</v>
      </c>
      <c r="G54" s="429" t="s">
        <v>540</v>
      </c>
      <c r="H54" s="429">
        <v>10</v>
      </c>
      <c r="I54" s="303"/>
      <c r="J54" s="304" t="str">
        <f t="shared" si="0"/>
        <v>INCLUDED</v>
      </c>
    </row>
    <row r="55" spans="1:10">
      <c r="A55" s="472">
        <v>38</v>
      </c>
      <c r="B55" s="429">
        <v>7000031190</v>
      </c>
      <c r="C55" s="429">
        <v>380</v>
      </c>
      <c r="D55" s="429" t="s">
        <v>522</v>
      </c>
      <c r="E55" s="429">
        <v>1000038325</v>
      </c>
      <c r="F55" s="429" t="s">
        <v>574</v>
      </c>
      <c r="G55" s="429" t="s">
        <v>540</v>
      </c>
      <c r="H55" s="429">
        <v>5</v>
      </c>
      <c r="I55" s="303"/>
      <c r="J55" s="304" t="str">
        <f t="shared" si="0"/>
        <v>INCLUDED</v>
      </c>
    </row>
    <row r="56" spans="1:10">
      <c r="A56" s="472">
        <v>39</v>
      </c>
      <c r="B56" s="429">
        <v>7000031190</v>
      </c>
      <c r="C56" s="429">
        <v>390</v>
      </c>
      <c r="D56" s="429" t="s">
        <v>522</v>
      </c>
      <c r="E56" s="429">
        <v>1000001894</v>
      </c>
      <c r="F56" s="429" t="s">
        <v>546</v>
      </c>
      <c r="G56" s="429" t="s">
        <v>540</v>
      </c>
      <c r="H56" s="429">
        <v>1</v>
      </c>
      <c r="I56" s="303"/>
      <c r="J56" s="304" t="str">
        <f t="shared" si="0"/>
        <v>INCLUDED</v>
      </c>
    </row>
    <row r="57" spans="1:10">
      <c r="A57" s="472">
        <v>40</v>
      </c>
      <c r="B57" s="429">
        <v>7000031190</v>
      </c>
      <c r="C57" s="429">
        <v>400</v>
      </c>
      <c r="D57" s="429" t="s">
        <v>522</v>
      </c>
      <c r="E57" s="429">
        <v>1000004952</v>
      </c>
      <c r="F57" s="429" t="s">
        <v>507</v>
      </c>
      <c r="G57" s="429" t="s">
        <v>540</v>
      </c>
      <c r="H57" s="429">
        <v>1</v>
      </c>
      <c r="I57" s="303"/>
      <c r="J57" s="304" t="str">
        <f t="shared" si="0"/>
        <v>INCLUDED</v>
      </c>
    </row>
    <row r="58" spans="1:10">
      <c r="A58" s="472">
        <v>41</v>
      </c>
      <c r="B58" s="429">
        <v>7000031190</v>
      </c>
      <c r="C58" s="429">
        <v>410</v>
      </c>
      <c r="D58" s="429" t="s">
        <v>522</v>
      </c>
      <c r="E58" s="429">
        <v>1000014547</v>
      </c>
      <c r="F58" s="429" t="s">
        <v>471</v>
      </c>
      <c r="G58" s="429" t="s">
        <v>540</v>
      </c>
      <c r="H58" s="429">
        <v>1</v>
      </c>
      <c r="I58" s="303"/>
      <c r="J58" s="304" t="str">
        <f t="shared" si="0"/>
        <v>INCLUDED</v>
      </c>
    </row>
    <row r="59" spans="1:10" ht="31.5">
      <c r="A59" s="472">
        <v>42</v>
      </c>
      <c r="B59" s="429">
        <v>7000031190</v>
      </c>
      <c r="C59" s="429">
        <v>420</v>
      </c>
      <c r="D59" s="429" t="s">
        <v>523</v>
      </c>
      <c r="E59" s="429">
        <v>1000019918</v>
      </c>
      <c r="F59" s="429" t="s">
        <v>473</v>
      </c>
      <c r="G59" s="429" t="s">
        <v>542</v>
      </c>
      <c r="H59" s="429">
        <v>1</v>
      </c>
      <c r="I59" s="303"/>
      <c r="J59" s="304" t="str">
        <f t="shared" si="0"/>
        <v>INCLUDED</v>
      </c>
    </row>
    <row r="60" spans="1:10" ht="31.5">
      <c r="A60" s="472">
        <v>43</v>
      </c>
      <c r="B60" s="429">
        <v>7000031190</v>
      </c>
      <c r="C60" s="429">
        <v>430</v>
      </c>
      <c r="D60" s="429" t="s">
        <v>523</v>
      </c>
      <c r="E60" s="429">
        <v>1000019919</v>
      </c>
      <c r="F60" s="429" t="s">
        <v>474</v>
      </c>
      <c r="G60" s="429" t="s">
        <v>542</v>
      </c>
      <c r="H60" s="429">
        <v>1</v>
      </c>
      <c r="I60" s="303"/>
      <c r="J60" s="304" t="str">
        <f t="shared" si="0"/>
        <v>INCLUDED</v>
      </c>
    </row>
    <row r="61" spans="1:10" ht="31.5">
      <c r="A61" s="472">
        <v>44</v>
      </c>
      <c r="B61" s="429">
        <v>7000031190</v>
      </c>
      <c r="C61" s="429">
        <v>440</v>
      </c>
      <c r="D61" s="429" t="s">
        <v>523</v>
      </c>
      <c r="E61" s="429">
        <v>1000024186</v>
      </c>
      <c r="F61" s="429" t="s">
        <v>537</v>
      </c>
      <c r="G61" s="429" t="s">
        <v>542</v>
      </c>
      <c r="H61" s="429">
        <v>1</v>
      </c>
      <c r="I61" s="303"/>
      <c r="J61" s="304" t="str">
        <f t="shared" si="0"/>
        <v>INCLUDED</v>
      </c>
    </row>
    <row r="62" spans="1:10" ht="31.5">
      <c r="A62" s="472">
        <v>45</v>
      </c>
      <c r="B62" s="429">
        <v>7000031190</v>
      </c>
      <c r="C62" s="429">
        <v>450</v>
      </c>
      <c r="D62" s="429" t="s">
        <v>523</v>
      </c>
      <c r="E62" s="429">
        <v>1000025941</v>
      </c>
      <c r="F62" s="429" t="s">
        <v>475</v>
      </c>
      <c r="G62" s="429" t="s">
        <v>464</v>
      </c>
      <c r="H62" s="429">
        <v>1</v>
      </c>
      <c r="I62" s="303"/>
      <c r="J62" s="304" t="str">
        <f t="shared" si="0"/>
        <v>INCLUDED</v>
      </c>
    </row>
    <row r="63" spans="1:10" ht="31.5">
      <c r="A63" s="472">
        <v>46</v>
      </c>
      <c r="B63" s="429">
        <v>7000031190</v>
      </c>
      <c r="C63" s="429">
        <v>460</v>
      </c>
      <c r="D63" s="429" t="s">
        <v>523</v>
      </c>
      <c r="E63" s="429">
        <v>1000025935</v>
      </c>
      <c r="F63" s="429" t="s">
        <v>503</v>
      </c>
      <c r="G63" s="429" t="s">
        <v>464</v>
      </c>
      <c r="H63" s="429">
        <v>1</v>
      </c>
      <c r="I63" s="303"/>
      <c r="J63" s="304" t="str">
        <f t="shared" si="0"/>
        <v>INCLUDED</v>
      </c>
    </row>
    <row r="64" spans="1:10" ht="31.5">
      <c r="A64" s="472">
        <v>47</v>
      </c>
      <c r="B64" s="429">
        <v>7000031190</v>
      </c>
      <c r="C64" s="429">
        <v>470</v>
      </c>
      <c r="D64" s="429" t="s">
        <v>523</v>
      </c>
      <c r="E64" s="429">
        <v>1000025936</v>
      </c>
      <c r="F64" s="429" t="s">
        <v>504</v>
      </c>
      <c r="G64" s="429" t="s">
        <v>464</v>
      </c>
      <c r="H64" s="429">
        <v>1</v>
      </c>
      <c r="I64" s="303"/>
      <c r="J64" s="304" t="str">
        <f t="shared" si="0"/>
        <v>INCLUDED</v>
      </c>
    </row>
    <row r="65" spans="1:28" ht="31.5">
      <c r="A65" s="472">
        <v>48</v>
      </c>
      <c r="B65" s="429">
        <v>7000031190</v>
      </c>
      <c r="C65" s="429">
        <v>480</v>
      </c>
      <c r="D65" s="429" t="s">
        <v>523</v>
      </c>
      <c r="E65" s="429">
        <v>1000025930</v>
      </c>
      <c r="F65" s="429" t="s">
        <v>538</v>
      </c>
      <c r="G65" s="429" t="s">
        <v>464</v>
      </c>
      <c r="H65" s="429">
        <v>1</v>
      </c>
      <c r="I65" s="303"/>
      <c r="J65" s="304" t="str">
        <f t="shared" si="0"/>
        <v>INCLUDED</v>
      </c>
    </row>
    <row r="66" spans="1:28" ht="31.5">
      <c r="A66" s="472">
        <v>49</v>
      </c>
      <c r="B66" s="429">
        <v>7000031190</v>
      </c>
      <c r="C66" s="429">
        <v>490</v>
      </c>
      <c r="D66" s="429" t="s">
        <v>523</v>
      </c>
      <c r="E66" s="429">
        <v>1000025933</v>
      </c>
      <c r="F66" s="429" t="s">
        <v>505</v>
      </c>
      <c r="G66" s="429" t="s">
        <v>464</v>
      </c>
      <c r="H66" s="429">
        <v>1</v>
      </c>
      <c r="I66" s="303"/>
      <c r="J66" s="304" t="str">
        <f t="shared" si="0"/>
        <v>INCLUDED</v>
      </c>
    </row>
    <row r="67" spans="1:28" ht="31.5">
      <c r="A67" s="472">
        <v>50</v>
      </c>
      <c r="B67" s="429">
        <v>7000031190</v>
      </c>
      <c r="C67" s="429">
        <v>500</v>
      </c>
      <c r="D67" s="429" t="s">
        <v>523</v>
      </c>
      <c r="E67" s="429">
        <v>1000019912</v>
      </c>
      <c r="F67" s="429" t="s">
        <v>476</v>
      </c>
      <c r="G67" s="429" t="s">
        <v>542</v>
      </c>
      <c r="H67" s="429">
        <v>1</v>
      </c>
      <c r="I67" s="303"/>
      <c r="J67" s="304" t="str">
        <f t="shared" si="0"/>
        <v>INCLUDED</v>
      </c>
    </row>
    <row r="68" spans="1:28" ht="31.5">
      <c r="A68" s="472">
        <v>51</v>
      </c>
      <c r="B68" s="429">
        <v>7000031190</v>
      </c>
      <c r="C68" s="429">
        <v>510</v>
      </c>
      <c r="D68" s="429" t="s">
        <v>523</v>
      </c>
      <c r="E68" s="429">
        <v>1000019927</v>
      </c>
      <c r="F68" s="429" t="s">
        <v>575</v>
      </c>
      <c r="G68" s="429" t="s">
        <v>542</v>
      </c>
      <c r="H68" s="429">
        <v>1</v>
      </c>
      <c r="I68" s="303"/>
      <c r="J68" s="304" t="str">
        <f t="shared" si="0"/>
        <v>INCLUDED</v>
      </c>
    </row>
    <row r="69" spans="1:28" ht="31.5">
      <c r="A69" s="472">
        <v>52</v>
      </c>
      <c r="B69" s="429">
        <v>7000031190</v>
      </c>
      <c r="C69" s="429">
        <v>520</v>
      </c>
      <c r="D69" s="429" t="s">
        <v>523</v>
      </c>
      <c r="E69" s="429">
        <v>1000019925</v>
      </c>
      <c r="F69" s="429" t="s">
        <v>539</v>
      </c>
      <c r="G69" s="429" t="s">
        <v>542</v>
      </c>
      <c r="H69" s="429">
        <v>1</v>
      </c>
      <c r="I69" s="303"/>
      <c r="J69" s="304" t="str">
        <f t="shared" si="0"/>
        <v>INCLUDED</v>
      </c>
    </row>
    <row r="70" spans="1:28" ht="47.25">
      <c r="A70" s="472">
        <v>53</v>
      </c>
      <c r="B70" s="429">
        <v>7000031190</v>
      </c>
      <c r="C70" s="429">
        <v>530</v>
      </c>
      <c r="D70" s="429" t="s">
        <v>555</v>
      </c>
      <c r="E70" s="429">
        <v>1000015954</v>
      </c>
      <c r="F70" s="429" t="s">
        <v>477</v>
      </c>
      <c r="G70" s="429" t="s">
        <v>543</v>
      </c>
      <c r="H70" s="429">
        <v>25</v>
      </c>
      <c r="I70" s="303"/>
      <c r="J70" s="304" t="str">
        <f t="shared" si="0"/>
        <v>INCLUDED</v>
      </c>
    </row>
    <row r="71" spans="1:28" ht="47.25">
      <c r="A71" s="472">
        <v>54</v>
      </c>
      <c r="B71" s="429">
        <v>7000031190</v>
      </c>
      <c r="C71" s="429">
        <v>540</v>
      </c>
      <c r="D71" s="429" t="s">
        <v>555</v>
      </c>
      <c r="E71" s="429">
        <v>1000011713</v>
      </c>
      <c r="F71" s="429" t="s">
        <v>478</v>
      </c>
      <c r="G71" s="429" t="s">
        <v>543</v>
      </c>
      <c r="H71" s="429">
        <v>3</v>
      </c>
      <c r="I71" s="303"/>
      <c r="J71" s="304" t="str">
        <f t="shared" si="0"/>
        <v>INCLUDED</v>
      </c>
    </row>
    <row r="72" spans="1:28" ht="47.25">
      <c r="A72" s="472">
        <v>55</v>
      </c>
      <c r="B72" s="429">
        <v>7000031190</v>
      </c>
      <c r="C72" s="429">
        <v>550</v>
      </c>
      <c r="D72" s="429" t="s">
        <v>555</v>
      </c>
      <c r="E72" s="429">
        <v>1000012373</v>
      </c>
      <c r="F72" s="429" t="s">
        <v>479</v>
      </c>
      <c r="G72" s="429" t="s">
        <v>543</v>
      </c>
      <c r="H72" s="429">
        <v>4</v>
      </c>
      <c r="I72" s="303"/>
      <c r="J72" s="304" t="str">
        <f t="shared" si="0"/>
        <v>INCLUDED</v>
      </c>
    </row>
    <row r="73" spans="1:28" ht="22.5" customHeight="1">
      <c r="A73" s="812"/>
      <c r="B73" s="813"/>
      <c r="C73" s="813"/>
      <c r="D73" s="813"/>
      <c r="E73" s="813"/>
      <c r="F73" s="813"/>
      <c r="G73" s="813"/>
      <c r="H73" s="813"/>
      <c r="I73" s="813"/>
      <c r="J73" s="814"/>
    </row>
    <row r="74" spans="1:28" s="596" customFormat="1" ht="33" customHeight="1">
      <c r="A74" s="591"/>
      <c r="B74" s="816" t="s">
        <v>482</v>
      </c>
      <c r="C74" s="817"/>
      <c r="D74" s="817"/>
      <c r="E74" s="817"/>
      <c r="F74" s="817"/>
      <c r="G74" s="817"/>
      <c r="H74" s="818"/>
      <c r="I74" s="592"/>
      <c r="J74" s="593">
        <f>SUM(J18:J72)</f>
        <v>0</v>
      </c>
      <c r="K74" s="594"/>
      <c r="L74" s="595"/>
      <c r="M74" s="595"/>
      <c r="N74" s="595"/>
      <c r="O74" s="595"/>
      <c r="P74" s="595"/>
      <c r="Q74" s="595"/>
      <c r="R74" s="595"/>
      <c r="S74" s="595"/>
      <c r="T74" s="595"/>
      <c r="U74" s="595"/>
      <c r="V74" s="595"/>
      <c r="W74" s="595"/>
      <c r="X74" s="595"/>
      <c r="Y74" s="595"/>
      <c r="Z74" s="595"/>
      <c r="AA74" s="595"/>
      <c r="AB74" s="595"/>
    </row>
    <row r="75" spans="1:28" ht="57.75" customHeight="1">
      <c r="A75" s="474"/>
      <c r="B75" s="810" t="s">
        <v>327</v>
      </c>
      <c r="C75" s="810"/>
      <c r="D75" s="810"/>
      <c r="E75" s="810"/>
      <c r="F75" s="810"/>
      <c r="G75" s="810"/>
      <c r="H75" s="810"/>
      <c r="I75" s="810"/>
      <c r="J75" s="810"/>
      <c r="K75" s="473"/>
    </row>
    <row r="76" spans="1:28" ht="24.75" customHeight="1">
      <c r="B76" s="431"/>
      <c r="C76" s="431"/>
      <c r="D76" s="431"/>
      <c r="E76" s="431"/>
      <c r="F76" s="431"/>
      <c r="G76" s="431"/>
      <c r="H76" s="439"/>
      <c r="I76" s="431"/>
      <c r="J76" s="439"/>
      <c r="K76" s="473"/>
    </row>
    <row r="77" spans="1:28" s="475" customFormat="1" ht="16.5">
      <c r="B77" s="476" t="s">
        <v>297</v>
      </c>
      <c r="C77" s="804" t="str">
        <f>'Sch-1'!C79:D79</f>
        <v xml:space="preserve">  </v>
      </c>
      <c r="D77" s="801"/>
      <c r="G77" s="819" t="s">
        <v>299</v>
      </c>
      <c r="H77" s="819"/>
      <c r="I77" s="803" t="str">
        <f>'Sch-1'!K79</f>
        <v/>
      </c>
      <c r="J77" s="803"/>
    </row>
    <row r="78" spans="1:28" s="475" customFormat="1" ht="16.5">
      <c r="B78" s="476" t="s">
        <v>298</v>
      </c>
      <c r="C78" s="801" t="str">
        <f>'Sch-1'!C80:D80</f>
        <v/>
      </c>
      <c r="D78" s="801"/>
      <c r="G78" s="819" t="s">
        <v>115</v>
      </c>
      <c r="H78" s="819"/>
      <c r="I78" s="803" t="str">
        <f>'Sch-1'!K80</f>
        <v/>
      </c>
      <c r="J78" s="803"/>
    </row>
    <row r="79" spans="1:28" ht="16.5">
      <c r="B79" s="478"/>
      <c r="C79" s="479"/>
      <c r="D79" s="439"/>
      <c r="E79" s="480"/>
      <c r="F79" s="481"/>
      <c r="G79" s="439"/>
      <c r="H79" s="482"/>
      <c r="I79" s="473"/>
      <c r="J79" s="482"/>
      <c r="K79" s="473"/>
    </row>
    <row r="80" spans="1:28" ht="16.5">
      <c r="B80" s="441"/>
      <c r="C80" s="483"/>
      <c r="D80" s="441"/>
      <c r="E80" s="480"/>
      <c r="F80" s="481"/>
      <c r="G80" s="441"/>
      <c r="H80" s="482"/>
      <c r="I80" s="473"/>
      <c r="J80" s="482"/>
      <c r="K80" s="473"/>
    </row>
  </sheetData>
  <sheetProtection algorithmName="SHA-512" hashValue="7neouLK37mI9FgbKdZy/Yw33iSE51m0Y2PDeQMdGXTd/iSb8jNKIOU7f9SoCLHtWsPzrVaq5ieiDcSRMRFB2Gw==" saltValue="xODSGzBsnNMh1SvRtOd3bA==" spinCount="100000" sheet="1" formatColumns="0" formatRows="0" selectLockedCells="1"/>
  <customSheetViews>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2"/>
      <headerFooter>
        <oddHeader>&amp;RSchedule-2Page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3"/>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4"/>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5"/>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8"/>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9"/>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10"/>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11"/>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12"/>
      <headerFooter>
        <oddHeader>&amp;RSchedule-2Page &amp;P of &amp;N</oddHeader>
      </headerFooter>
    </customSheetView>
    <customSheetView guid="{C497F4E0-7D3E-4065-935D-7086BE9276FE}"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A13:J13"/>
    <mergeCell ref="B74:H74"/>
    <mergeCell ref="G78:H78"/>
    <mergeCell ref="G77:H77"/>
    <mergeCell ref="I78:J78"/>
    <mergeCell ref="N3:O3"/>
    <mergeCell ref="A4:J4"/>
    <mergeCell ref="A3:J3"/>
    <mergeCell ref="C78:D78"/>
    <mergeCell ref="B75:J75"/>
    <mergeCell ref="C77:D77"/>
    <mergeCell ref="I77:J77"/>
    <mergeCell ref="A6:B6"/>
    <mergeCell ref="I14:J14"/>
    <mergeCell ref="A7:F7"/>
    <mergeCell ref="A8:G8"/>
    <mergeCell ref="C10:E10"/>
    <mergeCell ref="C9:E9"/>
    <mergeCell ref="A73:J73"/>
    <mergeCell ref="C12:E12"/>
    <mergeCell ref="C11:E11"/>
  </mergeCells>
  <dataValidations count="2">
    <dataValidation type="decimal" operator="greaterThan" allowBlank="1" showInputMessage="1" showErrorMessage="1" error="Enter only Numeric value greater than zero or leave the cell blank !" sqref="I64657:I64658" xr:uid="{00000000-0002-0000-0500-000000000000}">
      <formula1>0</formula1>
    </dataValidation>
    <dataValidation type="decimal" operator="greaterThanOrEqual" allowBlank="1" showInputMessage="1" showErrorMessage="1" sqref="I18:I72"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99"/>
  <sheetViews>
    <sheetView view="pageBreakPreview" topLeftCell="D78" zoomScale="85" zoomScaleNormal="80" zoomScaleSheetLayoutView="85" workbookViewId="0">
      <selection activeCell="I38" sqref="I38"/>
    </sheetView>
  </sheetViews>
  <sheetFormatPr defaultColWidth="38.5703125" defaultRowHeight="15.75"/>
  <cols>
    <col min="1" max="1" width="5.5703125" style="554" customWidth="1"/>
    <col min="2" max="2" width="14.5703125" style="554" customWidth="1"/>
    <col min="3" max="3" width="9.7109375" style="554" customWidth="1"/>
    <col min="4" max="4" width="9.140625" style="554" customWidth="1"/>
    <col min="5" max="5" width="9.28515625" style="554" customWidth="1"/>
    <col min="6" max="6" width="33.7109375" style="525" customWidth="1"/>
    <col min="7" max="7" width="18.5703125" style="525" customWidth="1"/>
    <col min="8" max="8" width="13.85546875" style="525" customWidth="1"/>
    <col min="9" max="9" width="15.7109375" style="525" customWidth="1"/>
    <col min="10" max="10" width="13.85546875" style="525" customWidth="1"/>
    <col min="11" max="11" width="17" style="525" customWidth="1"/>
    <col min="12" max="12" width="108.42578125" style="444" customWidth="1"/>
    <col min="13" max="13" width="8.7109375" style="526" customWidth="1"/>
    <col min="14" max="14" width="10.5703125" style="527" customWidth="1"/>
    <col min="15" max="15" width="16.140625" style="526" customWidth="1"/>
    <col min="16" max="16" width="24" style="526" customWidth="1"/>
    <col min="17" max="17" width="9.140625" style="251" hidden="1" customWidth="1"/>
    <col min="18" max="18" width="16.42578125" style="247" hidden="1" customWidth="1"/>
    <col min="19" max="19" width="15.85546875" style="247" hidden="1" customWidth="1"/>
    <col min="20" max="20" width="16.42578125" style="445" hidden="1" customWidth="1"/>
    <col min="21" max="21" width="16.85546875" style="247" hidden="1" customWidth="1"/>
    <col min="22" max="22" width="14.5703125" style="251" hidden="1" customWidth="1"/>
    <col min="23" max="28" width="9.140625" style="251" hidden="1" customWidth="1"/>
    <col min="29" max="31" width="9.140625" style="251" customWidth="1"/>
    <col min="32" max="243" width="9.140625" style="247" customWidth="1"/>
    <col min="244" max="244" width="12.5703125" style="247" customWidth="1"/>
    <col min="245" max="245" width="73.42578125" style="247" customWidth="1"/>
    <col min="246" max="246" width="8.7109375" style="247" customWidth="1"/>
    <col min="247" max="247" width="10.5703125" style="247" customWidth="1"/>
    <col min="248" max="248" width="14.5703125" style="247" customWidth="1"/>
    <col min="249" max="16384" width="38.5703125" style="247"/>
  </cols>
  <sheetData>
    <row r="1" spans="1:31" ht="24.75" customHeight="1">
      <c r="A1" s="518" t="str">
        <f>Cover!B3</f>
        <v>NR2/NT/W-MISC/DOM/J01/25/07157</v>
      </c>
      <c r="B1" s="518"/>
      <c r="C1" s="518"/>
      <c r="D1" s="518"/>
      <c r="E1" s="518"/>
      <c r="F1" s="519"/>
      <c r="G1" s="519"/>
      <c r="H1" s="519"/>
      <c r="I1" s="519"/>
      <c r="J1" s="519"/>
      <c r="K1" s="519"/>
      <c r="L1" s="520"/>
      <c r="M1" s="485"/>
      <c r="N1" s="485"/>
      <c r="O1" s="432"/>
      <c r="P1" s="521" t="s">
        <v>14</v>
      </c>
    </row>
    <row r="2" spans="1:31">
      <c r="A2" s="522"/>
      <c r="B2" s="522"/>
      <c r="C2" s="522"/>
      <c r="D2" s="522"/>
      <c r="E2" s="522"/>
      <c r="F2" s="523"/>
      <c r="G2" s="523"/>
      <c r="H2" s="523"/>
      <c r="I2" s="523"/>
      <c r="J2" s="523"/>
      <c r="K2" s="523"/>
      <c r="L2" s="524"/>
      <c r="M2" s="445"/>
      <c r="N2" s="445"/>
      <c r="O2" s="247"/>
      <c r="P2" s="247"/>
    </row>
    <row r="3" spans="1:31" ht="80.25" customHeight="1">
      <c r="A3" s="791" t="str">
        <f>Cover!$B$2</f>
        <v xml:space="preserve"> Substation extension package (AIS) for augmentation of transformation capacity at 400/220kV Samba (PG) Substation in Jammu &amp; Kashmir by 1x500MVA 400/220kV ICT (4th).</v>
      </c>
      <c r="B3" s="791"/>
      <c r="C3" s="791"/>
      <c r="D3" s="791"/>
      <c r="E3" s="791"/>
      <c r="F3" s="791"/>
      <c r="G3" s="791"/>
      <c r="H3" s="791"/>
      <c r="I3" s="791"/>
      <c r="J3" s="791"/>
      <c r="K3" s="791"/>
      <c r="L3" s="791"/>
      <c r="M3" s="791"/>
      <c r="N3" s="791"/>
      <c r="O3" s="791"/>
      <c r="P3" s="791"/>
    </row>
    <row r="4" spans="1:31" ht="16.5">
      <c r="A4" s="792" t="s">
        <v>16</v>
      </c>
      <c r="B4" s="792"/>
      <c r="C4" s="792"/>
      <c r="D4" s="792"/>
      <c r="E4" s="792"/>
      <c r="F4" s="792"/>
      <c r="G4" s="792"/>
      <c r="H4" s="792"/>
      <c r="I4" s="792"/>
      <c r="J4" s="792"/>
      <c r="K4" s="792"/>
      <c r="L4" s="792"/>
      <c r="M4" s="792"/>
      <c r="N4" s="792"/>
      <c r="O4" s="792"/>
      <c r="P4" s="792"/>
    </row>
    <row r="6" spans="1:31" ht="21.75" customHeight="1">
      <c r="A6" s="793" t="s">
        <v>328</v>
      </c>
      <c r="B6" s="793"/>
      <c r="C6" s="445"/>
      <c r="D6" s="439"/>
      <c r="E6" s="445"/>
      <c r="F6" s="445"/>
      <c r="G6" s="445"/>
      <c r="H6" s="445"/>
      <c r="I6" s="445"/>
    </row>
    <row r="7" spans="1:31" ht="21" customHeight="1">
      <c r="A7" s="797">
        <f>'Sch-1'!A7</f>
        <v>0</v>
      </c>
      <c r="B7" s="797"/>
      <c r="C7" s="797"/>
      <c r="D7" s="797"/>
      <c r="E7" s="797"/>
      <c r="F7" s="797"/>
      <c r="G7" s="797"/>
      <c r="H7" s="797"/>
      <c r="I7" s="797"/>
      <c r="J7" s="528"/>
      <c r="K7" s="528"/>
      <c r="L7" s="455"/>
      <c r="M7" s="529" t="s">
        <v>1</v>
      </c>
      <c r="N7" s="530"/>
      <c r="O7" s="247"/>
      <c r="P7" s="247"/>
    </row>
    <row r="8" spans="1:31" ht="22.5" customHeight="1">
      <c r="A8" s="794" t="str">
        <f>"Bidder’s Name and Address  (" &amp; MID('Names of Bidder'!A9,9, 20) &amp; ") :"</f>
        <v>Bidder’s Name and Address  (Sole Bidder) :</v>
      </c>
      <c r="B8" s="794"/>
      <c r="C8" s="794"/>
      <c r="D8" s="794"/>
      <c r="E8" s="794"/>
      <c r="F8" s="794"/>
      <c r="G8" s="794"/>
      <c r="H8" s="450"/>
      <c r="I8" s="450"/>
      <c r="J8" s="531"/>
      <c r="K8" s="531"/>
      <c r="L8" s="531"/>
      <c r="M8" s="532" t="str">
        <f>'Sch-1'!K8</f>
        <v>Contract Services</v>
      </c>
      <c r="N8" s="531"/>
      <c r="O8" s="247"/>
      <c r="P8" s="247"/>
    </row>
    <row r="9" spans="1:31" ht="24.75" customHeight="1">
      <c r="A9" s="446" t="s">
        <v>9</v>
      </c>
      <c r="B9" s="451"/>
      <c r="C9" s="797" t="str">
        <f>IF('Names of Bidder'!C9=0, "", 'Names of Bidder'!C9)</f>
        <v/>
      </c>
      <c r="D9" s="797"/>
      <c r="E9" s="797"/>
      <c r="F9" s="797"/>
      <c r="G9" s="797"/>
      <c r="H9" s="453"/>
      <c r="I9" s="453"/>
      <c r="J9" s="533"/>
      <c r="K9" s="533"/>
      <c r="L9" s="533"/>
      <c r="M9" s="532" t="str">
        <f>'Sch-1'!K9</f>
        <v>Power Grid Corporation of India Ltd.,</v>
      </c>
      <c r="N9" s="445"/>
      <c r="O9" s="247"/>
      <c r="P9" s="247"/>
    </row>
    <row r="10" spans="1:31" ht="21" customHeight="1">
      <c r="A10" s="446" t="s">
        <v>8</v>
      </c>
      <c r="B10" s="451"/>
      <c r="C10" s="796" t="str">
        <f>IF('Names of Bidder'!C10=0, "", 'Names of Bidder'!C10)</f>
        <v/>
      </c>
      <c r="D10" s="796"/>
      <c r="E10" s="796"/>
      <c r="F10" s="796"/>
      <c r="G10" s="796"/>
      <c r="H10" s="453"/>
      <c r="I10" s="453"/>
      <c r="J10" s="533"/>
      <c r="K10" s="533"/>
      <c r="L10" s="533"/>
      <c r="M10" s="532" t="str">
        <f>'Sch-1'!K10</f>
        <v>Northern Region Transmission System-II</v>
      </c>
      <c r="N10" s="445"/>
      <c r="O10" s="247"/>
      <c r="P10" s="247"/>
    </row>
    <row r="11" spans="1:31" ht="20.25" customHeight="1">
      <c r="A11" s="453"/>
      <c r="B11" s="453"/>
      <c r="C11" s="796" t="str">
        <f>IF('Names of Bidder'!C11=0, "", 'Names of Bidder'!C11)</f>
        <v/>
      </c>
      <c r="D11" s="796"/>
      <c r="E11" s="796"/>
      <c r="F11" s="796"/>
      <c r="G11" s="796"/>
      <c r="H11" s="453"/>
      <c r="I11" s="453"/>
      <c r="J11" s="533"/>
      <c r="K11" s="533"/>
      <c r="L11" s="533"/>
      <c r="M11" s="532" t="str">
        <f>'Sch-1'!K11</f>
        <v>Regional Head Quarters, Grid Bhawan, OB-26</v>
      </c>
      <c r="N11" s="445"/>
      <c r="O11" s="247"/>
      <c r="P11" s="247"/>
    </row>
    <row r="12" spans="1:31" ht="21" customHeight="1">
      <c r="A12" s="453"/>
      <c r="B12" s="453"/>
      <c r="C12" s="796" t="str">
        <f>IF('Names of Bidder'!C12=0, "", 'Names of Bidder'!C12)</f>
        <v/>
      </c>
      <c r="D12" s="796"/>
      <c r="E12" s="796"/>
      <c r="F12" s="796"/>
      <c r="G12" s="796"/>
      <c r="H12" s="453"/>
      <c r="I12" s="453"/>
      <c r="J12" s="533"/>
      <c r="K12" s="533"/>
      <c r="L12" s="533"/>
      <c r="M12" s="532" t="str">
        <f>'Sch-1'!K12</f>
        <v>Rail Head Complex, Jammu-180 012 (J&amp;K)</v>
      </c>
      <c r="N12" s="445"/>
      <c r="O12" s="247"/>
      <c r="P12" s="247"/>
    </row>
    <row r="13" spans="1:31">
      <c r="A13" s="534"/>
      <c r="B13" s="534"/>
      <c r="C13" s="534"/>
      <c r="D13" s="534"/>
      <c r="E13" s="534"/>
      <c r="F13" s="535"/>
      <c r="G13" s="535"/>
      <c r="H13" s="535"/>
      <c r="I13" s="535"/>
      <c r="J13" s="535"/>
      <c r="K13" s="535"/>
      <c r="L13" s="533"/>
      <c r="M13" s="449"/>
      <c r="N13" s="453"/>
      <c r="O13" s="532"/>
      <c r="P13" s="247"/>
    </row>
    <row r="14" spans="1:31" ht="24.75" customHeight="1" thickBot="1">
      <c r="A14" s="832" t="s">
        <v>18</v>
      </c>
      <c r="B14" s="832"/>
      <c r="C14" s="832"/>
      <c r="D14" s="832"/>
      <c r="E14" s="832"/>
      <c r="F14" s="832"/>
      <c r="G14" s="832"/>
      <c r="H14" s="832"/>
      <c r="I14" s="832"/>
      <c r="J14" s="832"/>
      <c r="K14" s="832"/>
      <c r="L14" s="832"/>
      <c r="M14" s="590"/>
      <c r="N14" s="536"/>
      <c r="O14" s="831" t="s">
        <v>333</v>
      </c>
      <c r="P14" s="831"/>
    </row>
    <row r="15" spans="1:31" s="544" customFormat="1" ht="125.25" customHeight="1">
      <c r="A15" s="537" t="s">
        <v>4</v>
      </c>
      <c r="B15" s="538" t="s">
        <v>250</v>
      </c>
      <c r="C15" s="538" t="s">
        <v>262</v>
      </c>
      <c r="D15" s="538" t="s">
        <v>261</v>
      </c>
      <c r="E15" s="538" t="s">
        <v>263</v>
      </c>
      <c r="F15" s="538" t="s">
        <v>264</v>
      </c>
      <c r="G15" s="537" t="s">
        <v>22</v>
      </c>
      <c r="H15" s="299" t="s">
        <v>301</v>
      </c>
      <c r="I15" s="300" t="s">
        <v>455</v>
      </c>
      <c r="J15" s="300" t="s">
        <v>291</v>
      </c>
      <c r="K15" s="300" t="s">
        <v>454</v>
      </c>
      <c r="L15" s="539" t="s">
        <v>12</v>
      </c>
      <c r="M15" s="540" t="s">
        <v>6</v>
      </c>
      <c r="N15" s="540" t="s">
        <v>13</v>
      </c>
      <c r="O15" s="539" t="s">
        <v>20</v>
      </c>
      <c r="P15" s="539" t="s">
        <v>21</v>
      </c>
      <c r="Q15" s="541"/>
      <c r="R15" s="542" t="s">
        <v>324</v>
      </c>
      <c r="S15" s="543" t="s">
        <v>325</v>
      </c>
      <c r="T15" s="542" t="s">
        <v>322</v>
      </c>
      <c r="U15" s="542" t="s">
        <v>323</v>
      </c>
      <c r="V15" s="541"/>
      <c r="W15" s="541"/>
      <c r="X15" s="541"/>
      <c r="Y15" s="541"/>
      <c r="Z15" s="541"/>
      <c r="AA15" s="541"/>
      <c r="AB15" s="541"/>
      <c r="AC15" s="541"/>
      <c r="AD15" s="541"/>
      <c r="AE15" s="541"/>
    </row>
    <row r="16" spans="1:31" s="544" customFormat="1" ht="16.5">
      <c r="A16" s="495">
        <v>1</v>
      </c>
      <c r="B16" s="495">
        <v>2</v>
      </c>
      <c r="C16" s="495">
        <v>3</v>
      </c>
      <c r="D16" s="495">
        <v>4</v>
      </c>
      <c r="E16" s="495">
        <v>5</v>
      </c>
      <c r="F16" s="492">
        <v>6</v>
      </c>
      <c r="G16" s="492">
        <v>7</v>
      </c>
      <c r="H16" s="299">
        <v>8</v>
      </c>
      <c r="I16" s="299">
        <v>9</v>
      </c>
      <c r="J16" s="299">
        <v>10</v>
      </c>
      <c r="K16" s="299">
        <v>11</v>
      </c>
      <c r="L16" s="492">
        <v>12</v>
      </c>
      <c r="M16" s="495">
        <v>13</v>
      </c>
      <c r="N16" s="495">
        <v>14</v>
      </c>
      <c r="O16" s="495">
        <v>15</v>
      </c>
      <c r="P16" s="495" t="s">
        <v>302</v>
      </c>
      <c r="Q16" s="541"/>
      <c r="V16" s="541"/>
      <c r="W16" s="541"/>
      <c r="X16" s="541"/>
      <c r="Y16" s="541"/>
      <c r="Z16" s="541"/>
      <c r="AA16" s="541"/>
      <c r="AB16" s="541"/>
      <c r="AC16" s="541"/>
      <c r="AD16" s="541"/>
      <c r="AE16" s="541"/>
    </row>
    <row r="17" spans="1:31" s="544" customFormat="1" ht="34.5" customHeight="1">
      <c r="A17" s="545" t="str">
        <f>'Sch-1'!A17</f>
        <v>I</v>
      </c>
      <c r="B17" s="466" t="str">
        <f>'Sch-1'!B17</f>
        <v>ICT(4th) Augmentation at Samba substation</v>
      </c>
      <c r="C17" s="467"/>
      <c r="D17" s="467"/>
      <c r="E17" s="467"/>
      <c r="F17" s="468"/>
      <c r="G17" s="546"/>
      <c r="H17" s="546"/>
      <c r="I17" s="546"/>
      <c r="J17" s="546"/>
      <c r="K17" s="546"/>
      <c r="L17" s="546"/>
      <c r="M17" s="546"/>
      <c r="N17" s="546"/>
      <c r="O17" s="546"/>
      <c r="P17" s="546"/>
      <c r="Q17" s="541"/>
      <c r="V17" s="541"/>
      <c r="W17" s="541"/>
      <c r="X17" s="541"/>
      <c r="Y17" s="541"/>
      <c r="Z17" s="541"/>
      <c r="AA17" s="541"/>
      <c r="AB17" s="541"/>
      <c r="AC17" s="541"/>
      <c r="AD17" s="541"/>
      <c r="AE17" s="541"/>
    </row>
    <row r="18" spans="1:31">
      <c r="A18" s="426">
        <v>1</v>
      </c>
      <c r="B18" s="429"/>
      <c r="C18" s="429"/>
      <c r="D18" s="728">
        <v>560</v>
      </c>
      <c r="E18" s="429">
        <v>10</v>
      </c>
      <c r="F18" s="429" t="s">
        <v>513</v>
      </c>
      <c r="G18" s="429">
        <v>100000267</v>
      </c>
      <c r="H18" s="429">
        <v>998736</v>
      </c>
      <c r="I18" s="307"/>
      <c r="J18" s="729">
        <v>18</v>
      </c>
      <c r="K18" s="306"/>
      <c r="L18" s="429" t="s">
        <v>577</v>
      </c>
      <c r="M18" s="429" t="s">
        <v>540</v>
      </c>
      <c r="N18" s="429">
        <v>1</v>
      </c>
      <c r="O18" s="303"/>
      <c r="P18" s="305" t="str">
        <f t="shared" ref="P18:P39" si="0">IF(O18=0, "INCLUDED", IF(ISERROR(N18*O18), O18, N18*O18))</f>
        <v>INCLUDED</v>
      </c>
      <c r="Q18" s="516">
        <f t="shared" ref="Q18:Q39" si="1">IF(P18="Included",0,P18)</f>
        <v>0</v>
      </c>
      <c r="R18" s="547">
        <f>IF( K18="",J18*(IF(P18="Included",0,P18))/100,K18*(IF(P18="Included",0,P18)))</f>
        <v>0</v>
      </c>
      <c r="S18" s="548">
        <f>Discount!$J$36</f>
        <v>0</v>
      </c>
      <c r="T18" s="547">
        <f>S18*Q18</f>
        <v>0</v>
      </c>
      <c r="U18" s="549">
        <f>IF(K18="",J18*T18/100,K18*T18)</f>
        <v>0</v>
      </c>
      <c r="V18" s="550">
        <f>O18*N18</f>
        <v>0</v>
      </c>
      <c r="W18" s="551"/>
      <c r="X18" s="551"/>
      <c r="Y18" s="551"/>
      <c r="Z18" s="551"/>
      <c r="AA18" s="551"/>
    </row>
    <row r="19" spans="1:31">
      <c r="A19" s="426">
        <v>2</v>
      </c>
      <c r="B19" s="429"/>
      <c r="C19" s="429"/>
      <c r="D19" s="728">
        <v>560</v>
      </c>
      <c r="E19" s="429">
        <v>20</v>
      </c>
      <c r="F19" s="429" t="s">
        <v>513</v>
      </c>
      <c r="G19" s="429">
        <v>100000287</v>
      </c>
      <c r="H19" s="429">
        <v>998736</v>
      </c>
      <c r="I19" s="307"/>
      <c r="J19" s="729">
        <v>18</v>
      </c>
      <c r="K19" s="306"/>
      <c r="L19" s="429" t="s">
        <v>467</v>
      </c>
      <c r="M19" s="429" t="s">
        <v>540</v>
      </c>
      <c r="N19" s="429">
        <v>2</v>
      </c>
      <c r="O19" s="303"/>
      <c r="P19" s="305" t="str">
        <f t="shared" si="0"/>
        <v>INCLUDED</v>
      </c>
      <c r="Q19" s="516">
        <f t="shared" si="1"/>
        <v>0</v>
      </c>
      <c r="R19" s="547">
        <f t="shared" ref="R19:R38" si="2">IF( K19="",J19*(IF(P19="Included",0,P19))/100,K19*(IF(P19="Included",0,P19)))</f>
        <v>0</v>
      </c>
      <c r="S19" s="548">
        <f>Discount!$J$36</f>
        <v>0</v>
      </c>
      <c r="T19" s="547">
        <f t="shared" ref="T19:T38" si="3">S19*Q19</f>
        <v>0</v>
      </c>
      <c r="U19" s="549">
        <f t="shared" ref="U19:U38" si="4">IF(K19="",J19*T19/100,K19*T19)</f>
        <v>0</v>
      </c>
      <c r="V19" s="550">
        <f t="shared" ref="V19:V62" si="5">O19*N19</f>
        <v>0</v>
      </c>
      <c r="W19" s="551"/>
      <c r="X19" s="551"/>
      <c r="Y19" s="551"/>
      <c r="Z19" s="551"/>
      <c r="AA19" s="551"/>
    </row>
    <row r="20" spans="1:31">
      <c r="A20" s="426">
        <v>3</v>
      </c>
      <c r="B20" s="429"/>
      <c r="C20" s="429"/>
      <c r="D20" s="728">
        <v>560</v>
      </c>
      <c r="E20" s="429">
        <v>30</v>
      </c>
      <c r="F20" s="429" t="s">
        <v>513</v>
      </c>
      <c r="G20" s="429">
        <v>100000274</v>
      </c>
      <c r="H20" s="429">
        <v>998736</v>
      </c>
      <c r="I20" s="307"/>
      <c r="J20" s="729">
        <v>18</v>
      </c>
      <c r="K20" s="306"/>
      <c r="L20" s="429" t="s">
        <v>466</v>
      </c>
      <c r="M20" s="429" t="s">
        <v>540</v>
      </c>
      <c r="N20" s="429">
        <v>3</v>
      </c>
      <c r="O20" s="303"/>
      <c r="P20" s="305" t="str">
        <f t="shared" si="0"/>
        <v>INCLUDED</v>
      </c>
      <c r="Q20" s="516">
        <f t="shared" si="1"/>
        <v>0</v>
      </c>
      <c r="R20" s="547">
        <f t="shared" si="2"/>
        <v>0</v>
      </c>
      <c r="S20" s="548">
        <f>Discount!$J$36</f>
        <v>0</v>
      </c>
      <c r="T20" s="547">
        <f t="shared" si="3"/>
        <v>0</v>
      </c>
      <c r="U20" s="549">
        <f t="shared" si="4"/>
        <v>0</v>
      </c>
      <c r="V20" s="550">
        <f t="shared" si="5"/>
        <v>0</v>
      </c>
      <c r="W20" s="551"/>
      <c r="X20" s="551"/>
      <c r="Y20" s="551"/>
      <c r="Z20" s="551"/>
      <c r="AA20" s="551"/>
    </row>
    <row r="21" spans="1:31">
      <c r="A21" s="426">
        <v>4</v>
      </c>
      <c r="B21" s="429"/>
      <c r="C21" s="429"/>
      <c r="D21" s="728">
        <v>560</v>
      </c>
      <c r="E21" s="429">
        <v>40</v>
      </c>
      <c r="F21" s="429" t="s">
        <v>513</v>
      </c>
      <c r="G21" s="429">
        <v>100005443</v>
      </c>
      <c r="H21" s="429">
        <v>998734</v>
      </c>
      <c r="I21" s="307"/>
      <c r="J21" s="729">
        <v>18</v>
      </c>
      <c r="K21" s="306"/>
      <c r="L21" s="429" t="s">
        <v>578</v>
      </c>
      <c r="M21" s="429" t="s">
        <v>540</v>
      </c>
      <c r="N21" s="429">
        <v>3</v>
      </c>
      <c r="O21" s="303"/>
      <c r="P21" s="305" t="str">
        <f t="shared" si="0"/>
        <v>INCLUDED</v>
      </c>
      <c r="Q21" s="516">
        <f t="shared" si="1"/>
        <v>0</v>
      </c>
      <c r="R21" s="547">
        <f t="shared" si="2"/>
        <v>0</v>
      </c>
      <c r="S21" s="548">
        <f>Discount!$J$36</f>
        <v>0</v>
      </c>
      <c r="T21" s="547">
        <f t="shared" si="3"/>
        <v>0</v>
      </c>
      <c r="U21" s="549">
        <f t="shared" si="4"/>
        <v>0</v>
      </c>
      <c r="V21" s="550">
        <f t="shared" si="5"/>
        <v>0</v>
      </c>
      <c r="W21" s="551"/>
      <c r="X21" s="551"/>
      <c r="Y21" s="551"/>
      <c r="Z21" s="551"/>
      <c r="AA21" s="551"/>
    </row>
    <row r="22" spans="1:31">
      <c r="A22" s="426">
        <v>5</v>
      </c>
      <c r="B22" s="429"/>
      <c r="C22" s="429"/>
      <c r="D22" s="728">
        <v>560</v>
      </c>
      <c r="E22" s="429">
        <v>50</v>
      </c>
      <c r="F22" s="429" t="s">
        <v>513</v>
      </c>
      <c r="G22" s="429">
        <v>100000328</v>
      </c>
      <c r="H22" s="429">
        <v>998736</v>
      </c>
      <c r="I22" s="307"/>
      <c r="J22" s="729">
        <v>18</v>
      </c>
      <c r="K22" s="306"/>
      <c r="L22" s="429" t="s">
        <v>468</v>
      </c>
      <c r="M22" s="429" t="s">
        <v>540</v>
      </c>
      <c r="N22" s="429">
        <v>3</v>
      </c>
      <c r="O22" s="303"/>
      <c r="P22" s="305" t="str">
        <f t="shared" si="0"/>
        <v>INCLUDED</v>
      </c>
      <c r="Q22" s="516">
        <f t="shared" si="1"/>
        <v>0</v>
      </c>
      <c r="R22" s="547">
        <f t="shared" si="2"/>
        <v>0</v>
      </c>
      <c r="S22" s="548">
        <f>Discount!$J$36</f>
        <v>0</v>
      </c>
      <c r="T22" s="547">
        <f t="shared" si="3"/>
        <v>0</v>
      </c>
      <c r="U22" s="549">
        <f t="shared" si="4"/>
        <v>0</v>
      </c>
      <c r="V22" s="550">
        <f t="shared" si="5"/>
        <v>0</v>
      </c>
      <c r="W22" s="551"/>
      <c r="X22" s="551"/>
      <c r="Y22" s="551"/>
      <c r="Z22" s="551"/>
      <c r="AA22" s="551"/>
    </row>
    <row r="23" spans="1:31">
      <c r="A23" s="426">
        <v>6</v>
      </c>
      <c r="B23" s="429"/>
      <c r="C23" s="429"/>
      <c r="D23" s="728">
        <v>560</v>
      </c>
      <c r="E23" s="429">
        <v>60</v>
      </c>
      <c r="F23" s="429" t="s">
        <v>513</v>
      </c>
      <c r="G23" s="429">
        <v>100000268</v>
      </c>
      <c r="H23" s="429">
        <v>998736</v>
      </c>
      <c r="I23" s="307"/>
      <c r="J23" s="729">
        <v>18</v>
      </c>
      <c r="K23" s="306"/>
      <c r="L23" s="429" t="s">
        <v>465</v>
      </c>
      <c r="M23" s="429" t="s">
        <v>540</v>
      </c>
      <c r="N23" s="429">
        <v>2</v>
      </c>
      <c r="O23" s="303"/>
      <c r="P23" s="305" t="str">
        <f t="shared" si="0"/>
        <v>INCLUDED</v>
      </c>
      <c r="Q23" s="516">
        <f t="shared" si="1"/>
        <v>0</v>
      </c>
      <c r="R23" s="547">
        <f t="shared" si="2"/>
        <v>0</v>
      </c>
      <c r="S23" s="548">
        <f>Discount!$J$36</f>
        <v>0</v>
      </c>
      <c r="T23" s="547">
        <f t="shared" si="3"/>
        <v>0</v>
      </c>
      <c r="U23" s="549">
        <f t="shared" si="4"/>
        <v>0</v>
      </c>
      <c r="V23" s="550">
        <f t="shared" si="5"/>
        <v>0</v>
      </c>
      <c r="W23" s="551"/>
      <c r="X23" s="551"/>
      <c r="Y23" s="551"/>
      <c r="Z23" s="551"/>
      <c r="AA23" s="551"/>
    </row>
    <row r="24" spans="1:31">
      <c r="A24" s="426">
        <v>7</v>
      </c>
      <c r="B24" s="429"/>
      <c r="C24" s="429"/>
      <c r="D24" s="728">
        <v>560</v>
      </c>
      <c r="E24" s="429">
        <v>70</v>
      </c>
      <c r="F24" s="429" t="s">
        <v>514</v>
      </c>
      <c r="G24" s="429">
        <v>100003634</v>
      </c>
      <c r="H24" s="429">
        <v>998736</v>
      </c>
      <c r="I24" s="307"/>
      <c r="J24" s="729">
        <v>18</v>
      </c>
      <c r="K24" s="306"/>
      <c r="L24" s="429" t="s">
        <v>579</v>
      </c>
      <c r="M24" s="429" t="s">
        <v>540</v>
      </c>
      <c r="N24" s="429">
        <v>1</v>
      </c>
      <c r="O24" s="303"/>
      <c r="P24" s="305" t="str">
        <f t="shared" si="0"/>
        <v>INCLUDED</v>
      </c>
      <c r="Q24" s="516">
        <f t="shared" si="1"/>
        <v>0</v>
      </c>
      <c r="R24" s="547">
        <f t="shared" si="2"/>
        <v>0</v>
      </c>
      <c r="S24" s="548">
        <f>Discount!$J$36</f>
        <v>0</v>
      </c>
      <c r="T24" s="547">
        <f t="shared" si="3"/>
        <v>0</v>
      </c>
      <c r="U24" s="549">
        <f t="shared" si="4"/>
        <v>0</v>
      </c>
      <c r="V24" s="550">
        <f t="shared" si="5"/>
        <v>0</v>
      </c>
      <c r="W24" s="551"/>
      <c r="X24" s="551"/>
      <c r="Y24" s="551"/>
      <c r="Z24" s="551"/>
      <c r="AA24" s="551"/>
    </row>
    <row r="25" spans="1:31">
      <c r="A25" s="426">
        <v>8</v>
      </c>
      <c r="B25" s="429"/>
      <c r="C25" s="429"/>
      <c r="D25" s="728">
        <v>560</v>
      </c>
      <c r="E25" s="429">
        <v>80</v>
      </c>
      <c r="F25" s="429" t="s">
        <v>514</v>
      </c>
      <c r="G25" s="429">
        <v>100001989</v>
      </c>
      <c r="H25" s="429">
        <v>998736</v>
      </c>
      <c r="I25" s="307"/>
      <c r="J25" s="729">
        <v>18</v>
      </c>
      <c r="K25" s="306"/>
      <c r="L25" s="429" t="s">
        <v>580</v>
      </c>
      <c r="M25" s="429" t="s">
        <v>540</v>
      </c>
      <c r="N25" s="429">
        <v>3</v>
      </c>
      <c r="O25" s="303"/>
      <c r="P25" s="305" t="str">
        <f t="shared" si="0"/>
        <v>INCLUDED</v>
      </c>
      <c r="Q25" s="516">
        <f t="shared" si="1"/>
        <v>0</v>
      </c>
      <c r="R25" s="547">
        <f t="shared" si="2"/>
        <v>0</v>
      </c>
      <c r="S25" s="548">
        <f>Discount!$J$36</f>
        <v>0</v>
      </c>
      <c r="T25" s="547">
        <f t="shared" si="3"/>
        <v>0</v>
      </c>
      <c r="U25" s="549">
        <f t="shared" si="4"/>
        <v>0</v>
      </c>
      <c r="V25" s="550">
        <f t="shared" si="5"/>
        <v>0</v>
      </c>
      <c r="W25" s="551"/>
      <c r="X25" s="551"/>
      <c r="Y25" s="551"/>
      <c r="Z25" s="551"/>
      <c r="AA25" s="551"/>
    </row>
    <row r="26" spans="1:31">
      <c r="A26" s="426">
        <v>9</v>
      </c>
      <c r="B26" s="429"/>
      <c r="C26" s="429"/>
      <c r="D26" s="728">
        <v>560</v>
      </c>
      <c r="E26" s="429">
        <v>90</v>
      </c>
      <c r="F26" s="429" t="s">
        <v>514</v>
      </c>
      <c r="G26" s="429">
        <v>100002014</v>
      </c>
      <c r="H26" s="429">
        <v>998736</v>
      </c>
      <c r="I26" s="307"/>
      <c r="J26" s="729">
        <v>18</v>
      </c>
      <c r="K26" s="306"/>
      <c r="L26" s="429" t="s">
        <v>562</v>
      </c>
      <c r="M26" s="429" t="s">
        <v>540</v>
      </c>
      <c r="N26" s="429">
        <v>1</v>
      </c>
      <c r="O26" s="303"/>
      <c r="P26" s="305" t="str">
        <f t="shared" si="0"/>
        <v>INCLUDED</v>
      </c>
      <c r="Q26" s="516">
        <f t="shared" si="1"/>
        <v>0</v>
      </c>
      <c r="R26" s="547">
        <f t="shared" si="2"/>
        <v>0</v>
      </c>
      <c r="S26" s="548">
        <f>Discount!$J$36</f>
        <v>0</v>
      </c>
      <c r="T26" s="547">
        <f t="shared" si="3"/>
        <v>0</v>
      </c>
      <c r="U26" s="549">
        <f t="shared" si="4"/>
        <v>0</v>
      </c>
      <c r="V26" s="550">
        <f t="shared" si="5"/>
        <v>0</v>
      </c>
      <c r="W26" s="551"/>
      <c r="X26" s="551"/>
      <c r="Y26" s="551"/>
      <c r="Z26" s="551"/>
      <c r="AA26" s="551"/>
    </row>
    <row r="27" spans="1:31">
      <c r="A27" s="426">
        <v>10</v>
      </c>
      <c r="B27" s="429"/>
      <c r="C27" s="429"/>
      <c r="D27" s="728">
        <v>560</v>
      </c>
      <c r="E27" s="429">
        <v>100</v>
      </c>
      <c r="F27" s="429" t="s">
        <v>514</v>
      </c>
      <c r="G27" s="429">
        <v>100002013</v>
      </c>
      <c r="H27" s="429">
        <v>998736</v>
      </c>
      <c r="I27" s="307"/>
      <c r="J27" s="729">
        <v>18</v>
      </c>
      <c r="K27" s="306"/>
      <c r="L27" s="429" t="s">
        <v>563</v>
      </c>
      <c r="M27" s="429" t="s">
        <v>540</v>
      </c>
      <c r="N27" s="429">
        <v>1</v>
      </c>
      <c r="O27" s="303"/>
      <c r="P27" s="305" t="str">
        <f t="shared" si="0"/>
        <v>INCLUDED</v>
      </c>
      <c r="Q27" s="516">
        <f t="shared" si="1"/>
        <v>0</v>
      </c>
      <c r="R27" s="547">
        <f t="shared" si="2"/>
        <v>0</v>
      </c>
      <c r="S27" s="548">
        <f>Discount!$J$36</f>
        <v>0</v>
      </c>
      <c r="T27" s="547">
        <f t="shared" si="3"/>
        <v>0</v>
      </c>
      <c r="U27" s="549">
        <f t="shared" si="4"/>
        <v>0</v>
      </c>
      <c r="V27" s="550">
        <f t="shared" si="5"/>
        <v>0</v>
      </c>
      <c r="W27" s="551"/>
      <c r="X27" s="551"/>
      <c r="Y27" s="551"/>
      <c r="Z27" s="551"/>
      <c r="AA27" s="551"/>
    </row>
    <row r="28" spans="1:31">
      <c r="A28" s="426">
        <v>11</v>
      </c>
      <c r="B28" s="429"/>
      <c r="C28" s="429"/>
      <c r="D28" s="728">
        <v>560</v>
      </c>
      <c r="E28" s="429">
        <v>110</v>
      </c>
      <c r="F28" s="429" t="s">
        <v>514</v>
      </c>
      <c r="G28" s="429">
        <v>100002016</v>
      </c>
      <c r="H28" s="429">
        <v>998736</v>
      </c>
      <c r="I28" s="307"/>
      <c r="J28" s="729">
        <v>18</v>
      </c>
      <c r="K28" s="306"/>
      <c r="L28" s="429" t="s">
        <v>581</v>
      </c>
      <c r="M28" s="429" t="s">
        <v>540</v>
      </c>
      <c r="N28" s="429">
        <v>2</v>
      </c>
      <c r="O28" s="303"/>
      <c r="P28" s="305" t="str">
        <f t="shared" si="0"/>
        <v>INCLUDED</v>
      </c>
      <c r="Q28" s="516">
        <f t="shared" si="1"/>
        <v>0</v>
      </c>
      <c r="R28" s="547">
        <f t="shared" si="2"/>
        <v>0</v>
      </c>
      <c r="S28" s="548">
        <f>Discount!$J$36</f>
        <v>0</v>
      </c>
      <c r="T28" s="547">
        <f t="shared" si="3"/>
        <v>0</v>
      </c>
      <c r="U28" s="549">
        <f t="shared" si="4"/>
        <v>0</v>
      </c>
      <c r="V28" s="550">
        <f t="shared" si="5"/>
        <v>0</v>
      </c>
      <c r="W28" s="551"/>
      <c r="X28" s="551"/>
      <c r="Y28" s="551"/>
      <c r="Z28" s="551"/>
      <c r="AA28" s="551"/>
    </row>
    <row r="29" spans="1:31">
      <c r="A29" s="426">
        <v>12</v>
      </c>
      <c r="B29" s="429"/>
      <c r="C29" s="429"/>
      <c r="D29" s="728">
        <v>560</v>
      </c>
      <c r="E29" s="429">
        <v>120</v>
      </c>
      <c r="F29" s="429" t="s">
        <v>514</v>
      </c>
      <c r="G29" s="429">
        <v>100000484</v>
      </c>
      <c r="H29" s="429">
        <v>998736</v>
      </c>
      <c r="I29" s="307"/>
      <c r="J29" s="729">
        <v>18</v>
      </c>
      <c r="K29" s="306"/>
      <c r="L29" s="429" t="s">
        <v>469</v>
      </c>
      <c r="M29" s="429" t="s">
        <v>540</v>
      </c>
      <c r="N29" s="429">
        <v>3</v>
      </c>
      <c r="O29" s="303"/>
      <c r="P29" s="305" t="str">
        <f t="shared" si="0"/>
        <v>INCLUDED</v>
      </c>
      <c r="Q29" s="516">
        <f t="shared" si="1"/>
        <v>0</v>
      </c>
      <c r="R29" s="547">
        <f t="shared" si="2"/>
        <v>0</v>
      </c>
      <c r="S29" s="548">
        <f>Discount!$J$36</f>
        <v>0</v>
      </c>
      <c r="T29" s="547">
        <f t="shared" si="3"/>
        <v>0</v>
      </c>
      <c r="U29" s="549">
        <f t="shared" si="4"/>
        <v>0</v>
      </c>
      <c r="V29" s="550">
        <f t="shared" si="5"/>
        <v>0</v>
      </c>
      <c r="W29" s="551"/>
      <c r="X29" s="551"/>
      <c r="Y29" s="551"/>
      <c r="Z29" s="551"/>
      <c r="AA29" s="551"/>
    </row>
    <row r="30" spans="1:31">
      <c r="A30" s="426">
        <v>13</v>
      </c>
      <c r="B30" s="429"/>
      <c r="C30" s="429"/>
      <c r="D30" s="728">
        <v>560</v>
      </c>
      <c r="E30" s="429">
        <v>130</v>
      </c>
      <c r="F30" s="429" t="s">
        <v>514</v>
      </c>
      <c r="G30" s="429">
        <v>100001907</v>
      </c>
      <c r="H30" s="429">
        <v>998736</v>
      </c>
      <c r="I30" s="307"/>
      <c r="J30" s="729">
        <v>18</v>
      </c>
      <c r="K30" s="306"/>
      <c r="L30" s="429" t="s">
        <v>582</v>
      </c>
      <c r="M30" s="429" t="s">
        <v>540</v>
      </c>
      <c r="N30" s="429">
        <v>10</v>
      </c>
      <c r="O30" s="303"/>
      <c r="P30" s="305" t="str">
        <f t="shared" si="0"/>
        <v>INCLUDED</v>
      </c>
      <c r="Q30" s="516">
        <f t="shared" si="1"/>
        <v>0</v>
      </c>
      <c r="R30" s="547">
        <f t="shared" si="2"/>
        <v>0</v>
      </c>
      <c r="S30" s="548">
        <f>Discount!$J$36</f>
        <v>0</v>
      </c>
      <c r="T30" s="547">
        <f t="shared" si="3"/>
        <v>0</v>
      </c>
      <c r="U30" s="549">
        <f t="shared" si="4"/>
        <v>0</v>
      </c>
      <c r="V30" s="550">
        <f t="shared" si="5"/>
        <v>0</v>
      </c>
      <c r="W30" s="551"/>
      <c r="X30" s="551"/>
      <c r="Y30" s="551"/>
      <c r="Z30" s="551"/>
      <c r="AA30" s="551"/>
    </row>
    <row r="31" spans="1:31" ht="31.5">
      <c r="A31" s="426">
        <v>14</v>
      </c>
      <c r="B31" s="429"/>
      <c r="C31" s="429"/>
      <c r="D31" s="728">
        <v>560</v>
      </c>
      <c r="E31" s="429">
        <v>140</v>
      </c>
      <c r="F31" s="429" t="s">
        <v>553</v>
      </c>
      <c r="G31" s="429">
        <v>100000339</v>
      </c>
      <c r="H31" s="429">
        <v>998731</v>
      </c>
      <c r="I31" s="307"/>
      <c r="J31" s="729">
        <v>18</v>
      </c>
      <c r="K31" s="306"/>
      <c r="L31" s="429" t="s">
        <v>545</v>
      </c>
      <c r="M31" s="429" t="s">
        <v>464</v>
      </c>
      <c r="N31" s="429">
        <v>1</v>
      </c>
      <c r="O31" s="303"/>
      <c r="P31" s="305" t="str">
        <f t="shared" si="0"/>
        <v>INCLUDED</v>
      </c>
      <c r="Q31" s="516">
        <f t="shared" si="1"/>
        <v>0</v>
      </c>
      <c r="R31" s="547">
        <f t="shared" si="2"/>
        <v>0</v>
      </c>
      <c r="S31" s="548">
        <f>Discount!$J$36</f>
        <v>0</v>
      </c>
      <c r="T31" s="547">
        <f t="shared" si="3"/>
        <v>0</v>
      </c>
      <c r="U31" s="549">
        <f t="shared" si="4"/>
        <v>0</v>
      </c>
      <c r="V31" s="550">
        <f t="shared" si="5"/>
        <v>0</v>
      </c>
      <c r="W31" s="551"/>
      <c r="X31" s="551"/>
      <c r="Y31" s="551"/>
      <c r="Z31" s="551"/>
      <c r="AA31" s="551"/>
    </row>
    <row r="32" spans="1:31" ht="31.5">
      <c r="A32" s="426">
        <v>15</v>
      </c>
      <c r="B32" s="429"/>
      <c r="C32" s="429"/>
      <c r="D32" s="728">
        <v>560</v>
      </c>
      <c r="E32" s="429">
        <v>150</v>
      </c>
      <c r="F32" s="429" t="s">
        <v>554</v>
      </c>
      <c r="G32" s="429">
        <v>100000486</v>
      </c>
      <c r="H32" s="429">
        <v>998731</v>
      </c>
      <c r="I32" s="307"/>
      <c r="J32" s="729">
        <v>18</v>
      </c>
      <c r="K32" s="306"/>
      <c r="L32" s="429" t="s">
        <v>506</v>
      </c>
      <c r="M32" s="429" t="s">
        <v>464</v>
      </c>
      <c r="N32" s="429">
        <v>1</v>
      </c>
      <c r="O32" s="303"/>
      <c r="P32" s="305" t="str">
        <f t="shared" si="0"/>
        <v>INCLUDED</v>
      </c>
      <c r="Q32" s="516">
        <f t="shared" si="1"/>
        <v>0</v>
      </c>
      <c r="R32" s="547">
        <f t="shared" si="2"/>
        <v>0</v>
      </c>
      <c r="S32" s="548">
        <f>Discount!$J$36</f>
        <v>0</v>
      </c>
      <c r="T32" s="547">
        <f t="shared" si="3"/>
        <v>0</v>
      </c>
      <c r="U32" s="549">
        <f t="shared" si="4"/>
        <v>0</v>
      </c>
      <c r="V32" s="550">
        <f t="shared" si="5"/>
        <v>0</v>
      </c>
      <c r="W32" s="551"/>
      <c r="X32" s="551"/>
      <c r="Y32" s="551"/>
      <c r="Z32" s="551"/>
      <c r="AA32" s="551"/>
    </row>
    <row r="33" spans="1:27">
      <c r="A33" s="426">
        <v>16</v>
      </c>
      <c r="B33" s="429"/>
      <c r="C33" s="429"/>
      <c r="D33" s="728">
        <v>560</v>
      </c>
      <c r="E33" s="429">
        <v>160</v>
      </c>
      <c r="F33" s="429" t="s">
        <v>515</v>
      </c>
      <c r="G33" s="429">
        <v>100003103</v>
      </c>
      <c r="H33" s="429">
        <v>998731</v>
      </c>
      <c r="I33" s="307"/>
      <c r="J33" s="729">
        <v>18</v>
      </c>
      <c r="K33" s="306"/>
      <c r="L33" s="429" t="s">
        <v>498</v>
      </c>
      <c r="M33" s="429" t="s">
        <v>541</v>
      </c>
      <c r="N33" s="429">
        <v>0.5</v>
      </c>
      <c r="O33" s="303"/>
      <c r="P33" s="305" t="str">
        <f t="shared" si="0"/>
        <v>INCLUDED</v>
      </c>
      <c r="Q33" s="516">
        <f t="shared" si="1"/>
        <v>0</v>
      </c>
      <c r="R33" s="547">
        <f t="shared" si="2"/>
        <v>0</v>
      </c>
      <c r="S33" s="548">
        <f>Discount!$J$36</f>
        <v>0</v>
      </c>
      <c r="T33" s="547">
        <f t="shared" si="3"/>
        <v>0</v>
      </c>
      <c r="U33" s="549">
        <f t="shared" si="4"/>
        <v>0</v>
      </c>
      <c r="V33" s="550">
        <f t="shared" si="5"/>
        <v>0</v>
      </c>
      <c r="W33" s="551"/>
      <c r="X33" s="551"/>
      <c r="Y33" s="551"/>
      <c r="Z33" s="551"/>
      <c r="AA33" s="551"/>
    </row>
    <row r="34" spans="1:27">
      <c r="A34" s="426">
        <v>17</v>
      </c>
      <c r="B34" s="429"/>
      <c r="C34" s="429"/>
      <c r="D34" s="728">
        <v>560</v>
      </c>
      <c r="E34" s="429">
        <v>170</v>
      </c>
      <c r="F34" s="429" t="s">
        <v>516</v>
      </c>
      <c r="G34" s="429">
        <v>100000731</v>
      </c>
      <c r="H34" s="429">
        <v>998736</v>
      </c>
      <c r="I34" s="307"/>
      <c r="J34" s="729">
        <v>18</v>
      </c>
      <c r="K34" s="306"/>
      <c r="L34" s="429" t="s">
        <v>500</v>
      </c>
      <c r="M34" s="429" t="s">
        <v>540</v>
      </c>
      <c r="N34" s="429">
        <v>1</v>
      </c>
      <c r="O34" s="303"/>
      <c r="P34" s="305" t="str">
        <f t="shared" si="0"/>
        <v>INCLUDED</v>
      </c>
      <c r="Q34" s="516">
        <f t="shared" si="1"/>
        <v>0</v>
      </c>
      <c r="R34" s="547">
        <f t="shared" si="2"/>
        <v>0</v>
      </c>
      <c r="S34" s="548">
        <f>Discount!$J$36</f>
        <v>0</v>
      </c>
      <c r="T34" s="547">
        <f t="shared" si="3"/>
        <v>0</v>
      </c>
      <c r="U34" s="549">
        <f t="shared" si="4"/>
        <v>0</v>
      </c>
      <c r="V34" s="550">
        <f t="shared" si="5"/>
        <v>0</v>
      </c>
      <c r="W34" s="551"/>
      <c r="X34" s="551"/>
      <c r="Y34" s="551"/>
      <c r="Z34" s="551"/>
      <c r="AA34" s="551"/>
    </row>
    <row r="35" spans="1:27" ht="31.5">
      <c r="A35" s="426">
        <v>18</v>
      </c>
      <c r="B35" s="429"/>
      <c r="C35" s="429"/>
      <c r="D35" s="728">
        <v>560</v>
      </c>
      <c r="E35" s="429">
        <v>180</v>
      </c>
      <c r="F35" s="429" t="s">
        <v>516</v>
      </c>
      <c r="G35" s="429">
        <v>100000735</v>
      </c>
      <c r="H35" s="429">
        <v>998736</v>
      </c>
      <c r="I35" s="307"/>
      <c r="J35" s="729">
        <v>18</v>
      </c>
      <c r="K35" s="306"/>
      <c r="L35" s="429" t="s">
        <v>491</v>
      </c>
      <c r="M35" s="429" t="s">
        <v>464</v>
      </c>
      <c r="N35" s="429">
        <v>1</v>
      </c>
      <c r="O35" s="303"/>
      <c r="P35" s="305" t="str">
        <f t="shared" si="0"/>
        <v>INCLUDED</v>
      </c>
      <c r="Q35" s="516">
        <f t="shared" si="1"/>
        <v>0</v>
      </c>
      <c r="R35" s="547">
        <f t="shared" si="2"/>
        <v>0</v>
      </c>
      <c r="S35" s="548">
        <f>Discount!$J$36</f>
        <v>0</v>
      </c>
      <c r="T35" s="547">
        <f t="shared" si="3"/>
        <v>0</v>
      </c>
      <c r="U35" s="549">
        <f t="shared" si="4"/>
        <v>0</v>
      </c>
      <c r="V35" s="550">
        <f t="shared" si="5"/>
        <v>0</v>
      </c>
      <c r="W35" s="551"/>
      <c r="X35" s="551"/>
      <c r="Y35" s="551"/>
      <c r="Z35" s="551"/>
      <c r="AA35" s="551"/>
    </row>
    <row r="36" spans="1:27">
      <c r="A36" s="426">
        <v>19</v>
      </c>
      <c r="B36" s="429"/>
      <c r="C36" s="429"/>
      <c r="D36" s="728">
        <v>560</v>
      </c>
      <c r="E36" s="429">
        <v>190</v>
      </c>
      <c r="F36" s="429" t="s">
        <v>516</v>
      </c>
      <c r="G36" s="429">
        <v>100000729</v>
      </c>
      <c r="H36" s="429">
        <v>998736</v>
      </c>
      <c r="I36" s="307"/>
      <c r="J36" s="729">
        <v>18</v>
      </c>
      <c r="K36" s="306"/>
      <c r="L36" s="429" t="s">
        <v>583</v>
      </c>
      <c r="M36" s="429" t="s">
        <v>540</v>
      </c>
      <c r="N36" s="429">
        <v>1</v>
      </c>
      <c r="O36" s="303"/>
      <c r="P36" s="305" t="str">
        <f t="shared" si="0"/>
        <v>INCLUDED</v>
      </c>
      <c r="Q36" s="516">
        <f t="shared" si="1"/>
        <v>0</v>
      </c>
      <c r="R36" s="547">
        <f t="shared" si="2"/>
        <v>0</v>
      </c>
      <c r="S36" s="548">
        <f>Discount!$J$36</f>
        <v>0</v>
      </c>
      <c r="T36" s="547">
        <f t="shared" si="3"/>
        <v>0</v>
      </c>
      <c r="U36" s="549">
        <f t="shared" si="4"/>
        <v>0</v>
      </c>
      <c r="V36" s="550">
        <f t="shared" si="5"/>
        <v>0</v>
      </c>
      <c r="W36" s="551"/>
      <c r="X36" s="551"/>
      <c r="Y36" s="551"/>
      <c r="Z36" s="551"/>
      <c r="AA36" s="551"/>
    </row>
    <row r="37" spans="1:27">
      <c r="A37" s="426">
        <v>20</v>
      </c>
      <c r="B37" s="429"/>
      <c r="C37" s="429"/>
      <c r="D37" s="728">
        <v>560</v>
      </c>
      <c r="E37" s="429">
        <v>200</v>
      </c>
      <c r="F37" s="429" t="s">
        <v>517</v>
      </c>
      <c r="G37" s="429">
        <v>100000737</v>
      </c>
      <c r="H37" s="429">
        <v>998736</v>
      </c>
      <c r="I37" s="307"/>
      <c r="J37" s="729">
        <v>18</v>
      </c>
      <c r="K37" s="306"/>
      <c r="L37" s="429" t="s">
        <v>566</v>
      </c>
      <c r="M37" s="429" t="s">
        <v>540</v>
      </c>
      <c r="N37" s="429">
        <v>1</v>
      </c>
      <c r="O37" s="303"/>
      <c r="P37" s="305" t="str">
        <f t="shared" si="0"/>
        <v>INCLUDED</v>
      </c>
      <c r="Q37" s="516">
        <f t="shared" si="1"/>
        <v>0</v>
      </c>
      <c r="R37" s="547">
        <f t="shared" si="2"/>
        <v>0</v>
      </c>
      <c r="S37" s="548">
        <f>Discount!$J$36</f>
        <v>0</v>
      </c>
      <c r="T37" s="547">
        <f t="shared" si="3"/>
        <v>0</v>
      </c>
      <c r="U37" s="549">
        <f t="shared" si="4"/>
        <v>0</v>
      </c>
      <c r="V37" s="550">
        <f t="shared" si="5"/>
        <v>0</v>
      </c>
      <c r="W37" s="551"/>
      <c r="X37" s="551"/>
      <c r="Y37" s="551"/>
      <c r="Z37" s="551"/>
      <c r="AA37" s="551"/>
    </row>
    <row r="38" spans="1:27" ht="31.5">
      <c r="A38" s="426">
        <v>21</v>
      </c>
      <c r="B38" s="429"/>
      <c r="C38" s="429"/>
      <c r="D38" s="728">
        <v>560</v>
      </c>
      <c r="E38" s="429">
        <v>210</v>
      </c>
      <c r="F38" s="429" t="s">
        <v>517</v>
      </c>
      <c r="G38" s="429">
        <v>100000743</v>
      </c>
      <c r="H38" s="429">
        <v>998736</v>
      </c>
      <c r="I38" s="307"/>
      <c r="J38" s="729">
        <v>18</v>
      </c>
      <c r="K38" s="306"/>
      <c r="L38" s="429" t="s">
        <v>499</v>
      </c>
      <c r="M38" s="429" t="s">
        <v>464</v>
      </c>
      <c r="N38" s="429">
        <v>1</v>
      </c>
      <c r="O38" s="303"/>
      <c r="P38" s="305" t="str">
        <f t="shared" si="0"/>
        <v>INCLUDED</v>
      </c>
      <c r="Q38" s="516">
        <f t="shared" si="1"/>
        <v>0</v>
      </c>
      <c r="R38" s="547">
        <f t="shared" si="2"/>
        <v>0</v>
      </c>
      <c r="S38" s="548">
        <f>Discount!$J$36</f>
        <v>0</v>
      </c>
      <c r="T38" s="547">
        <f t="shared" si="3"/>
        <v>0</v>
      </c>
      <c r="U38" s="549">
        <f t="shared" si="4"/>
        <v>0</v>
      </c>
      <c r="V38" s="550">
        <f t="shared" si="5"/>
        <v>0</v>
      </c>
      <c r="W38" s="551"/>
      <c r="X38" s="551"/>
      <c r="Y38" s="551"/>
      <c r="Z38" s="551"/>
      <c r="AA38" s="551"/>
    </row>
    <row r="39" spans="1:27">
      <c r="A39" s="426">
        <v>22</v>
      </c>
      <c r="B39" s="429"/>
      <c r="C39" s="429"/>
      <c r="D39" s="728">
        <v>560</v>
      </c>
      <c r="E39" s="429">
        <v>220</v>
      </c>
      <c r="F39" s="429" t="s">
        <v>518</v>
      </c>
      <c r="G39" s="429">
        <v>100003167</v>
      </c>
      <c r="H39" s="429">
        <v>998736</v>
      </c>
      <c r="I39" s="307"/>
      <c r="J39" s="729">
        <v>18</v>
      </c>
      <c r="K39" s="306"/>
      <c r="L39" s="429" t="s">
        <v>584</v>
      </c>
      <c r="M39" s="429" t="s">
        <v>540</v>
      </c>
      <c r="N39" s="429">
        <v>1</v>
      </c>
      <c r="O39" s="303"/>
      <c r="P39" s="305" t="str">
        <f t="shared" si="0"/>
        <v>INCLUDED</v>
      </c>
      <c r="Q39" s="516">
        <f t="shared" si="1"/>
        <v>0</v>
      </c>
      <c r="R39" s="547">
        <f>IF( K39="",J39*(IF(P39="Included",0,P39))/100,K39*(IF(P39="Included",0,P39)))</f>
        <v>0</v>
      </c>
      <c r="S39" s="548">
        <f>Discount!$J$36</f>
        <v>0</v>
      </c>
      <c r="T39" s="547">
        <f>S39*Q39</f>
        <v>0</v>
      </c>
      <c r="U39" s="549">
        <f t="shared" ref="U39:U50" si="6">IF(K39="",J39*T39/100,K39*T39)</f>
        <v>0</v>
      </c>
      <c r="V39" s="550">
        <f t="shared" si="5"/>
        <v>0</v>
      </c>
      <c r="W39" s="551"/>
      <c r="X39" s="551"/>
      <c r="Y39" s="551"/>
      <c r="Z39" s="551"/>
      <c r="AA39" s="551"/>
    </row>
    <row r="40" spans="1:27">
      <c r="A40" s="426">
        <v>23</v>
      </c>
      <c r="B40" s="429"/>
      <c r="C40" s="429"/>
      <c r="D40" s="728">
        <v>560</v>
      </c>
      <c r="E40" s="429">
        <v>230</v>
      </c>
      <c r="F40" s="429" t="s">
        <v>518</v>
      </c>
      <c r="G40" s="429">
        <v>100002070</v>
      </c>
      <c r="H40" s="429">
        <v>998736</v>
      </c>
      <c r="I40" s="307"/>
      <c r="J40" s="729">
        <v>18</v>
      </c>
      <c r="K40" s="306"/>
      <c r="L40" s="429" t="s">
        <v>585</v>
      </c>
      <c r="M40" s="429" t="s">
        <v>540</v>
      </c>
      <c r="N40" s="429">
        <v>1</v>
      </c>
      <c r="O40" s="303"/>
      <c r="P40" s="305" t="str">
        <f t="shared" ref="P40:P87" si="7">IF(O40=0, "INCLUDED", IF(ISERROR(N40*O40), O40, N40*O40))</f>
        <v>INCLUDED</v>
      </c>
      <c r="Q40" s="516">
        <f t="shared" ref="Q40:Q50" si="8">IF(P40="Included",0,P40)</f>
        <v>0</v>
      </c>
      <c r="R40" s="547">
        <f t="shared" ref="R40:R50" si="9">IF( K40="",J40*(IF(P40="Included",0,P40))/100,K40*(IF(P40="Included",0,P40)))</f>
        <v>0</v>
      </c>
      <c r="S40" s="548">
        <f>Discount!$J$36</f>
        <v>0</v>
      </c>
      <c r="T40" s="547">
        <f t="shared" ref="T40:T50" si="10">S40*Q40</f>
        <v>0</v>
      </c>
      <c r="U40" s="549">
        <f t="shared" si="6"/>
        <v>0</v>
      </c>
      <c r="V40" s="550">
        <f t="shared" si="5"/>
        <v>0</v>
      </c>
      <c r="W40" s="551"/>
      <c r="X40" s="551"/>
      <c r="Y40" s="551"/>
      <c r="Z40" s="551"/>
      <c r="AA40" s="551"/>
    </row>
    <row r="41" spans="1:27" ht="63">
      <c r="A41" s="426">
        <v>24</v>
      </c>
      <c r="B41" s="429"/>
      <c r="C41" s="429"/>
      <c r="D41" s="728">
        <v>560</v>
      </c>
      <c r="E41" s="429">
        <v>240</v>
      </c>
      <c r="F41" s="429" t="s">
        <v>519</v>
      </c>
      <c r="G41" s="429">
        <v>100002500</v>
      </c>
      <c r="H41" s="429">
        <v>998731</v>
      </c>
      <c r="I41" s="307"/>
      <c r="J41" s="729">
        <v>18</v>
      </c>
      <c r="K41" s="306"/>
      <c r="L41" s="429" t="s">
        <v>586</v>
      </c>
      <c r="M41" s="429" t="s">
        <v>464</v>
      </c>
      <c r="N41" s="429">
        <v>1</v>
      </c>
      <c r="O41" s="303"/>
      <c r="P41" s="305" t="str">
        <f t="shared" si="7"/>
        <v>INCLUDED</v>
      </c>
      <c r="Q41" s="516">
        <f t="shared" si="8"/>
        <v>0</v>
      </c>
      <c r="R41" s="547">
        <f t="shared" si="9"/>
        <v>0</v>
      </c>
      <c r="S41" s="548">
        <f>Discount!$J$36</f>
        <v>0</v>
      </c>
      <c r="T41" s="547">
        <f t="shared" si="10"/>
        <v>0</v>
      </c>
      <c r="U41" s="549">
        <f t="shared" si="6"/>
        <v>0</v>
      </c>
      <c r="V41" s="550">
        <f t="shared" si="5"/>
        <v>0</v>
      </c>
      <c r="W41" s="551"/>
      <c r="X41" s="551"/>
      <c r="Y41" s="551"/>
      <c r="Z41" s="551"/>
      <c r="AA41" s="551"/>
    </row>
    <row r="42" spans="1:27">
      <c r="A42" s="426">
        <v>25</v>
      </c>
      <c r="B42" s="429"/>
      <c r="C42" s="429"/>
      <c r="D42" s="728">
        <v>560</v>
      </c>
      <c r="E42" s="429">
        <v>250</v>
      </c>
      <c r="F42" s="429" t="s">
        <v>520</v>
      </c>
      <c r="G42" s="429">
        <v>100002180</v>
      </c>
      <c r="H42" s="429">
        <v>998736</v>
      </c>
      <c r="I42" s="307"/>
      <c r="J42" s="729">
        <v>18</v>
      </c>
      <c r="K42" s="306"/>
      <c r="L42" s="429" t="s">
        <v>497</v>
      </c>
      <c r="M42" s="429" t="s">
        <v>542</v>
      </c>
      <c r="N42" s="429">
        <v>1</v>
      </c>
      <c r="O42" s="303"/>
      <c r="P42" s="305" t="str">
        <f t="shared" si="7"/>
        <v>INCLUDED</v>
      </c>
      <c r="Q42" s="516">
        <f t="shared" si="8"/>
        <v>0</v>
      </c>
      <c r="R42" s="547">
        <f t="shared" si="9"/>
        <v>0</v>
      </c>
      <c r="S42" s="548">
        <f>Discount!$J$36</f>
        <v>0</v>
      </c>
      <c r="T42" s="547">
        <f t="shared" si="10"/>
        <v>0</v>
      </c>
      <c r="U42" s="549">
        <f t="shared" si="6"/>
        <v>0</v>
      </c>
      <c r="V42" s="550">
        <f t="shared" si="5"/>
        <v>0</v>
      </c>
      <c r="W42" s="551"/>
      <c r="X42" s="551"/>
      <c r="Y42" s="551"/>
      <c r="Z42" s="551"/>
      <c r="AA42" s="551"/>
    </row>
    <row r="43" spans="1:27">
      <c r="A43" s="426">
        <v>26</v>
      </c>
      <c r="B43" s="429"/>
      <c r="C43" s="429"/>
      <c r="D43" s="728">
        <v>560</v>
      </c>
      <c r="E43" s="429">
        <v>260</v>
      </c>
      <c r="F43" s="429" t="s">
        <v>520</v>
      </c>
      <c r="G43" s="429">
        <v>100002181</v>
      </c>
      <c r="H43" s="429">
        <v>998736</v>
      </c>
      <c r="I43" s="307"/>
      <c r="J43" s="729">
        <v>18</v>
      </c>
      <c r="K43" s="306"/>
      <c r="L43" s="429" t="s">
        <v>495</v>
      </c>
      <c r="M43" s="429" t="s">
        <v>542</v>
      </c>
      <c r="N43" s="429">
        <v>1</v>
      </c>
      <c r="O43" s="303"/>
      <c r="P43" s="305" t="str">
        <f t="shared" si="7"/>
        <v>INCLUDED</v>
      </c>
      <c r="Q43" s="516">
        <f t="shared" si="8"/>
        <v>0</v>
      </c>
      <c r="R43" s="547">
        <f t="shared" si="9"/>
        <v>0</v>
      </c>
      <c r="S43" s="548">
        <f>Discount!$J$36</f>
        <v>0</v>
      </c>
      <c r="T43" s="547">
        <f t="shared" si="10"/>
        <v>0</v>
      </c>
      <c r="U43" s="549">
        <f t="shared" si="6"/>
        <v>0</v>
      </c>
      <c r="V43" s="550">
        <f t="shared" si="5"/>
        <v>0</v>
      </c>
      <c r="W43" s="551"/>
      <c r="X43" s="551"/>
      <c r="Y43" s="551"/>
      <c r="Z43" s="551"/>
      <c r="AA43" s="551"/>
    </row>
    <row r="44" spans="1:27">
      <c r="A44" s="426">
        <v>27</v>
      </c>
      <c r="B44" s="429"/>
      <c r="C44" s="429"/>
      <c r="D44" s="728">
        <v>560</v>
      </c>
      <c r="E44" s="429">
        <v>270</v>
      </c>
      <c r="F44" s="429" t="s">
        <v>520</v>
      </c>
      <c r="G44" s="429">
        <v>100002182</v>
      </c>
      <c r="H44" s="429">
        <v>998736</v>
      </c>
      <c r="I44" s="307"/>
      <c r="J44" s="729">
        <v>18</v>
      </c>
      <c r="K44" s="306"/>
      <c r="L44" s="429" t="s">
        <v>496</v>
      </c>
      <c r="M44" s="429" t="s">
        <v>542</v>
      </c>
      <c r="N44" s="429">
        <v>1</v>
      </c>
      <c r="O44" s="303"/>
      <c r="P44" s="305" t="str">
        <f t="shared" si="7"/>
        <v>INCLUDED</v>
      </c>
      <c r="Q44" s="516">
        <f t="shared" si="8"/>
        <v>0</v>
      </c>
      <c r="R44" s="547">
        <f t="shared" si="9"/>
        <v>0</v>
      </c>
      <c r="S44" s="548">
        <f>Discount!$J$36</f>
        <v>0</v>
      </c>
      <c r="T44" s="547">
        <f t="shared" si="10"/>
        <v>0</v>
      </c>
      <c r="U44" s="549">
        <f t="shared" si="6"/>
        <v>0</v>
      </c>
      <c r="V44" s="550">
        <f t="shared" si="5"/>
        <v>0</v>
      </c>
      <c r="W44" s="551"/>
      <c r="X44" s="551"/>
      <c r="Y44" s="551"/>
      <c r="Z44" s="551"/>
      <c r="AA44" s="551"/>
    </row>
    <row r="45" spans="1:27">
      <c r="A45" s="426">
        <v>28</v>
      </c>
      <c r="B45" s="429"/>
      <c r="C45" s="429"/>
      <c r="D45" s="728">
        <v>560</v>
      </c>
      <c r="E45" s="429">
        <v>280</v>
      </c>
      <c r="F45" s="429" t="s">
        <v>522</v>
      </c>
      <c r="G45" s="429">
        <v>100004937</v>
      </c>
      <c r="H45" s="429">
        <v>998731</v>
      </c>
      <c r="I45" s="307"/>
      <c r="J45" s="729">
        <v>18</v>
      </c>
      <c r="K45" s="306"/>
      <c r="L45" s="429" t="s">
        <v>494</v>
      </c>
      <c r="M45" s="429" t="s">
        <v>540</v>
      </c>
      <c r="N45" s="429">
        <v>2</v>
      </c>
      <c r="O45" s="303"/>
      <c r="P45" s="305" t="str">
        <f t="shared" si="7"/>
        <v>INCLUDED</v>
      </c>
      <c r="Q45" s="516">
        <f t="shared" si="8"/>
        <v>0</v>
      </c>
      <c r="R45" s="547">
        <f t="shared" si="9"/>
        <v>0</v>
      </c>
      <c r="S45" s="548">
        <f>Discount!$J$36</f>
        <v>0</v>
      </c>
      <c r="T45" s="547">
        <f t="shared" si="10"/>
        <v>0</v>
      </c>
      <c r="U45" s="549">
        <f t="shared" si="6"/>
        <v>0</v>
      </c>
      <c r="V45" s="550">
        <f t="shared" si="5"/>
        <v>0</v>
      </c>
      <c r="W45" s="551"/>
      <c r="X45" s="551"/>
      <c r="Y45" s="551"/>
      <c r="Z45" s="551"/>
      <c r="AA45" s="551"/>
    </row>
    <row r="46" spans="1:27">
      <c r="A46" s="426">
        <v>29</v>
      </c>
      <c r="B46" s="429"/>
      <c r="C46" s="429"/>
      <c r="D46" s="728">
        <v>560</v>
      </c>
      <c r="E46" s="429">
        <v>290</v>
      </c>
      <c r="F46" s="429" t="s">
        <v>522</v>
      </c>
      <c r="G46" s="429">
        <v>100004926</v>
      </c>
      <c r="H46" s="429">
        <v>998731</v>
      </c>
      <c r="I46" s="307"/>
      <c r="J46" s="729">
        <v>18</v>
      </c>
      <c r="K46" s="306"/>
      <c r="L46" s="429" t="s">
        <v>493</v>
      </c>
      <c r="M46" s="429" t="s">
        <v>540</v>
      </c>
      <c r="N46" s="429">
        <v>5</v>
      </c>
      <c r="O46" s="303"/>
      <c r="P46" s="305" t="str">
        <f t="shared" si="7"/>
        <v>INCLUDED</v>
      </c>
      <c r="Q46" s="516">
        <f t="shared" si="8"/>
        <v>0</v>
      </c>
      <c r="R46" s="547">
        <f t="shared" si="9"/>
        <v>0</v>
      </c>
      <c r="S46" s="548">
        <f>Discount!$J$36</f>
        <v>0</v>
      </c>
      <c r="T46" s="547">
        <f t="shared" si="10"/>
        <v>0</v>
      </c>
      <c r="U46" s="549">
        <f t="shared" si="6"/>
        <v>0</v>
      </c>
      <c r="V46" s="550">
        <f t="shared" si="5"/>
        <v>0</v>
      </c>
      <c r="W46" s="551"/>
      <c r="X46" s="551"/>
      <c r="Y46" s="551"/>
      <c r="Z46" s="551"/>
      <c r="AA46" s="551"/>
    </row>
    <row r="47" spans="1:27">
      <c r="A47" s="426">
        <v>30</v>
      </c>
      <c r="B47" s="429"/>
      <c r="C47" s="429"/>
      <c r="D47" s="728">
        <v>560</v>
      </c>
      <c r="E47" s="429">
        <v>300</v>
      </c>
      <c r="F47" s="429" t="s">
        <v>522</v>
      </c>
      <c r="G47" s="429">
        <v>100004852</v>
      </c>
      <c r="H47" s="429">
        <v>998731</v>
      </c>
      <c r="I47" s="307"/>
      <c r="J47" s="729">
        <v>18</v>
      </c>
      <c r="K47" s="306"/>
      <c r="L47" s="429" t="s">
        <v>492</v>
      </c>
      <c r="M47" s="429" t="s">
        <v>540</v>
      </c>
      <c r="N47" s="429">
        <v>10</v>
      </c>
      <c r="O47" s="303"/>
      <c r="P47" s="305" t="str">
        <f t="shared" si="7"/>
        <v>INCLUDED</v>
      </c>
      <c r="Q47" s="516">
        <f t="shared" si="8"/>
        <v>0</v>
      </c>
      <c r="R47" s="547">
        <f t="shared" si="9"/>
        <v>0</v>
      </c>
      <c r="S47" s="548">
        <f>Discount!$J$36</f>
        <v>0</v>
      </c>
      <c r="T47" s="547">
        <f t="shared" si="10"/>
        <v>0</v>
      </c>
      <c r="U47" s="549">
        <f t="shared" si="6"/>
        <v>0</v>
      </c>
      <c r="V47" s="550">
        <f t="shared" si="5"/>
        <v>0</v>
      </c>
      <c r="W47" s="551"/>
      <c r="X47" s="551"/>
      <c r="Y47" s="551"/>
      <c r="Z47" s="551"/>
      <c r="AA47" s="551"/>
    </row>
    <row r="48" spans="1:27">
      <c r="A48" s="426">
        <v>31</v>
      </c>
      <c r="B48" s="429"/>
      <c r="C48" s="429"/>
      <c r="D48" s="728">
        <v>560</v>
      </c>
      <c r="E48" s="429">
        <v>310</v>
      </c>
      <c r="F48" s="429" t="s">
        <v>522</v>
      </c>
      <c r="G48" s="429">
        <v>100001885</v>
      </c>
      <c r="H48" s="429">
        <v>998739</v>
      </c>
      <c r="I48" s="307"/>
      <c r="J48" s="729">
        <v>18</v>
      </c>
      <c r="K48" s="306"/>
      <c r="L48" s="429" t="s">
        <v>472</v>
      </c>
      <c r="M48" s="429" t="s">
        <v>540</v>
      </c>
      <c r="N48" s="429">
        <v>1</v>
      </c>
      <c r="O48" s="303"/>
      <c r="P48" s="305" t="str">
        <f t="shared" si="7"/>
        <v>INCLUDED</v>
      </c>
      <c r="Q48" s="516">
        <f t="shared" si="8"/>
        <v>0</v>
      </c>
      <c r="R48" s="547">
        <f t="shared" si="9"/>
        <v>0</v>
      </c>
      <c r="S48" s="548">
        <f>Discount!$J$36</f>
        <v>0</v>
      </c>
      <c r="T48" s="547">
        <f t="shared" si="10"/>
        <v>0</v>
      </c>
      <c r="U48" s="549">
        <f t="shared" si="6"/>
        <v>0</v>
      </c>
      <c r="V48" s="550">
        <f t="shared" si="5"/>
        <v>0</v>
      </c>
      <c r="W48" s="551"/>
      <c r="X48" s="551"/>
      <c r="Y48" s="551"/>
      <c r="Z48" s="551"/>
      <c r="AA48" s="551"/>
    </row>
    <row r="49" spans="1:27">
      <c r="A49" s="426">
        <v>32</v>
      </c>
      <c r="B49" s="429"/>
      <c r="C49" s="429"/>
      <c r="D49" s="728">
        <v>560</v>
      </c>
      <c r="E49" s="429">
        <v>320</v>
      </c>
      <c r="F49" s="429" t="s">
        <v>522</v>
      </c>
      <c r="G49" s="429">
        <v>100001052</v>
      </c>
      <c r="H49" s="429">
        <v>998731</v>
      </c>
      <c r="I49" s="307"/>
      <c r="J49" s="729">
        <v>18</v>
      </c>
      <c r="K49" s="306"/>
      <c r="L49" s="429" t="s">
        <v>507</v>
      </c>
      <c r="M49" s="429" t="s">
        <v>540</v>
      </c>
      <c r="N49" s="429">
        <v>1</v>
      </c>
      <c r="O49" s="303"/>
      <c r="P49" s="305" t="str">
        <f t="shared" si="7"/>
        <v>INCLUDED</v>
      </c>
      <c r="Q49" s="516">
        <f t="shared" si="8"/>
        <v>0</v>
      </c>
      <c r="R49" s="547">
        <f t="shared" si="9"/>
        <v>0</v>
      </c>
      <c r="S49" s="548">
        <f>Discount!$J$36</f>
        <v>0</v>
      </c>
      <c r="T49" s="547">
        <f t="shared" si="10"/>
        <v>0</v>
      </c>
      <c r="U49" s="549">
        <f t="shared" si="6"/>
        <v>0</v>
      </c>
      <c r="V49" s="550">
        <f t="shared" si="5"/>
        <v>0</v>
      </c>
      <c r="W49" s="551"/>
      <c r="X49" s="551"/>
      <c r="Y49" s="551"/>
      <c r="Z49" s="551"/>
      <c r="AA49" s="551"/>
    </row>
    <row r="50" spans="1:27">
      <c r="A50" s="426">
        <v>33</v>
      </c>
      <c r="B50" s="429"/>
      <c r="C50" s="429"/>
      <c r="D50" s="728">
        <v>560</v>
      </c>
      <c r="E50" s="429">
        <v>330</v>
      </c>
      <c r="F50" s="429" t="s">
        <v>522</v>
      </c>
      <c r="G50" s="429">
        <v>100001021</v>
      </c>
      <c r="H50" s="429">
        <v>995461</v>
      </c>
      <c r="I50" s="307"/>
      <c r="J50" s="729">
        <v>18</v>
      </c>
      <c r="K50" s="306"/>
      <c r="L50" s="429" t="s">
        <v>471</v>
      </c>
      <c r="M50" s="429" t="s">
        <v>540</v>
      </c>
      <c r="N50" s="429">
        <v>1</v>
      </c>
      <c r="O50" s="303"/>
      <c r="P50" s="305" t="str">
        <f t="shared" si="7"/>
        <v>INCLUDED</v>
      </c>
      <c r="Q50" s="516">
        <f t="shared" si="8"/>
        <v>0</v>
      </c>
      <c r="R50" s="547">
        <f t="shared" si="9"/>
        <v>0</v>
      </c>
      <c r="S50" s="548">
        <f>Discount!$J$36</f>
        <v>0</v>
      </c>
      <c r="T50" s="547">
        <f t="shared" si="10"/>
        <v>0</v>
      </c>
      <c r="U50" s="549">
        <f t="shared" si="6"/>
        <v>0</v>
      </c>
      <c r="V50" s="550">
        <f t="shared" si="5"/>
        <v>0</v>
      </c>
      <c r="W50" s="551"/>
      <c r="X50" s="551"/>
      <c r="Y50" s="551"/>
      <c r="Z50" s="551"/>
      <c r="AA50" s="551"/>
    </row>
    <row r="51" spans="1:27" ht="31.5">
      <c r="A51" s="426">
        <v>34</v>
      </c>
      <c r="B51" s="429"/>
      <c r="C51" s="429"/>
      <c r="D51" s="728">
        <v>560</v>
      </c>
      <c r="E51" s="429">
        <v>340</v>
      </c>
      <c r="F51" s="429" t="s">
        <v>521</v>
      </c>
      <c r="G51" s="429">
        <v>100000983</v>
      </c>
      <c r="H51" s="429">
        <v>998736</v>
      </c>
      <c r="I51" s="307"/>
      <c r="J51" s="729">
        <v>18</v>
      </c>
      <c r="K51" s="306"/>
      <c r="L51" s="429" t="s">
        <v>587</v>
      </c>
      <c r="M51" s="429" t="s">
        <v>464</v>
      </c>
      <c r="N51" s="429">
        <v>1</v>
      </c>
      <c r="O51" s="303"/>
      <c r="P51" s="305" t="str">
        <f t="shared" si="7"/>
        <v>INCLUDED</v>
      </c>
      <c r="Q51" s="516">
        <f t="shared" ref="Q51:Q56" si="11">IF(P51="Included",0,P51)</f>
        <v>0</v>
      </c>
      <c r="R51" s="547">
        <f t="shared" ref="R51:R56" si="12">IF( K51="",J51*(IF(P51="Included",0,P51))/100,K51*(IF(P51="Included",0,P51)))</f>
        <v>0</v>
      </c>
      <c r="S51" s="548">
        <f>Discount!$J$36</f>
        <v>0</v>
      </c>
      <c r="T51" s="547">
        <f t="shared" ref="T51:T56" si="13">S51*Q51</f>
        <v>0</v>
      </c>
      <c r="U51" s="549">
        <f t="shared" ref="U51:U56" si="14">IF(K51="",J51*T51/100,K51*T51)</f>
        <v>0</v>
      </c>
      <c r="V51" s="550">
        <f t="shared" si="5"/>
        <v>0</v>
      </c>
      <c r="W51" s="551"/>
      <c r="X51" s="551"/>
      <c r="Y51" s="551"/>
      <c r="Z51" s="551"/>
      <c r="AA51" s="551"/>
    </row>
    <row r="52" spans="1:27" ht="47.25">
      <c r="A52" s="426">
        <v>35</v>
      </c>
      <c r="B52" s="429"/>
      <c r="C52" s="429"/>
      <c r="D52" s="728">
        <v>560</v>
      </c>
      <c r="E52" s="429">
        <v>350</v>
      </c>
      <c r="F52" s="429" t="s">
        <v>555</v>
      </c>
      <c r="G52" s="429">
        <v>100001210</v>
      </c>
      <c r="H52" s="429">
        <v>995455</v>
      </c>
      <c r="I52" s="307"/>
      <c r="J52" s="729">
        <v>18</v>
      </c>
      <c r="K52" s="306"/>
      <c r="L52" s="429" t="s">
        <v>484</v>
      </c>
      <c r="M52" s="429" t="s">
        <v>543</v>
      </c>
      <c r="N52" s="429">
        <v>25</v>
      </c>
      <c r="O52" s="303"/>
      <c r="P52" s="305" t="str">
        <f t="shared" si="7"/>
        <v>INCLUDED</v>
      </c>
      <c r="Q52" s="516">
        <f t="shared" si="11"/>
        <v>0</v>
      </c>
      <c r="R52" s="547">
        <f t="shared" si="12"/>
        <v>0</v>
      </c>
      <c r="S52" s="548">
        <f>Discount!$J$36</f>
        <v>0</v>
      </c>
      <c r="T52" s="547">
        <f t="shared" si="13"/>
        <v>0</v>
      </c>
      <c r="U52" s="549">
        <f t="shared" si="14"/>
        <v>0</v>
      </c>
      <c r="V52" s="550">
        <f t="shared" si="5"/>
        <v>0</v>
      </c>
      <c r="W52" s="551"/>
      <c r="X52" s="551"/>
      <c r="Y52" s="551"/>
      <c r="Z52" s="551"/>
      <c r="AA52" s="551"/>
    </row>
    <row r="53" spans="1:27" ht="31.5">
      <c r="A53" s="426">
        <v>36</v>
      </c>
      <c r="B53" s="429"/>
      <c r="C53" s="429"/>
      <c r="D53" s="728">
        <v>560</v>
      </c>
      <c r="E53" s="429">
        <v>360</v>
      </c>
      <c r="F53" s="429" t="s">
        <v>555</v>
      </c>
      <c r="G53" s="429">
        <v>100001680</v>
      </c>
      <c r="H53" s="429">
        <v>995455</v>
      </c>
      <c r="I53" s="307"/>
      <c r="J53" s="729">
        <v>18</v>
      </c>
      <c r="K53" s="306"/>
      <c r="L53" s="429" t="s">
        <v>485</v>
      </c>
      <c r="M53" s="429" t="s">
        <v>543</v>
      </c>
      <c r="N53" s="429">
        <v>3</v>
      </c>
      <c r="O53" s="303"/>
      <c r="P53" s="305" t="str">
        <f t="shared" si="7"/>
        <v>INCLUDED</v>
      </c>
      <c r="Q53" s="516">
        <f t="shared" si="11"/>
        <v>0</v>
      </c>
      <c r="R53" s="547">
        <f t="shared" si="12"/>
        <v>0</v>
      </c>
      <c r="S53" s="548">
        <f>Discount!$J$36</f>
        <v>0</v>
      </c>
      <c r="T53" s="547">
        <f t="shared" si="13"/>
        <v>0</v>
      </c>
      <c r="U53" s="549">
        <f t="shared" si="14"/>
        <v>0</v>
      </c>
      <c r="V53" s="550">
        <f t="shared" si="5"/>
        <v>0</v>
      </c>
      <c r="W53" s="551"/>
      <c r="X53" s="551"/>
      <c r="Y53" s="551"/>
      <c r="Z53" s="551"/>
      <c r="AA53" s="551"/>
    </row>
    <row r="54" spans="1:27" ht="31.5">
      <c r="A54" s="426">
        <v>37</v>
      </c>
      <c r="B54" s="429"/>
      <c r="C54" s="429"/>
      <c r="D54" s="728">
        <v>560</v>
      </c>
      <c r="E54" s="429">
        <v>370</v>
      </c>
      <c r="F54" s="429" t="s">
        <v>555</v>
      </c>
      <c r="G54" s="429">
        <v>100001681</v>
      </c>
      <c r="H54" s="429">
        <v>995455</v>
      </c>
      <c r="I54" s="307"/>
      <c r="J54" s="729">
        <v>18</v>
      </c>
      <c r="K54" s="306"/>
      <c r="L54" s="429" t="s">
        <v>486</v>
      </c>
      <c r="M54" s="429" t="s">
        <v>543</v>
      </c>
      <c r="N54" s="429">
        <v>4</v>
      </c>
      <c r="O54" s="303"/>
      <c r="P54" s="305" t="str">
        <f t="shared" si="7"/>
        <v>INCLUDED</v>
      </c>
      <c r="Q54" s="516">
        <f t="shared" si="11"/>
        <v>0</v>
      </c>
      <c r="R54" s="547">
        <f t="shared" si="12"/>
        <v>0</v>
      </c>
      <c r="S54" s="548">
        <f>Discount!$J$36</f>
        <v>0</v>
      </c>
      <c r="T54" s="547">
        <f t="shared" si="13"/>
        <v>0</v>
      </c>
      <c r="U54" s="549">
        <f t="shared" si="14"/>
        <v>0</v>
      </c>
      <c r="V54" s="550">
        <f t="shared" si="5"/>
        <v>0</v>
      </c>
      <c r="W54" s="551"/>
      <c r="X54" s="551"/>
      <c r="Y54" s="551"/>
      <c r="Z54" s="551"/>
      <c r="AA54" s="551"/>
    </row>
    <row r="55" spans="1:27" ht="47.25">
      <c r="A55" s="426">
        <v>38</v>
      </c>
      <c r="B55" s="429"/>
      <c r="C55" s="429"/>
      <c r="D55" s="728">
        <v>560</v>
      </c>
      <c r="E55" s="429">
        <v>380</v>
      </c>
      <c r="F55" s="429" t="s">
        <v>544</v>
      </c>
      <c r="G55" s="429">
        <v>100004518</v>
      </c>
      <c r="H55" s="429">
        <v>995433</v>
      </c>
      <c r="I55" s="307"/>
      <c r="J55" s="729">
        <v>18</v>
      </c>
      <c r="K55" s="306"/>
      <c r="L55" s="429" t="s">
        <v>588</v>
      </c>
      <c r="M55" s="429" t="s">
        <v>547</v>
      </c>
      <c r="N55" s="429">
        <v>1526</v>
      </c>
      <c r="O55" s="303"/>
      <c r="P55" s="305" t="str">
        <f t="shared" si="7"/>
        <v>INCLUDED</v>
      </c>
      <c r="Q55" s="516">
        <f t="shared" si="11"/>
        <v>0</v>
      </c>
      <c r="R55" s="547">
        <f t="shared" si="12"/>
        <v>0</v>
      </c>
      <c r="S55" s="548">
        <f>Discount!$J$36</f>
        <v>0</v>
      </c>
      <c r="T55" s="547">
        <f t="shared" si="13"/>
        <v>0</v>
      </c>
      <c r="U55" s="549">
        <f t="shared" si="14"/>
        <v>0</v>
      </c>
      <c r="V55" s="550">
        <f t="shared" si="5"/>
        <v>0</v>
      </c>
      <c r="W55" s="551"/>
      <c r="X55" s="551"/>
      <c r="Y55" s="551"/>
      <c r="Z55" s="551"/>
      <c r="AA55" s="551"/>
    </row>
    <row r="56" spans="1:27" ht="47.25">
      <c r="A56" s="426">
        <v>39</v>
      </c>
      <c r="B56" s="429"/>
      <c r="C56" s="429"/>
      <c r="D56" s="728">
        <v>560</v>
      </c>
      <c r="E56" s="429">
        <v>390</v>
      </c>
      <c r="F56" s="429" t="s">
        <v>544</v>
      </c>
      <c r="G56" s="429">
        <v>100011662</v>
      </c>
      <c r="H56" s="429">
        <v>995433</v>
      </c>
      <c r="I56" s="307"/>
      <c r="J56" s="729">
        <v>18</v>
      </c>
      <c r="K56" s="306"/>
      <c r="L56" s="429" t="s">
        <v>589</v>
      </c>
      <c r="M56" s="429" t="s">
        <v>547</v>
      </c>
      <c r="N56" s="429">
        <v>170</v>
      </c>
      <c r="O56" s="303"/>
      <c r="P56" s="305" t="str">
        <f t="shared" si="7"/>
        <v>INCLUDED</v>
      </c>
      <c r="Q56" s="516">
        <f t="shared" si="11"/>
        <v>0</v>
      </c>
      <c r="R56" s="547">
        <f t="shared" si="12"/>
        <v>0</v>
      </c>
      <c r="S56" s="548">
        <f>Discount!$J$36</f>
        <v>0</v>
      </c>
      <c r="T56" s="547">
        <f t="shared" si="13"/>
        <v>0</v>
      </c>
      <c r="U56" s="549">
        <f t="shared" si="14"/>
        <v>0</v>
      </c>
      <c r="V56" s="550">
        <f t="shared" si="5"/>
        <v>0</v>
      </c>
      <c r="W56" s="551"/>
      <c r="X56" s="551"/>
      <c r="Y56" s="551"/>
      <c r="Z56" s="551"/>
      <c r="AA56" s="551"/>
    </row>
    <row r="57" spans="1:27">
      <c r="A57" s="426">
        <v>40</v>
      </c>
      <c r="B57" s="429"/>
      <c r="C57" s="429"/>
      <c r="D57" s="728">
        <v>560</v>
      </c>
      <c r="E57" s="429">
        <v>400</v>
      </c>
      <c r="F57" s="429" t="s">
        <v>544</v>
      </c>
      <c r="G57" s="429">
        <v>100001326</v>
      </c>
      <c r="H57" s="429">
        <v>995454</v>
      </c>
      <c r="I57" s="307"/>
      <c r="J57" s="729">
        <v>18</v>
      </c>
      <c r="K57" s="306"/>
      <c r="L57" s="429" t="s">
        <v>590</v>
      </c>
      <c r="M57" s="429" t="s">
        <v>547</v>
      </c>
      <c r="N57" s="429">
        <v>31</v>
      </c>
      <c r="O57" s="303"/>
      <c r="P57" s="305" t="str">
        <f t="shared" si="7"/>
        <v>INCLUDED</v>
      </c>
      <c r="Q57" s="516">
        <f t="shared" ref="Q57:Q62" si="15">IF(P57="Included",0,P57)</f>
        <v>0</v>
      </c>
      <c r="R57" s="547">
        <f t="shared" ref="R57:R62" si="16">IF( K57="",J57*(IF(P57="Included",0,P57))/100,K57*(IF(P57="Included",0,P57)))</f>
        <v>0</v>
      </c>
      <c r="S57" s="548">
        <f>Discount!$J$36</f>
        <v>0</v>
      </c>
      <c r="T57" s="547">
        <f t="shared" ref="T57:T62" si="17">S57*Q57</f>
        <v>0</v>
      </c>
      <c r="U57" s="549">
        <f t="shared" ref="U57:U62" si="18">IF(K57="",J57*T57/100,K57*T57)</f>
        <v>0</v>
      </c>
      <c r="V57" s="550">
        <f t="shared" si="5"/>
        <v>0</v>
      </c>
      <c r="W57" s="551"/>
      <c r="X57" s="551"/>
      <c r="Y57" s="551"/>
      <c r="Z57" s="551"/>
      <c r="AA57" s="551"/>
    </row>
    <row r="58" spans="1:27">
      <c r="A58" s="426">
        <v>41</v>
      </c>
      <c r="B58" s="429"/>
      <c r="C58" s="429"/>
      <c r="D58" s="728">
        <v>560</v>
      </c>
      <c r="E58" s="429">
        <v>410</v>
      </c>
      <c r="F58" s="429" t="s">
        <v>544</v>
      </c>
      <c r="G58" s="429">
        <v>100001325</v>
      </c>
      <c r="H58" s="429">
        <v>995454</v>
      </c>
      <c r="I58" s="307"/>
      <c r="J58" s="729">
        <v>18</v>
      </c>
      <c r="K58" s="306"/>
      <c r="L58" s="429" t="s">
        <v>487</v>
      </c>
      <c r="M58" s="429" t="s">
        <v>547</v>
      </c>
      <c r="N58" s="429">
        <f>77+45+13</f>
        <v>135</v>
      </c>
      <c r="O58" s="303"/>
      <c r="P58" s="305" t="str">
        <f t="shared" si="7"/>
        <v>INCLUDED</v>
      </c>
      <c r="Q58" s="516">
        <f t="shared" si="15"/>
        <v>0</v>
      </c>
      <c r="R58" s="547">
        <f t="shared" si="16"/>
        <v>0</v>
      </c>
      <c r="S58" s="548">
        <f>Discount!$J$36</f>
        <v>0</v>
      </c>
      <c r="T58" s="547">
        <f t="shared" si="17"/>
        <v>0</v>
      </c>
      <c r="U58" s="549">
        <f t="shared" si="18"/>
        <v>0</v>
      </c>
      <c r="V58" s="550">
        <f t="shared" si="5"/>
        <v>0</v>
      </c>
      <c r="W58" s="551"/>
      <c r="X58" s="551"/>
      <c r="Y58" s="551"/>
      <c r="Z58" s="551"/>
      <c r="AA58" s="551"/>
    </row>
    <row r="59" spans="1:27" ht="31.5">
      <c r="A59" s="426">
        <v>42</v>
      </c>
      <c r="B59" s="429"/>
      <c r="C59" s="429"/>
      <c r="D59" s="728">
        <v>560</v>
      </c>
      <c r="E59" s="429">
        <v>420</v>
      </c>
      <c r="F59" s="429" t="s">
        <v>544</v>
      </c>
      <c r="G59" s="429">
        <v>100001327</v>
      </c>
      <c r="H59" s="429">
        <v>995454</v>
      </c>
      <c r="I59" s="307"/>
      <c r="J59" s="729">
        <v>18</v>
      </c>
      <c r="K59" s="306"/>
      <c r="L59" s="429" t="s">
        <v>591</v>
      </c>
      <c r="M59" s="429" t="s">
        <v>547</v>
      </c>
      <c r="N59" s="429">
        <f>519+45+13</f>
        <v>577</v>
      </c>
      <c r="O59" s="303"/>
      <c r="P59" s="305" t="str">
        <f t="shared" si="7"/>
        <v>INCLUDED</v>
      </c>
      <c r="Q59" s="516">
        <f t="shared" si="15"/>
        <v>0</v>
      </c>
      <c r="R59" s="547">
        <f t="shared" si="16"/>
        <v>0</v>
      </c>
      <c r="S59" s="548">
        <f>Discount!$J$36</f>
        <v>0</v>
      </c>
      <c r="T59" s="547">
        <f t="shared" si="17"/>
        <v>0</v>
      </c>
      <c r="U59" s="549">
        <f t="shared" si="18"/>
        <v>0</v>
      </c>
      <c r="V59" s="550">
        <f t="shared" si="5"/>
        <v>0</v>
      </c>
      <c r="W59" s="551"/>
      <c r="X59" s="551"/>
      <c r="Y59" s="551"/>
      <c r="Z59" s="551"/>
      <c r="AA59" s="551"/>
    </row>
    <row r="60" spans="1:27">
      <c r="A60" s="426">
        <v>43</v>
      </c>
      <c r="B60" s="429"/>
      <c r="C60" s="429"/>
      <c r="D60" s="728">
        <v>560</v>
      </c>
      <c r="E60" s="429">
        <v>430</v>
      </c>
      <c r="F60" s="429" t="s">
        <v>544</v>
      </c>
      <c r="G60" s="429">
        <v>100001329</v>
      </c>
      <c r="H60" s="429">
        <v>995454</v>
      </c>
      <c r="I60" s="307"/>
      <c r="J60" s="729">
        <v>18</v>
      </c>
      <c r="K60" s="306"/>
      <c r="L60" s="429" t="s">
        <v>488</v>
      </c>
      <c r="M60" s="429" t="s">
        <v>543</v>
      </c>
      <c r="N60" s="429">
        <f>36+2.4+0.6</f>
        <v>39</v>
      </c>
      <c r="O60" s="303"/>
      <c r="P60" s="305" t="str">
        <f t="shared" si="7"/>
        <v>INCLUDED</v>
      </c>
      <c r="Q60" s="516">
        <f t="shared" si="15"/>
        <v>0</v>
      </c>
      <c r="R60" s="547">
        <f t="shared" si="16"/>
        <v>0</v>
      </c>
      <c r="S60" s="548">
        <f>Discount!$J$36</f>
        <v>0</v>
      </c>
      <c r="T60" s="547">
        <f t="shared" si="17"/>
        <v>0</v>
      </c>
      <c r="U60" s="549">
        <f t="shared" si="18"/>
        <v>0</v>
      </c>
      <c r="V60" s="550">
        <f t="shared" si="5"/>
        <v>0</v>
      </c>
      <c r="W60" s="551"/>
      <c r="X60" s="551"/>
      <c r="Y60" s="551"/>
      <c r="Z60" s="551"/>
      <c r="AA60" s="551"/>
    </row>
    <row r="61" spans="1:27" ht="31.5">
      <c r="A61" s="426">
        <v>44</v>
      </c>
      <c r="B61" s="429"/>
      <c r="C61" s="429"/>
      <c r="D61" s="728">
        <v>560</v>
      </c>
      <c r="E61" s="429">
        <v>440</v>
      </c>
      <c r="F61" s="429" t="s">
        <v>544</v>
      </c>
      <c r="G61" s="429">
        <v>100001331</v>
      </c>
      <c r="H61" s="429">
        <v>995455</v>
      </c>
      <c r="I61" s="307"/>
      <c r="J61" s="729">
        <v>18</v>
      </c>
      <c r="K61" s="306"/>
      <c r="L61" s="429" t="s">
        <v>592</v>
      </c>
      <c r="M61" s="429" t="s">
        <v>543</v>
      </c>
      <c r="N61" s="429">
        <v>27</v>
      </c>
      <c r="O61" s="303"/>
      <c r="P61" s="305" t="str">
        <f t="shared" si="7"/>
        <v>INCLUDED</v>
      </c>
      <c r="Q61" s="516">
        <f t="shared" si="15"/>
        <v>0</v>
      </c>
      <c r="R61" s="547">
        <f t="shared" si="16"/>
        <v>0</v>
      </c>
      <c r="S61" s="548">
        <f>Discount!$J$36</f>
        <v>0</v>
      </c>
      <c r="T61" s="547">
        <f t="shared" si="17"/>
        <v>0</v>
      </c>
      <c r="U61" s="549">
        <f t="shared" si="18"/>
        <v>0</v>
      </c>
      <c r="V61" s="550">
        <f t="shared" si="5"/>
        <v>0</v>
      </c>
      <c r="W61" s="551"/>
      <c r="X61" s="551"/>
      <c r="Y61" s="551"/>
      <c r="Z61" s="551"/>
      <c r="AA61" s="551"/>
    </row>
    <row r="62" spans="1:27">
      <c r="A62" s="426">
        <v>45</v>
      </c>
      <c r="B62" s="429"/>
      <c r="C62" s="429"/>
      <c r="D62" s="728">
        <v>560</v>
      </c>
      <c r="E62" s="429">
        <v>450</v>
      </c>
      <c r="F62" s="429" t="s">
        <v>544</v>
      </c>
      <c r="G62" s="429">
        <v>100001714</v>
      </c>
      <c r="H62" s="429">
        <v>995428</v>
      </c>
      <c r="I62" s="307"/>
      <c r="J62" s="729">
        <v>18</v>
      </c>
      <c r="K62" s="306"/>
      <c r="L62" s="429" t="s">
        <v>593</v>
      </c>
      <c r="M62" s="429" t="s">
        <v>548</v>
      </c>
      <c r="N62" s="429">
        <v>1500</v>
      </c>
      <c r="O62" s="303"/>
      <c r="P62" s="305" t="str">
        <f t="shared" si="7"/>
        <v>INCLUDED</v>
      </c>
      <c r="Q62" s="516">
        <f t="shared" si="15"/>
        <v>0</v>
      </c>
      <c r="R62" s="547">
        <f t="shared" si="16"/>
        <v>0</v>
      </c>
      <c r="S62" s="548">
        <f>Discount!$J$36</f>
        <v>0</v>
      </c>
      <c r="T62" s="547">
        <f t="shared" si="17"/>
        <v>0</v>
      </c>
      <c r="U62" s="549">
        <f t="shared" si="18"/>
        <v>0</v>
      </c>
      <c r="V62" s="550">
        <f t="shared" si="5"/>
        <v>0</v>
      </c>
      <c r="W62" s="551"/>
      <c r="X62" s="551"/>
      <c r="Y62" s="551"/>
      <c r="Z62" s="551"/>
      <c r="AA62" s="551"/>
    </row>
    <row r="63" spans="1:27">
      <c r="A63" s="426">
        <v>46</v>
      </c>
      <c r="B63" s="429"/>
      <c r="C63" s="429"/>
      <c r="D63" s="728">
        <v>560</v>
      </c>
      <c r="E63" s="429">
        <v>460</v>
      </c>
      <c r="F63" s="429" t="s">
        <v>544</v>
      </c>
      <c r="G63" s="429">
        <v>100001713</v>
      </c>
      <c r="H63" s="429">
        <v>995424</v>
      </c>
      <c r="I63" s="307"/>
      <c r="J63" s="729">
        <v>18</v>
      </c>
      <c r="K63" s="306"/>
      <c r="L63" s="429" t="s">
        <v>490</v>
      </c>
      <c r="M63" s="429" t="s">
        <v>548</v>
      </c>
      <c r="N63" s="429">
        <v>2500</v>
      </c>
      <c r="O63" s="303"/>
      <c r="P63" s="305" t="str">
        <f t="shared" si="7"/>
        <v>INCLUDED</v>
      </c>
      <c r="Q63" s="516">
        <f t="shared" ref="Q63:Q88" si="19">IF(P63="Included",0,P63)</f>
        <v>0</v>
      </c>
      <c r="R63" s="547">
        <f t="shared" ref="R63:R88" si="20">IF( K63="",J63*(IF(P63="Included",0,P63))/100,K63*(IF(P63="Included",0,P63)))</f>
        <v>0</v>
      </c>
      <c r="S63" s="548">
        <f>Discount!$J$36</f>
        <v>0</v>
      </c>
      <c r="T63" s="547">
        <f t="shared" ref="T63:T88" si="21">S63*Q63</f>
        <v>0</v>
      </c>
      <c r="U63" s="549">
        <f t="shared" ref="U63:U88" si="22">IF(K63="",J63*T63/100,K63*T63)</f>
        <v>0</v>
      </c>
      <c r="V63" s="550">
        <f t="shared" ref="V63:V88" si="23">O63*N63</f>
        <v>0</v>
      </c>
      <c r="W63" s="551"/>
      <c r="X63" s="551"/>
      <c r="Y63" s="551"/>
      <c r="Z63" s="551"/>
      <c r="AA63" s="551"/>
    </row>
    <row r="64" spans="1:27" ht="31.5">
      <c r="A64" s="426">
        <v>47</v>
      </c>
      <c r="B64" s="429"/>
      <c r="C64" s="429"/>
      <c r="D64" s="728">
        <v>560</v>
      </c>
      <c r="E64" s="429">
        <v>470</v>
      </c>
      <c r="F64" s="429" t="s">
        <v>544</v>
      </c>
      <c r="G64" s="429">
        <v>100001712</v>
      </c>
      <c r="H64" s="429">
        <v>995428</v>
      </c>
      <c r="I64" s="307"/>
      <c r="J64" s="729">
        <v>18</v>
      </c>
      <c r="K64" s="306"/>
      <c r="L64" s="429" t="s">
        <v>594</v>
      </c>
      <c r="M64" s="429" t="s">
        <v>548</v>
      </c>
      <c r="N64" s="429">
        <v>1000</v>
      </c>
      <c r="O64" s="303"/>
      <c r="P64" s="305" t="str">
        <f t="shared" si="7"/>
        <v>INCLUDED</v>
      </c>
      <c r="Q64" s="516">
        <f t="shared" si="19"/>
        <v>0</v>
      </c>
      <c r="R64" s="547">
        <f t="shared" si="20"/>
        <v>0</v>
      </c>
      <c r="S64" s="548">
        <f>Discount!$J$36</f>
        <v>0</v>
      </c>
      <c r="T64" s="547">
        <f t="shared" si="21"/>
        <v>0</v>
      </c>
      <c r="U64" s="549">
        <f t="shared" si="22"/>
        <v>0</v>
      </c>
      <c r="V64" s="550">
        <f t="shared" si="23"/>
        <v>0</v>
      </c>
      <c r="W64" s="551"/>
      <c r="X64" s="551"/>
      <c r="Y64" s="551"/>
      <c r="Z64" s="551"/>
      <c r="AA64" s="551"/>
    </row>
    <row r="65" spans="1:27" ht="47.25">
      <c r="A65" s="426">
        <v>48</v>
      </c>
      <c r="B65" s="429"/>
      <c r="C65" s="429"/>
      <c r="D65" s="728">
        <v>560</v>
      </c>
      <c r="E65" s="429">
        <v>480</v>
      </c>
      <c r="F65" s="429" t="s">
        <v>544</v>
      </c>
      <c r="G65" s="429">
        <v>100048595</v>
      </c>
      <c r="H65" s="429">
        <v>995423</v>
      </c>
      <c r="I65" s="307"/>
      <c r="J65" s="729">
        <v>18</v>
      </c>
      <c r="K65" s="306"/>
      <c r="L65" s="429" t="s">
        <v>595</v>
      </c>
      <c r="M65" s="429" t="s">
        <v>548</v>
      </c>
      <c r="N65" s="429">
        <v>2500</v>
      </c>
      <c r="O65" s="303"/>
      <c r="P65" s="305" t="str">
        <f t="shared" si="7"/>
        <v>INCLUDED</v>
      </c>
      <c r="Q65" s="516">
        <f t="shared" si="19"/>
        <v>0</v>
      </c>
      <c r="R65" s="547">
        <f t="shared" si="20"/>
        <v>0</v>
      </c>
      <c r="S65" s="548">
        <f>Discount!$J$36</f>
        <v>0</v>
      </c>
      <c r="T65" s="547">
        <f t="shared" si="21"/>
        <v>0</v>
      </c>
      <c r="U65" s="549">
        <f t="shared" si="22"/>
        <v>0</v>
      </c>
      <c r="V65" s="550">
        <f t="shared" si="23"/>
        <v>0</v>
      </c>
      <c r="W65" s="551"/>
      <c r="X65" s="551"/>
      <c r="Y65" s="551"/>
      <c r="Z65" s="551"/>
      <c r="AA65" s="551"/>
    </row>
    <row r="66" spans="1:27" ht="31.5">
      <c r="A66" s="426">
        <v>49</v>
      </c>
      <c r="B66" s="429"/>
      <c r="C66" s="429"/>
      <c r="D66" s="728">
        <v>560</v>
      </c>
      <c r="E66" s="429">
        <v>490</v>
      </c>
      <c r="F66" s="429" t="s">
        <v>544</v>
      </c>
      <c r="G66" s="429">
        <v>100020960</v>
      </c>
      <c r="H66" s="429">
        <v>995461</v>
      </c>
      <c r="I66" s="307"/>
      <c r="J66" s="729">
        <v>18</v>
      </c>
      <c r="K66" s="306"/>
      <c r="L66" s="429" t="s">
        <v>596</v>
      </c>
      <c r="M66" s="429" t="s">
        <v>549</v>
      </c>
      <c r="N66" s="429">
        <v>20</v>
      </c>
      <c r="O66" s="303"/>
      <c r="P66" s="305" t="str">
        <f t="shared" si="7"/>
        <v>INCLUDED</v>
      </c>
      <c r="Q66" s="516">
        <f t="shared" si="19"/>
        <v>0</v>
      </c>
      <c r="R66" s="547">
        <f t="shared" si="20"/>
        <v>0</v>
      </c>
      <c r="S66" s="548">
        <f>Discount!$J$36</f>
        <v>0</v>
      </c>
      <c r="T66" s="547">
        <f t="shared" si="21"/>
        <v>0</v>
      </c>
      <c r="U66" s="549">
        <f t="shared" si="22"/>
        <v>0</v>
      </c>
      <c r="V66" s="550">
        <f t="shared" si="23"/>
        <v>0</v>
      </c>
      <c r="W66" s="551"/>
      <c r="X66" s="551"/>
      <c r="Y66" s="551"/>
      <c r="Z66" s="551"/>
      <c r="AA66" s="551"/>
    </row>
    <row r="67" spans="1:27" ht="31.5">
      <c r="A67" s="426">
        <v>50</v>
      </c>
      <c r="B67" s="429"/>
      <c r="C67" s="429"/>
      <c r="D67" s="728">
        <v>560</v>
      </c>
      <c r="E67" s="429">
        <v>500</v>
      </c>
      <c r="F67" s="429" t="s">
        <v>544</v>
      </c>
      <c r="G67" s="429">
        <v>100020961</v>
      </c>
      <c r="H67" s="429">
        <v>995461</v>
      </c>
      <c r="I67" s="307"/>
      <c r="J67" s="729">
        <v>18</v>
      </c>
      <c r="K67" s="306"/>
      <c r="L67" s="429" t="s">
        <v>597</v>
      </c>
      <c r="M67" s="429" t="s">
        <v>549</v>
      </c>
      <c r="N67" s="429">
        <v>40</v>
      </c>
      <c r="O67" s="303"/>
      <c r="P67" s="305" t="str">
        <f t="shared" si="7"/>
        <v>INCLUDED</v>
      </c>
      <c r="Q67" s="516">
        <f t="shared" si="19"/>
        <v>0</v>
      </c>
      <c r="R67" s="547">
        <f t="shared" si="20"/>
        <v>0</v>
      </c>
      <c r="S67" s="548">
        <f>Discount!$J$36</f>
        <v>0</v>
      </c>
      <c r="T67" s="547">
        <f t="shared" si="21"/>
        <v>0</v>
      </c>
      <c r="U67" s="549">
        <f t="shared" si="22"/>
        <v>0</v>
      </c>
      <c r="V67" s="550">
        <f t="shared" si="23"/>
        <v>0</v>
      </c>
      <c r="W67" s="551"/>
      <c r="X67" s="551"/>
      <c r="Y67" s="551"/>
      <c r="Z67" s="551"/>
      <c r="AA67" s="551"/>
    </row>
    <row r="68" spans="1:27" ht="31.5">
      <c r="A68" s="426">
        <v>51</v>
      </c>
      <c r="B68" s="429"/>
      <c r="C68" s="429"/>
      <c r="D68" s="728">
        <v>560</v>
      </c>
      <c r="E68" s="429">
        <v>510</v>
      </c>
      <c r="F68" s="429" t="s">
        <v>544</v>
      </c>
      <c r="G68" s="429">
        <v>100020962</v>
      </c>
      <c r="H68" s="429">
        <v>995461</v>
      </c>
      <c r="I68" s="307"/>
      <c r="J68" s="729">
        <v>18</v>
      </c>
      <c r="K68" s="306"/>
      <c r="L68" s="429" t="s">
        <v>598</v>
      </c>
      <c r="M68" s="429" t="s">
        <v>549</v>
      </c>
      <c r="N68" s="429">
        <v>20</v>
      </c>
      <c r="O68" s="303"/>
      <c r="P68" s="305" t="str">
        <f t="shared" si="7"/>
        <v>INCLUDED</v>
      </c>
      <c r="Q68" s="516">
        <f t="shared" si="19"/>
        <v>0</v>
      </c>
      <c r="R68" s="547">
        <f t="shared" si="20"/>
        <v>0</v>
      </c>
      <c r="S68" s="548">
        <f>Discount!$J$36</f>
        <v>0</v>
      </c>
      <c r="T68" s="547">
        <f t="shared" si="21"/>
        <v>0</v>
      </c>
      <c r="U68" s="549">
        <f t="shared" si="22"/>
        <v>0</v>
      </c>
      <c r="V68" s="550">
        <f t="shared" si="23"/>
        <v>0</v>
      </c>
      <c r="W68" s="551"/>
      <c r="X68" s="551"/>
      <c r="Y68" s="551"/>
      <c r="Z68" s="551"/>
      <c r="AA68" s="551"/>
    </row>
    <row r="69" spans="1:27" ht="31.5">
      <c r="A69" s="426">
        <v>52</v>
      </c>
      <c r="B69" s="429"/>
      <c r="C69" s="429"/>
      <c r="D69" s="728">
        <v>560</v>
      </c>
      <c r="E69" s="429">
        <v>520</v>
      </c>
      <c r="F69" s="429" t="s">
        <v>544</v>
      </c>
      <c r="G69" s="429">
        <v>100016667</v>
      </c>
      <c r="H69" s="429">
        <v>995451</v>
      </c>
      <c r="I69" s="307"/>
      <c r="J69" s="729">
        <v>18</v>
      </c>
      <c r="K69" s="306"/>
      <c r="L69" s="429" t="s">
        <v>599</v>
      </c>
      <c r="M69" s="429" t="s">
        <v>549</v>
      </c>
      <c r="N69" s="429">
        <v>100</v>
      </c>
      <c r="O69" s="303"/>
      <c r="P69" s="305" t="str">
        <f t="shared" si="7"/>
        <v>INCLUDED</v>
      </c>
      <c r="Q69" s="516">
        <f t="shared" si="19"/>
        <v>0</v>
      </c>
      <c r="R69" s="547">
        <f t="shared" si="20"/>
        <v>0</v>
      </c>
      <c r="S69" s="548">
        <f>Discount!$J$36</f>
        <v>0</v>
      </c>
      <c r="T69" s="547">
        <f t="shared" si="21"/>
        <v>0</v>
      </c>
      <c r="U69" s="549">
        <f t="shared" si="22"/>
        <v>0</v>
      </c>
      <c r="V69" s="550">
        <f t="shared" si="23"/>
        <v>0</v>
      </c>
      <c r="W69" s="551"/>
      <c r="X69" s="551"/>
      <c r="Y69" s="551"/>
      <c r="Z69" s="551"/>
      <c r="AA69" s="551"/>
    </row>
    <row r="70" spans="1:27" ht="31.5">
      <c r="A70" s="426">
        <v>53</v>
      </c>
      <c r="B70" s="429"/>
      <c r="C70" s="429"/>
      <c r="D70" s="728">
        <v>560</v>
      </c>
      <c r="E70" s="429">
        <v>530</v>
      </c>
      <c r="F70" s="429" t="s">
        <v>544</v>
      </c>
      <c r="G70" s="429">
        <v>100001478</v>
      </c>
      <c r="H70" s="429">
        <v>995454</v>
      </c>
      <c r="I70" s="307"/>
      <c r="J70" s="729">
        <v>18</v>
      </c>
      <c r="K70" s="306"/>
      <c r="L70" s="429" t="s">
        <v>600</v>
      </c>
      <c r="M70" s="429" t="s">
        <v>549</v>
      </c>
      <c r="N70" s="429">
        <v>200</v>
      </c>
      <c r="O70" s="303"/>
      <c r="P70" s="305" t="str">
        <f t="shared" si="7"/>
        <v>INCLUDED</v>
      </c>
      <c r="Q70" s="516">
        <f t="shared" si="19"/>
        <v>0</v>
      </c>
      <c r="R70" s="547">
        <f t="shared" si="20"/>
        <v>0</v>
      </c>
      <c r="S70" s="548">
        <f>Discount!$J$36</f>
        <v>0</v>
      </c>
      <c r="T70" s="547">
        <f t="shared" si="21"/>
        <v>0</v>
      </c>
      <c r="U70" s="549">
        <f t="shared" si="22"/>
        <v>0</v>
      </c>
      <c r="V70" s="550">
        <f t="shared" si="23"/>
        <v>0</v>
      </c>
      <c r="W70" s="551"/>
      <c r="X70" s="551"/>
      <c r="Y70" s="551"/>
      <c r="Z70" s="551"/>
      <c r="AA70" s="551"/>
    </row>
    <row r="71" spans="1:27" ht="31.5">
      <c r="A71" s="426">
        <v>54</v>
      </c>
      <c r="B71" s="429"/>
      <c r="C71" s="429"/>
      <c r="D71" s="728">
        <v>560</v>
      </c>
      <c r="E71" s="429">
        <v>540</v>
      </c>
      <c r="F71" s="429" t="s">
        <v>544</v>
      </c>
      <c r="G71" s="429">
        <v>100001479</v>
      </c>
      <c r="H71" s="429">
        <v>995454</v>
      </c>
      <c r="I71" s="307"/>
      <c r="J71" s="729">
        <v>18</v>
      </c>
      <c r="K71" s="306"/>
      <c r="L71" s="429" t="s">
        <v>601</v>
      </c>
      <c r="M71" s="429" t="s">
        <v>549</v>
      </c>
      <c r="N71" s="429">
        <v>200</v>
      </c>
      <c r="O71" s="303"/>
      <c r="P71" s="305" t="str">
        <f t="shared" si="7"/>
        <v>INCLUDED</v>
      </c>
      <c r="Q71" s="516">
        <f t="shared" si="19"/>
        <v>0</v>
      </c>
      <c r="R71" s="547">
        <f t="shared" si="20"/>
        <v>0</v>
      </c>
      <c r="S71" s="548">
        <f>Discount!$J$36</f>
        <v>0</v>
      </c>
      <c r="T71" s="547">
        <f t="shared" si="21"/>
        <v>0</v>
      </c>
      <c r="U71" s="549">
        <f t="shared" si="22"/>
        <v>0</v>
      </c>
      <c r="V71" s="550">
        <f t="shared" si="23"/>
        <v>0</v>
      </c>
      <c r="W71" s="551"/>
      <c r="X71" s="551"/>
      <c r="Y71" s="551"/>
      <c r="Z71" s="551"/>
      <c r="AA71" s="551"/>
    </row>
    <row r="72" spans="1:27" ht="31.5">
      <c r="A72" s="426">
        <v>55</v>
      </c>
      <c r="B72" s="429"/>
      <c r="C72" s="429"/>
      <c r="D72" s="728">
        <v>560</v>
      </c>
      <c r="E72" s="429">
        <v>550</v>
      </c>
      <c r="F72" s="429" t="s">
        <v>544</v>
      </c>
      <c r="G72" s="429">
        <v>100001480</v>
      </c>
      <c r="H72" s="429">
        <v>995454</v>
      </c>
      <c r="I72" s="307"/>
      <c r="J72" s="729">
        <v>18</v>
      </c>
      <c r="K72" s="306"/>
      <c r="L72" s="429" t="s">
        <v>602</v>
      </c>
      <c r="M72" s="429" t="s">
        <v>549</v>
      </c>
      <c r="N72" s="429">
        <v>100</v>
      </c>
      <c r="O72" s="303"/>
      <c r="P72" s="305" t="str">
        <f t="shared" si="7"/>
        <v>INCLUDED</v>
      </c>
      <c r="Q72" s="516">
        <f t="shared" si="19"/>
        <v>0</v>
      </c>
      <c r="R72" s="547">
        <f t="shared" si="20"/>
        <v>0</v>
      </c>
      <c r="S72" s="548">
        <f>Discount!$J$36</f>
        <v>0</v>
      </c>
      <c r="T72" s="547">
        <f t="shared" si="21"/>
        <v>0</v>
      </c>
      <c r="U72" s="549">
        <f t="shared" si="22"/>
        <v>0</v>
      </c>
      <c r="V72" s="550">
        <f t="shared" si="23"/>
        <v>0</v>
      </c>
      <c r="W72" s="551"/>
      <c r="X72" s="551"/>
      <c r="Y72" s="551"/>
      <c r="Z72" s="551"/>
      <c r="AA72" s="551"/>
    </row>
    <row r="73" spans="1:27" ht="47.25">
      <c r="A73" s="426">
        <v>56</v>
      </c>
      <c r="B73" s="429"/>
      <c r="C73" s="429"/>
      <c r="D73" s="728">
        <v>560</v>
      </c>
      <c r="E73" s="429">
        <v>560</v>
      </c>
      <c r="F73" s="429" t="s">
        <v>544</v>
      </c>
      <c r="G73" s="429">
        <v>100001379</v>
      </c>
      <c r="H73" s="429">
        <v>995421</v>
      </c>
      <c r="I73" s="307"/>
      <c r="J73" s="729">
        <v>18</v>
      </c>
      <c r="K73" s="306"/>
      <c r="L73" s="429" t="s">
        <v>603</v>
      </c>
      <c r="M73" s="429" t="s">
        <v>548</v>
      </c>
      <c r="N73" s="429">
        <v>640</v>
      </c>
      <c r="O73" s="303"/>
      <c r="P73" s="305" t="str">
        <f t="shared" si="7"/>
        <v>INCLUDED</v>
      </c>
      <c r="Q73" s="516">
        <f t="shared" si="19"/>
        <v>0</v>
      </c>
      <c r="R73" s="547">
        <f t="shared" si="20"/>
        <v>0</v>
      </c>
      <c r="S73" s="548">
        <f>Discount!$J$36</f>
        <v>0</v>
      </c>
      <c r="T73" s="547">
        <f t="shared" si="21"/>
        <v>0</v>
      </c>
      <c r="U73" s="549">
        <f t="shared" si="22"/>
        <v>0</v>
      </c>
      <c r="V73" s="550">
        <f t="shared" si="23"/>
        <v>0</v>
      </c>
      <c r="W73" s="551"/>
      <c r="X73" s="551"/>
      <c r="Y73" s="551"/>
      <c r="Z73" s="551"/>
      <c r="AA73" s="551"/>
    </row>
    <row r="74" spans="1:27" ht="31.5">
      <c r="A74" s="426">
        <v>57</v>
      </c>
      <c r="B74" s="429"/>
      <c r="C74" s="429"/>
      <c r="D74" s="728">
        <v>560</v>
      </c>
      <c r="E74" s="429">
        <v>570</v>
      </c>
      <c r="F74" s="429" t="s">
        <v>544</v>
      </c>
      <c r="G74" s="429">
        <v>100001382</v>
      </c>
      <c r="H74" s="429">
        <v>995421</v>
      </c>
      <c r="I74" s="307"/>
      <c r="J74" s="729">
        <v>18</v>
      </c>
      <c r="K74" s="306"/>
      <c r="L74" s="429" t="s">
        <v>604</v>
      </c>
      <c r="M74" s="429" t="s">
        <v>548</v>
      </c>
      <c r="N74" s="429">
        <v>140</v>
      </c>
      <c r="O74" s="303"/>
      <c r="P74" s="305" t="str">
        <f t="shared" si="7"/>
        <v>INCLUDED</v>
      </c>
      <c r="Q74" s="516">
        <f t="shared" si="19"/>
        <v>0</v>
      </c>
      <c r="R74" s="547">
        <f t="shared" si="20"/>
        <v>0</v>
      </c>
      <c r="S74" s="548">
        <f>Discount!$J$36</f>
        <v>0</v>
      </c>
      <c r="T74" s="547">
        <f t="shared" si="21"/>
        <v>0</v>
      </c>
      <c r="U74" s="549">
        <f t="shared" si="22"/>
        <v>0</v>
      </c>
      <c r="V74" s="550">
        <f t="shared" si="23"/>
        <v>0</v>
      </c>
      <c r="W74" s="551"/>
      <c r="X74" s="551"/>
      <c r="Y74" s="551"/>
      <c r="Z74" s="551"/>
      <c r="AA74" s="551"/>
    </row>
    <row r="75" spans="1:27" ht="31.5">
      <c r="A75" s="426">
        <v>58</v>
      </c>
      <c r="B75" s="429"/>
      <c r="C75" s="429"/>
      <c r="D75" s="728">
        <v>560</v>
      </c>
      <c r="E75" s="429">
        <v>580</v>
      </c>
      <c r="F75" s="429" t="s">
        <v>544</v>
      </c>
      <c r="G75" s="429">
        <v>100015791</v>
      </c>
      <c r="H75" s="429">
        <v>995454</v>
      </c>
      <c r="I75" s="307"/>
      <c r="J75" s="729">
        <v>18</v>
      </c>
      <c r="K75" s="306"/>
      <c r="L75" s="429" t="s">
        <v>605</v>
      </c>
      <c r="M75" s="429" t="s">
        <v>549</v>
      </c>
      <c r="N75" s="429">
        <v>25</v>
      </c>
      <c r="O75" s="303"/>
      <c r="P75" s="305" t="str">
        <f t="shared" si="7"/>
        <v>INCLUDED</v>
      </c>
      <c r="Q75" s="516">
        <f t="shared" si="19"/>
        <v>0</v>
      </c>
      <c r="R75" s="547">
        <f t="shared" si="20"/>
        <v>0</v>
      </c>
      <c r="S75" s="548">
        <f>Discount!$J$36</f>
        <v>0</v>
      </c>
      <c r="T75" s="547">
        <f t="shared" si="21"/>
        <v>0</v>
      </c>
      <c r="U75" s="549">
        <f t="shared" si="22"/>
        <v>0</v>
      </c>
      <c r="V75" s="550">
        <f t="shared" si="23"/>
        <v>0</v>
      </c>
      <c r="W75" s="551"/>
      <c r="X75" s="551"/>
      <c r="Y75" s="551"/>
      <c r="Z75" s="551"/>
      <c r="AA75" s="551"/>
    </row>
    <row r="76" spans="1:27" ht="31.5">
      <c r="A76" s="426">
        <v>59</v>
      </c>
      <c r="B76" s="429"/>
      <c r="C76" s="429"/>
      <c r="D76" s="728">
        <v>560</v>
      </c>
      <c r="E76" s="429">
        <v>590</v>
      </c>
      <c r="F76" s="429" t="s">
        <v>544</v>
      </c>
      <c r="G76" s="429">
        <v>100015792</v>
      </c>
      <c r="H76" s="429">
        <v>995454</v>
      </c>
      <c r="I76" s="307"/>
      <c r="J76" s="729">
        <v>18</v>
      </c>
      <c r="K76" s="306"/>
      <c r="L76" s="429" t="s">
        <v>606</v>
      </c>
      <c r="M76" s="429" t="s">
        <v>549</v>
      </c>
      <c r="N76" s="429">
        <v>25</v>
      </c>
      <c r="O76" s="303"/>
      <c r="P76" s="305" t="str">
        <f t="shared" si="7"/>
        <v>INCLUDED</v>
      </c>
      <c r="Q76" s="516">
        <f t="shared" si="19"/>
        <v>0</v>
      </c>
      <c r="R76" s="547">
        <f t="shared" si="20"/>
        <v>0</v>
      </c>
      <c r="S76" s="548">
        <f>Discount!$J$36</f>
        <v>0</v>
      </c>
      <c r="T76" s="547">
        <f t="shared" si="21"/>
        <v>0</v>
      </c>
      <c r="U76" s="549">
        <f t="shared" si="22"/>
        <v>0</v>
      </c>
      <c r="V76" s="550">
        <f t="shared" si="23"/>
        <v>0</v>
      </c>
      <c r="W76" s="551"/>
      <c r="X76" s="551"/>
      <c r="Y76" s="551"/>
      <c r="Z76" s="551"/>
      <c r="AA76" s="551"/>
    </row>
    <row r="77" spans="1:27" ht="31.5">
      <c r="A77" s="426">
        <v>60</v>
      </c>
      <c r="B77" s="429"/>
      <c r="C77" s="429"/>
      <c r="D77" s="728">
        <v>560</v>
      </c>
      <c r="E77" s="429">
        <v>600</v>
      </c>
      <c r="F77" s="429" t="s">
        <v>544</v>
      </c>
      <c r="G77" s="429">
        <v>100015793</v>
      </c>
      <c r="H77" s="429">
        <v>995454</v>
      </c>
      <c r="I77" s="307"/>
      <c r="J77" s="729">
        <v>18</v>
      </c>
      <c r="K77" s="306"/>
      <c r="L77" s="429" t="s">
        <v>607</v>
      </c>
      <c r="M77" s="429" t="s">
        <v>549</v>
      </c>
      <c r="N77" s="429">
        <v>25</v>
      </c>
      <c r="O77" s="303"/>
      <c r="P77" s="305" t="str">
        <f t="shared" si="7"/>
        <v>INCLUDED</v>
      </c>
      <c r="Q77" s="516">
        <f t="shared" si="19"/>
        <v>0</v>
      </c>
      <c r="R77" s="547">
        <f t="shared" si="20"/>
        <v>0</v>
      </c>
      <c r="S77" s="548">
        <f>Discount!$J$36</f>
        <v>0</v>
      </c>
      <c r="T77" s="547">
        <f t="shared" si="21"/>
        <v>0</v>
      </c>
      <c r="U77" s="549">
        <f t="shared" si="22"/>
        <v>0</v>
      </c>
      <c r="V77" s="550">
        <f t="shared" si="23"/>
        <v>0</v>
      </c>
      <c r="W77" s="551"/>
      <c r="X77" s="551"/>
      <c r="Y77" s="551"/>
      <c r="Z77" s="551"/>
      <c r="AA77" s="551"/>
    </row>
    <row r="78" spans="1:27" ht="31.5">
      <c r="A78" s="426">
        <v>61</v>
      </c>
      <c r="B78" s="429"/>
      <c r="C78" s="429"/>
      <c r="D78" s="728">
        <v>560</v>
      </c>
      <c r="E78" s="429">
        <v>610</v>
      </c>
      <c r="F78" s="429" t="s">
        <v>544</v>
      </c>
      <c r="G78" s="429">
        <v>100015794</v>
      </c>
      <c r="H78" s="429">
        <v>995454</v>
      </c>
      <c r="I78" s="307"/>
      <c r="J78" s="729">
        <v>18</v>
      </c>
      <c r="K78" s="306"/>
      <c r="L78" s="429" t="s">
        <v>608</v>
      </c>
      <c r="M78" s="429" t="s">
        <v>549</v>
      </c>
      <c r="N78" s="429">
        <v>25</v>
      </c>
      <c r="O78" s="303"/>
      <c r="P78" s="305" t="str">
        <f t="shared" si="7"/>
        <v>INCLUDED</v>
      </c>
      <c r="Q78" s="516">
        <f t="shared" si="19"/>
        <v>0</v>
      </c>
      <c r="R78" s="547">
        <f t="shared" si="20"/>
        <v>0</v>
      </c>
      <c r="S78" s="548">
        <f>Discount!$J$36</f>
        <v>0</v>
      </c>
      <c r="T78" s="547">
        <f t="shared" si="21"/>
        <v>0</v>
      </c>
      <c r="U78" s="549">
        <f t="shared" si="22"/>
        <v>0</v>
      </c>
      <c r="V78" s="550">
        <f t="shared" si="23"/>
        <v>0</v>
      </c>
      <c r="W78" s="551"/>
      <c r="X78" s="551"/>
      <c r="Y78" s="551"/>
      <c r="Z78" s="551"/>
      <c r="AA78" s="551"/>
    </row>
    <row r="79" spans="1:27" ht="63">
      <c r="A79" s="426">
        <v>62</v>
      </c>
      <c r="B79" s="429"/>
      <c r="C79" s="429"/>
      <c r="D79" s="728">
        <v>560</v>
      </c>
      <c r="E79" s="429">
        <v>620</v>
      </c>
      <c r="F79" s="429" t="s">
        <v>544</v>
      </c>
      <c r="G79" s="429">
        <v>100007097</v>
      </c>
      <c r="H79" s="429">
        <v>995454</v>
      </c>
      <c r="I79" s="307"/>
      <c r="J79" s="729">
        <v>18</v>
      </c>
      <c r="K79" s="306"/>
      <c r="L79" s="429" t="s">
        <v>609</v>
      </c>
      <c r="M79" s="429" t="s">
        <v>548</v>
      </c>
      <c r="N79" s="429">
        <v>300</v>
      </c>
      <c r="O79" s="303"/>
      <c r="P79" s="305" t="str">
        <f t="shared" si="7"/>
        <v>INCLUDED</v>
      </c>
      <c r="Q79" s="516">
        <f t="shared" si="19"/>
        <v>0</v>
      </c>
      <c r="R79" s="547">
        <f t="shared" si="20"/>
        <v>0</v>
      </c>
      <c r="S79" s="548">
        <f>Discount!$J$36</f>
        <v>0</v>
      </c>
      <c r="T79" s="547">
        <f t="shared" si="21"/>
        <v>0</v>
      </c>
      <c r="U79" s="549">
        <f t="shared" si="22"/>
        <v>0</v>
      </c>
      <c r="V79" s="550">
        <f t="shared" si="23"/>
        <v>0</v>
      </c>
      <c r="W79" s="551"/>
      <c r="X79" s="551"/>
      <c r="Y79" s="551"/>
      <c r="Z79" s="551"/>
      <c r="AA79" s="551"/>
    </row>
    <row r="80" spans="1:27" ht="173.25">
      <c r="A80" s="426">
        <v>63</v>
      </c>
      <c r="B80" s="429"/>
      <c r="C80" s="429"/>
      <c r="D80" s="728">
        <v>560</v>
      </c>
      <c r="E80" s="429">
        <v>630</v>
      </c>
      <c r="F80" s="429" t="s">
        <v>544</v>
      </c>
      <c r="G80" s="429">
        <v>100002911</v>
      </c>
      <c r="H80" s="429">
        <v>995432</v>
      </c>
      <c r="I80" s="307"/>
      <c r="J80" s="729">
        <v>18</v>
      </c>
      <c r="K80" s="306"/>
      <c r="L80" s="429" t="s">
        <v>610</v>
      </c>
      <c r="M80" s="429" t="s">
        <v>547</v>
      </c>
      <c r="N80" s="429">
        <v>1100</v>
      </c>
      <c r="O80" s="303"/>
      <c r="P80" s="305" t="str">
        <f t="shared" si="7"/>
        <v>INCLUDED</v>
      </c>
      <c r="Q80" s="516">
        <f t="shared" si="19"/>
        <v>0</v>
      </c>
      <c r="R80" s="547">
        <f t="shared" si="20"/>
        <v>0</v>
      </c>
      <c r="S80" s="548">
        <f>Discount!$J$36</f>
        <v>0</v>
      </c>
      <c r="T80" s="547">
        <f t="shared" si="21"/>
        <v>0</v>
      </c>
      <c r="U80" s="549">
        <f t="shared" si="22"/>
        <v>0</v>
      </c>
      <c r="V80" s="550">
        <f t="shared" si="23"/>
        <v>0</v>
      </c>
      <c r="W80" s="551"/>
      <c r="X80" s="551"/>
      <c r="Y80" s="551"/>
      <c r="Z80" s="551"/>
      <c r="AA80" s="551"/>
    </row>
    <row r="81" spans="1:31" ht="78.75">
      <c r="A81" s="426">
        <v>64</v>
      </c>
      <c r="B81" s="429"/>
      <c r="C81" s="429"/>
      <c r="D81" s="728">
        <v>560</v>
      </c>
      <c r="E81" s="429">
        <v>640</v>
      </c>
      <c r="F81" s="429" t="s">
        <v>544</v>
      </c>
      <c r="G81" s="429">
        <v>100002583</v>
      </c>
      <c r="H81" s="429">
        <v>995432</v>
      </c>
      <c r="I81" s="307"/>
      <c r="J81" s="729">
        <v>18</v>
      </c>
      <c r="K81" s="306"/>
      <c r="L81" s="429" t="s">
        <v>611</v>
      </c>
      <c r="M81" s="429" t="s">
        <v>547</v>
      </c>
      <c r="N81" s="429">
        <v>1222</v>
      </c>
      <c r="O81" s="303"/>
      <c r="P81" s="305" t="str">
        <f t="shared" si="7"/>
        <v>INCLUDED</v>
      </c>
      <c r="Q81" s="516">
        <f t="shared" si="19"/>
        <v>0</v>
      </c>
      <c r="R81" s="547">
        <f t="shared" si="20"/>
        <v>0</v>
      </c>
      <c r="S81" s="548">
        <f>Discount!$J$36</f>
        <v>0</v>
      </c>
      <c r="T81" s="547">
        <f t="shared" si="21"/>
        <v>0</v>
      </c>
      <c r="U81" s="549">
        <f t="shared" si="22"/>
        <v>0</v>
      </c>
      <c r="V81" s="550">
        <f t="shared" si="23"/>
        <v>0</v>
      </c>
      <c r="W81" s="551"/>
      <c r="X81" s="551"/>
      <c r="Y81" s="551"/>
      <c r="Z81" s="551"/>
      <c r="AA81" s="551"/>
    </row>
    <row r="82" spans="1:31" ht="94.5">
      <c r="A82" s="426">
        <v>65</v>
      </c>
      <c r="B82" s="429"/>
      <c r="C82" s="429"/>
      <c r="D82" s="728">
        <v>560</v>
      </c>
      <c r="E82" s="429">
        <v>650</v>
      </c>
      <c r="F82" s="429" t="s">
        <v>544</v>
      </c>
      <c r="G82" s="429">
        <v>100002914</v>
      </c>
      <c r="H82" s="429">
        <v>995432</v>
      </c>
      <c r="I82" s="307"/>
      <c r="J82" s="729">
        <v>18</v>
      </c>
      <c r="K82" s="306"/>
      <c r="L82" s="429" t="s">
        <v>612</v>
      </c>
      <c r="M82" s="429" t="s">
        <v>547</v>
      </c>
      <c r="N82" s="429">
        <v>110</v>
      </c>
      <c r="O82" s="303"/>
      <c r="P82" s="305" t="str">
        <f t="shared" si="7"/>
        <v>INCLUDED</v>
      </c>
      <c r="Q82" s="516">
        <f t="shared" si="19"/>
        <v>0</v>
      </c>
      <c r="R82" s="547">
        <f t="shared" si="20"/>
        <v>0</v>
      </c>
      <c r="S82" s="548">
        <f>Discount!$J$36</f>
        <v>0</v>
      </c>
      <c r="T82" s="547">
        <f t="shared" si="21"/>
        <v>0</v>
      </c>
      <c r="U82" s="549">
        <f t="shared" si="22"/>
        <v>0</v>
      </c>
      <c r="V82" s="550">
        <f t="shared" si="23"/>
        <v>0</v>
      </c>
      <c r="W82" s="551"/>
      <c r="X82" s="551"/>
      <c r="Y82" s="551"/>
      <c r="Z82" s="551"/>
      <c r="AA82" s="551"/>
    </row>
    <row r="83" spans="1:31" ht="47.25">
      <c r="A83" s="426">
        <v>66</v>
      </c>
      <c r="B83" s="429"/>
      <c r="C83" s="429"/>
      <c r="D83" s="728">
        <v>560</v>
      </c>
      <c r="E83" s="429">
        <v>660</v>
      </c>
      <c r="F83" s="429" t="s">
        <v>544</v>
      </c>
      <c r="G83" s="429">
        <v>100001721</v>
      </c>
      <c r="H83" s="429">
        <v>995428</v>
      </c>
      <c r="I83" s="307"/>
      <c r="J83" s="729">
        <v>18</v>
      </c>
      <c r="K83" s="306"/>
      <c r="L83" s="429" t="s">
        <v>613</v>
      </c>
      <c r="M83" s="429" t="s">
        <v>547</v>
      </c>
      <c r="N83" s="429">
        <v>218</v>
      </c>
      <c r="O83" s="303"/>
      <c r="P83" s="305" t="str">
        <f t="shared" si="7"/>
        <v>INCLUDED</v>
      </c>
      <c r="Q83" s="516">
        <f t="shared" si="19"/>
        <v>0</v>
      </c>
      <c r="R83" s="547">
        <f t="shared" si="20"/>
        <v>0</v>
      </c>
      <c r="S83" s="548">
        <f>Discount!$J$36</f>
        <v>0</v>
      </c>
      <c r="T83" s="547">
        <f t="shared" si="21"/>
        <v>0</v>
      </c>
      <c r="U83" s="549">
        <f t="shared" si="22"/>
        <v>0</v>
      </c>
      <c r="V83" s="550">
        <f t="shared" si="23"/>
        <v>0</v>
      </c>
      <c r="W83" s="551"/>
      <c r="X83" s="551"/>
      <c r="Y83" s="551"/>
      <c r="Z83" s="551"/>
      <c r="AA83" s="551"/>
    </row>
    <row r="84" spans="1:31">
      <c r="A84" s="426">
        <v>67</v>
      </c>
      <c r="B84" s="429"/>
      <c r="C84" s="429"/>
      <c r="D84" s="728">
        <v>560</v>
      </c>
      <c r="E84" s="429">
        <v>670</v>
      </c>
      <c r="F84" s="429" t="s">
        <v>544</v>
      </c>
      <c r="G84" s="429">
        <v>100007701</v>
      </c>
      <c r="H84" s="429">
        <v>995462</v>
      </c>
      <c r="I84" s="307"/>
      <c r="J84" s="729">
        <v>18</v>
      </c>
      <c r="K84" s="306"/>
      <c r="L84" s="429" t="s">
        <v>550</v>
      </c>
      <c r="M84" s="429" t="s">
        <v>540</v>
      </c>
      <c r="N84" s="429">
        <v>1</v>
      </c>
      <c r="O84" s="303"/>
      <c r="P84" s="305" t="str">
        <f t="shared" si="7"/>
        <v>INCLUDED</v>
      </c>
      <c r="Q84" s="516">
        <f t="shared" si="19"/>
        <v>0</v>
      </c>
      <c r="R84" s="547">
        <f t="shared" si="20"/>
        <v>0</v>
      </c>
      <c r="S84" s="548">
        <f>Discount!$J$36</f>
        <v>0</v>
      </c>
      <c r="T84" s="547">
        <f t="shared" si="21"/>
        <v>0</v>
      </c>
      <c r="U84" s="549">
        <f t="shared" si="22"/>
        <v>0</v>
      </c>
      <c r="V84" s="550">
        <f t="shared" si="23"/>
        <v>0</v>
      </c>
      <c r="W84" s="551"/>
      <c r="X84" s="551"/>
      <c r="Y84" s="551"/>
      <c r="Z84" s="551"/>
      <c r="AA84" s="551"/>
    </row>
    <row r="85" spans="1:31">
      <c r="A85" s="426">
        <v>68</v>
      </c>
      <c r="B85" s="429"/>
      <c r="C85" s="429"/>
      <c r="D85" s="728">
        <v>560</v>
      </c>
      <c r="E85" s="429">
        <v>680</v>
      </c>
      <c r="F85" s="429" t="s">
        <v>544</v>
      </c>
      <c r="G85" s="429">
        <v>100001454</v>
      </c>
      <c r="H85" s="429">
        <v>995429</v>
      </c>
      <c r="I85" s="307"/>
      <c r="J85" s="729">
        <v>18</v>
      </c>
      <c r="K85" s="306"/>
      <c r="L85" s="429" t="s">
        <v>614</v>
      </c>
      <c r="M85" s="429" t="s">
        <v>547</v>
      </c>
      <c r="N85" s="429">
        <v>50</v>
      </c>
      <c r="O85" s="303"/>
      <c r="P85" s="305" t="str">
        <f t="shared" si="7"/>
        <v>INCLUDED</v>
      </c>
      <c r="Q85" s="516">
        <f t="shared" si="19"/>
        <v>0</v>
      </c>
      <c r="R85" s="547">
        <f t="shared" si="20"/>
        <v>0</v>
      </c>
      <c r="S85" s="548">
        <f>Discount!$J$36</f>
        <v>0</v>
      </c>
      <c r="T85" s="547">
        <f t="shared" si="21"/>
        <v>0</v>
      </c>
      <c r="U85" s="549">
        <f t="shared" si="22"/>
        <v>0</v>
      </c>
      <c r="V85" s="550">
        <f t="shared" si="23"/>
        <v>0</v>
      </c>
      <c r="W85" s="551"/>
      <c r="X85" s="551"/>
      <c r="Y85" s="551"/>
      <c r="Z85" s="551"/>
      <c r="AA85" s="551"/>
    </row>
    <row r="86" spans="1:31" ht="47.25">
      <c r="A86" s="426">
        <v>69</v>
      </c>
      <c r="B86" s="429"/>
      <c r="C86" s="429"/>
      <c r="D86" s="728">
        <v>560</v>
      </c>
      <c r="E86" s="429">
        <v>690</v>
      </c>
      <c r="F86" s="429" t="s">
        <v>544</v>
      </c>
      <c r="G86" s="429">
        <v>100001457</v>
      </c>
      <c r="H86" s="429">
        <v>995421</v>
      </c>
      <c r="I86" s="307"/>
      <c r="J86" s="729">
        <v>18</v>
      </c>
      <c r="K86" s="306"/>
      <c r="L86" s="429" t="s">
        <v>615</v>
      </c>
      <c r="M86" s="429" t="s">
        <v>548</v>
      </c>
      <c r="N86" s="429">
        <v>98</v>
      </c>
      <c r="O86" s="303"/>
      <c r="P86" s="305" t="str">
        <f t="shared" si="7"/>
        <v>INCLUDED</v>
      </c>
      <c r="Q86" s="516">
        <f t="shared" si="19"/>
        <v>0</v>
      </c>
      <c r="R86" s="547">
        <f t="shared" si="20"/>
        <v>0</v>
      </c>
      <c r="S86" s="548">
        <f>Discount!$J$36</f>
        <v>0</v>
      </c>
      <c r="T86" s="547">
        <f t="shared" si="21"/>
        <v>0</v>
      </c>
      <c r="U86" s="549">
        <f t="shared" si="22"/>
        <v>0</v>
      </c>
      <c r="V86" s="550">
        <f t="shared" si="23"/>
        <v>0</v>
      </c>
      <c r="W86" s="551"/>
      <c r="X86" s="551"/>
      <c r="Y86" s="551"/>
      <c r="Z86" s="551"/>
      <c r="AA86" s="551"/>
    </row>
    <row r="87" spans="1:31">
      <c r="A87" s="426">
        <v>70</v>
      </c>
      <c r="B87" s="429"/>
      <c r="C87" s="429"/>
      <c r="D87" s="728">
        <v>560</v>
      </c>
      <c r="E87" s="429">
        <v>700</v>
      </c>
      <c r="F87" s="429" t="s">
        <v>544</v>
      </c>
      <c r="G87" s="429">
        <v>100001330</v>
      </c>
      <c r="H87" s="429">
        <v>995428</v>
      </c>
      <c r="I87" s="307"/>
      <c r="J87" s="729">
        <v>18</v>
      </c>
      <c r="K87" s="306"/>
      <c r="L87" s="429" t="s">
        <v>489</v>
      </c>
      <c r="M87" s="429" t="s">
        <v>547</v>
      </c>
      <c r="N87" s="429">
        <v>21</v>
      </c>
      <c r="O87" s="303"/>
      <c r="P87" s="305" t="str">
        <f t="shared" si="7"/>
        <v>INCLUDED</v>
      </c>
      <c r="Q87" s="516">
        <f t="shared" si="19"/>
        <v>0</v>
      </c>
      <c r="R87" s="547">
        <f t="shared" si="20"/>
        <v>0</v>
      </c>
      <c r="S87" s="548">
        <f>Discount!$J$36</f>
        <v>0</v>
      </c>
      <c r="T87" s="547">
        <f t="shared" si="21"/>
        <v>0</v>
      </c>
      <c r="U87" s="549">
        <f t="shared" si="22"/>
        <v>0</v>
      </c>
      <c r="V87" s="550">
        <f t="shared" si="23"/>
        <v>0</v>
      </c>
      <c r="W87" s="551"/>
      <c r="X87" s="551"/>
      <c r="Y87" s="551"/>
      <c r="Z87" s="551"/>
      <c r="AA87" s="551"/>
    </row>
    <row r="88" spans="1:31" ht="39" customHeight="1">
      <c r="A88" s="828"/>
      <c r="B88" s="829"/>
      <c r="C88" s="829"/>
      <c r="D88" s="829"/>
      <c r="E88" s="829"/>
      <c r="F88" s="829"/>
      <c r="G88" s="829"/>
      <c r="H88" s="829"/>
      <c r="I88" s="829"/>
      <c r="J88" s="829"/>
      <c r="K88" s="829"/>
      <c r="L88" s="829"/>
      <c r="M88" s="829"/>
      <c r="N88" s="829"/>
      <c r="O88" s="829"/>
      <c r="P88" s="830"/>
      <c r="Q88" s="516">
        <f t="shared" si="19"/>
        <v>0</v>
      </c>
      <c r="R88" s="547">
        <f t="shared" si="20"/>
        <v>0</v>
      </c>
      <c r="S88" s="548">
        <f>Discount!$J$36</f>
        <v>0</v>
      </c>
      <c r="T88" s="547">
        <f t="shared" si="21"/>
        <v>0</v>
      </c>
      <c r="U88" s="549">
        <f t="shared" si="22"/>
        <v>0</v>
      </c>
      <c r="V88" s="550">
        <f t="shared" si="23"/>
        <v>0</v>
      </c>
      <c r="W88" s="551"/>
      <c r="X88" s="551"/>
      <c r="Y88" s="551"/>
      <c r="Z88" s="551"/>
      <c r="AA88" s="551"/>
    </row>
    <row r="89" spans="1:31" s="608" customFormat="1" ht="28.5" customHeight="1">
      <c r="A89" s="597"/>
      <c r="B89" s="825" t="s">
        <v>483</v>
      </c>
      <c r="C89" s="826"/>
      <c r="D89" s="826"/>
      <c r="E89" s="826"/>
      <c r="F89" s="826"/>
      <c r="G89" s="826"/>
      <c r="H89" s="826"/>
      <c r="I89" s="826"/>
      <c r="J89" s="826"/>
      <c r="K89" s="826"/>
      <c r="L89" s="827"/>
      <c r="M89" s="598"/>
      <c r="N89" s="599"/>
      <c r="O89" s="598"/>
      <c r="P89" s="600">
        <f>SUM(P18:P87)</f>
        <v>0</v>
      </c>
      <c r="Q89" s="601"/>
      <c r="R89" s="602">
        <f>SUM(R18:R88)</f>
        <v>0</v>
      </c>
      <c r="S89" s="603"/>
      <c r="T89" s="604"/>
      <c r="U89" s="602">
        <f>SUM(U18:U88)</f>
        <v>0</v>
      </c>
      <c r="V89" s="605">
        <f>SUM(V18:V88)</f>
        <v>0</v>
      </c>
      <c r="W89" s="606"/>
      <c r="X89" s="606"/>
      <c r="Y89" s="606"/>
      <c r="Z89" s="606"/>
      <c r="AA89" s="606"/>
      <c r="AB89" s="607"/>
      <c r="AC89" s="607"/>
      <c r="AD89" s="607"/>
      <c r="AE89" s="607"/>
    </row>
    <row r="90" spans="1:31" ht="21.75" customHeight="1">
      <c r="B90" s="555"/>
      <c r="C90" s="556"/>
      <c r="D90" s="556"/>
      <c r="E90" s="556"/>
      <c r="F90" s="556"/>
      <c r="G90" s="556"/>
      <c r="H90" s="556"/>
      <c r="I90" s="556"/>
      <c r="J90" s="556"/>
      <c r="K90" s="556"/>
      <c r="L90" s="556"/>
      <c r="M90" s="557"/>
      <c r="N90" s="558"/>
      <c r="O90" s="557"/>
      <c r="P90" s="557"/>
      <c r="Q90" s="557"/>
      <c r="R90" s="552"/>
      <c r="S90" s="552"/>
      <c r="T90" s="553"/>
      <c r="U90" s="552"/>
      <c r="V90" s="551"/>
      <c r="W90" s="551"/>
      <c r="X90" s="551"/>
      <c r="Y90" s="551"/>
      <c r="Z90" s="551"/>
      <c r="AA90" s="551"/>
    </row>
    <row r="91" spans="1:31" ht="30" customHeight="1">
      <c r="A91" s="559" t="s">
        <v>335</v>
      </c>
      <c r="B91" s="820" t="s">
        <v>336</v>
      </c>
      <c r="C91" s="820"/>
      <c r="D91" s="820"/>
      <c r="E91" s="820"/>
      <c r="F91" s="820"/>
      <c r="G91" s="820"/>
      <c r="H91" s="820"/>
      <c r="I91" s="820"/>
      <c r="J91" s="820"/>
      <c r="K91" s="820"/>
      <c r="L91" s="820"/>
      <c r="M91" s="820"/>
      <c r="N91" s="820"/>
      <c r="O91" s="820"/>
      <c r="P91" s="820"/>
      <c r="Q91" s="557"/>
      <c r="R91" s="552"/>
      <c r="S91" s="552"/>
      <c r="T91" s="553"/>
      <c r="U91" s="552"/>
      <c r="V91" s="551"/>
      <c r="W91" s="551"/>
      <c r="X91" s="551"/>
      <c r="Y91" s="551"/>
      <c r="Z91" s="551"/>
      <c r="AA91" s="551"/>
    </row>
    <row r="92" spans="1:31" ht="21.75" customHeight="1">
      <c r="A92" s="560"/>
      <c r="B92" s="243"/>
      <c r="C92" s="244"/>
      <c r="D92" s="245"/>
      <c r="E92" s="246"/>
      <c r="F92" s="438"/>
      <c r="G92" s="438"/>
      <c r="H92" s="438"/>
      <c r="I92" s="438"/>
      <c r="J92" s="438"/>
      <c r="K92" s="438"/>
      <c r="L92" s="437"/>
      <c r="M92" s="557"/>
      <c r="N92" s="558"/>
      <c r="O92" s="557"/>
      <c r="P92" s="557"/>
      <c r="Q92" s="557"/>
      <c r="R92" s="552"/>
      <c r="S92" s="552"/>
      <c r="T92" s="553"/>
      <c r="U92" s="552"/>
      <c r="V92" s="551"/>
      <c r="W92" s="551"/>
      <c r="X92" s="551"/>
      <c r="Y92" s="551"/>
      <c r="Z92" s="551"/>
      <c r="AA92" s="551"/>
    </row>
    <row r="93" spans="1:31" ht="21.75" customHeight="1">
      <c r="A93" s="560"/>
      <c r="B93" s="243"/>
      <c r="C93" s="244"/>
      <c r="D93" s="245"/>
      <c r="E93" s="246"/>
      <c r="F93" s="438"/>
      <c r="G93" s="438"/>
      <c r="H93" s="438"/>
      <c r="I93" s="438"/>
      <c r="J93" s="438"/>
      <c r="K93" s="438"/>
      <c r="L93" s="437"/>
      <c r="M93" s="557"/>
      <c r="N93" s="558"/>
      <c r="O93" s="557"/>
      <c r="P93" s="557"/>
      <c r="Q93" s="557"/>
      <c r="R93" s="552"/>
      <c r="S93" s="552"/>
      <c r="T93" s="553"/>
      <c r="U93" s="552"/>
      <c r="V93" s="551"/>
      <c r="W93" s="551"/>
      <c r="X93" s="551"/>
      <c r="Y93" s="551"/>
      <c r="Z93" s="551"/>
      <c r="AA93" s="551"/>
    </row>
    <row r="94" spans="1:31" s="558" customFormat="1" ht="16.5">
      <c r="A94" s="559"/>
      <c r="B94" s="561" t="s">
        <v>297</v>
      </c>
      <c r="C94" s="823" t="str">
        <f>'Sch-1'!C79:D79</f>
        <v xml:space="preserve">  </v>
      </c>
      <c r="D94" s="823"/>
      <c r="E94" s="823"/>
      <c r="F94" s="559"/>
      <c r="G94" s="559"/>
      <c r="H94" s="559"/>
      <c r="I94" s="559"/>
      <c r="J94" s="559"/>
      <c r="K94" s="559"/>
      <c r="L94" s="559"/>
      <c r="M94" s="821" t="s">
        <v>299</v>
      </c>
      <c r="N94" s="821"/>
      <c r="O94" s="824" t="str">
        <f>'Sch-1'!K79</f>
        <v/>
      </c>
      <c r="P94" s="824"/>
      <c r="R94" s="562"/>
      <c r="S94" s="562"/>
      <c r="T94" s="562"/>
      <c r="U94" s="562"/>
    </row>
    <row r="95" spans="1:31" s="558" customFormat="1" ht="16.5">
      <c r="A95" s="559"/>
      <c r="B95" s="561" t="s">
        <v>298</v>
      </c>
      <c r="C95" s="822" t="str">
        <f>'Sch-1'!C80:D80</f>
        <v/>
      </c>
      <c r="D95" s="822"/>
      <c r="E95" s="822"/>
      <c r="F95" s="559"/>
      <c r="G95" s="559"/>
      <c r="H95" s="559"/>
      <c r="I95" s="559"/>
      <c r="J95" s="559"/>
      <c r="K95" s="559"/>
      <c r="L95" s="559"/>
      <c r="M95" s="821" t="s">
        <v>115</v>
      </c>
      <c r="N95" s="821"/>
      <c r="O95" s="824" t="str">
        <f>'Sch-1'!K80</f>
        <v/>
      </c>
      <c r="P95" s="824"/>
      <c r="R95" s="562"/>
      <c r="S95" s="562"/>
      <c r="T95" s="562"/>
      <c r="U95" s="562"/>
    </row>
    <row r="96" spans="1:31" ht="16.5">
      <c r="B96" s="243"/>
      <c r="C96" s="244"/>
      <c r="D96" s="247"/>
      <c r="E96" s="246"/>
      <c r="F96" s="450"/>
      <c r="G96" s="438"/>
      <c r="H96" s="438"/>
      <c r="I96" s="438"/>
      <c r="J96" s="438"/>
      <c r="K96" s="438"/>
      <c r="L96" s="437"/>
      <c r="M96" s="557"/>
      <c r="N96" s="558"/>
      <c r="O96" s="557"/>
      <c r="P96" s="557"/>
      <c r="Q96" s="557"/>
    </row>
    <row r="97" spans="2:17" ht="16.5">
      <c r="B97" s="249"/>
      <c r="C97" s="250"/>
      <c r="D97" s="251"/>
      <c r="E97" s="246"/>
      <c r="F97" s="450"/>
      <c r="G97" s="437"/>
      <c r="H97" s="437"/>
      <c r="I97" s="437"/>
      <c r="J97" s="437"/>
      <c r="K97" s="437"/>
      <c r="L97" s="437"/>
      <c r="M97" s="557"/>
      <c r="N97" s="558"/>
      <c r="O97" s="557"/>
      <c r="P97" s="557"/>
      <c r="Q97" s="557"/>
    </row>
    <row r="99" spans="2:17">
      <c r="P99" s="563">
        <f>P89*0.18</f>
        <v>0</v>
      </c>
    </row>
  </sheetData>
  <sheetProtection algorithmName="SHA-512" hashValue="d62LCzaPzrOQIQ6eS37YEp1VNkAqm9ODbBWEjtNUKP3kaxzf2vmiCnlZwHs95tkLgMCB5h7kaG6zenYfD90HBg==" saltValue="VHwlcTjB/mrfZ/9nzR0rbQ==" spinCount="100000" sheet="1" formatColumns="0" formatRows="0" selectLockedCells="1"/>
  <customSheetViews>
    <customSheetView guid="{1211E1B9-FC37-4364-9CF0-0FFC0186672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2"/>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3"/>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4"/>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5"/>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8"/>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9"/>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10"/>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11"/>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2"/>
      <headerFooter>
        <oddHeader>&amp;RSchedule-3Page &amp;P of &amp;N</oddHeader>
      </headerFooter>
    </customSheetView>
    <customSheetView guid="{C497F4E0-7D3E-4065-935D-7086BE9276FE}"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20">
    <mergeCell ref="B89:L89"/>
    <mergeCell ref="C12:G12"/>
    <mergeCell ref="C11:G11"/>
    <mergeCell ref="C10:G10"/>
    <mergeCell ref="C9:G9"/>
    <mergeCell ref="A88:P88"/>
    <mergeCell ref="O14:P14"/>
    <mergeCell ref="A14:L14"/>
    <mergeCell ref="A3:P3"/>
    <mergeCell ref="A4:P4"/>
    <mergeCell ref="A6:B6"/>
    <mergeCell ref="A7:I7"/>
    <mergeCell ref="A8:G8"/>
    <mergeCell ref="B91:P91"/>
    <mergeCell ref="M95:N95"/>
    <mergeCell ref="M94:N94"/>
    <mergeCell ref="C95:E95"/>
    <mergeCell ref="C94:E94"/>
    <mergeCell ref="O95:P95"/>
    <mergeCell ref="O94:P94"/>
  </mergeCells>
  <conditionalFormatting sqref="K18:K87">
    <cfRule type="expression" dxfId="3" priority="1" stopIfTrue="1">
      <formula>J18&gt;0</formula>
    </cfRule>
  </conditionalFormatting>
  <dataValidations count="5">
    <dataValidation type="list" allowBlank="1" showInputMessage="1" showErrorMessage="1" sqref="IJ64524 A64524:K64524" xr:uid="{00000000-0002-0000-0600-000000000000}">
      <formula1>#REF!</formula1>
    </dataValidation>
    <dataValidation type="decimal" operator="greaterThan" allowBlank="1" showInputMessage="1" showErrorMessage="1" error="Enter only Numeric Value greater than zero or leave the cell blank !" sqref="O64494:O64540" xr:uid="{00000000-0002-0000-0600-000001000000}">
      <formula1>0</formula1>
    </dataValidation>
    <dataValidation type="list" operator="greaterThan" allowBlank="1" showInputMessage="1" showErrorMessage="1" sqref="K18:K87" xr:uid="{00000000-0002-0000-0600-000002000000}">
      <formula1>"0%,5%,12%,18%,28%"</formula1>
    </dataValidation>
    <dataValidation type="whole" operator="greaterThan" allowBlank="1" showInputMessage="1" showErrorMessage="1" sqref="I18:I87" xr:uid="{00000000-0002-0000-0600-000003000000}">
      <formula1>0</formula1>
    </dataValidation>
    <dataValidation type="decimal" operator="greaterThanOrEqual" allowBlank="1" showInputMessage="1" showErrorMessage="1" sqref="O18:O87" xr:uid="{00000000-0002-0000-0600-000004000000}">
      <formula1>0</formula1>
    </dataValidation>
  </dataValidations>
  <printOptions horizontalCentered="1"/>
  <pageMargins left="0.2" right="0.2" top="0.75" bottom="0.5" header="0.3" footer="0.3"/>
  <pageSetup paperSize="9" scale="43" fitToHeight="0" orientation="landscape" r:id="rId14"/>
  <headerFooter>
    <oddHeader>&amp;RSchedule-3Page &amp;P of &amp;N</oddHeader>
  </headerFooter>
  <rowBreaks count="1" manualBreakCount="1">
    <brk id="73"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295" customWidth="1"/>
    <col min="2" max="2" width="9" style="295" customWidth="1"/>
    <col min="3" max="3" width="10.28515625" style="295" customWidth="1"/>
    <col min="4" max="4" width="10.85546875" style="295" customWidth="1"/>
    <col min="5" max="5" width="11.140625" style="295" customWidth="1"/>
    <col min="6" max="6" width="13.7109375" style="295" customWidth="1"/>
    <col min="7" max="7" width="15.42578125" style="295" customWidth="1"/>
    <col min="8" max="11" width="16.85546875" style="295" customWidth="1"/>
    <col min="12" max="12" width="14.42578125" style="654" customWidth="1"/>
    <col min="13" max="13" width="9" style="295" customWidth="1"/>
    <col min="14" max="14" width="11.42578125" style="295" customWidth="1"/>
    <col min="15" max="15" width="13.28515625" style="295" customWidth="1"/>
    <col min="16" max="16" width="30.42578125" style="295" customWidth="1"/>
    <col min="17" max="16384" width="9.140625" style="295"/>
  </cols>
  <sheetData>
    <row r="1" spans="1:16" s="292" customFormat="1" ht="24.75" customHeight="1">
      <c r="A1" s="630" t="str">
        <f>Cover!B3</f>
        <v>NR2/NT/W-MISC/DOM/J01/25/07157</v>
      </c>
      <c r="B1" s="630"/>
      <c r="C1" s="630"/>
      <c r="D1" s="630"/>
      <c r="E1" s="630"/>
      <c r="F1" s="630"/>
      <c r="G1" s="631"/>
      <c r="H1" s="631"/>
      <c r="I1" s="631"/>
      <c r="J1" s="631"/>
      <c r="K1" s="631"/>
      <c r="L1" s="632"/>
      <c r="M1" s="633"/>
      <c r="N1" s="634"/>
      <c r="O1" s="634"/>
      <c r="P1" s="635" t="s">
        <v>23</v>
      </c>
    </row>
    <row r="2" spans="1:16" s="292" customFormat="1">
      <c r="A2" s="529"/>
      <c r="B2" s="529"/>
      <c r="C2" s="529"/>
      <c r="D2" s="529"/>
      <c r="E2" s="529"/>
      <c r="F2" s="529"/>
      <c r="G2" s="636"/>
      <c r="H2" s="636"/>
      <c r="I2" s="636"/>
      <c r="J2" s="636"/>
      <c r="K2" s="636"/>
      <c r="L2" s="637"/>
      <c r="M2" s="638"/>
      <c r="N2" s="639"/>
      <c r="O2" s="639"/>
    </row>
    <row r="3" spans="1:16" s="292" customFormat="1" ht="122.25" customHeight="1">
      <c r="A3" s="842" t="str">
        <f>Cover!$B$2</f>
        <v xml:space="preserve"> Substation extension package (AIS) for augmentation of transformation capacity at 400/220kV Samba (PG) Substation in Jammu &amp; Kashmir by 1x500MVA 400/220kV ICT (4th).</v>
      </c>
      <c r="B3" s="842"/>
      <c r="C3" s="842"/>
      <c r="D3" s="842"/>
      <c r="E3" s="842"/>
      <c r="F3" s="842"/>
      <c r="G3" s="842"/>
      <c r="H3" s="842"/>
      <c r="I3" s="842"/>
      <c r="J3" s="842"/>
      <c r="K3" s="842"/>
      <c r="L3" s="842"/>
      <c r="M3" s="842"/>
      <c r="N3" s="842"/>
      <c r="O3" s="842"/>
      <c r="P3" s="842"/>
    </row>
    <row r="4" spans="1:16" s="292" customFormat="1" ht="16.5">
      <c r="A4" s="843" t="s">
        <v>16</v>
      </c>
      <c r="B4" s="843"/>
      <c r="C4" s="843"/>
      <c r="D4" s="843"/>
      <c r="E4" s="843"/>
      <c r="F4" s="843"/>
      <c r="G4" s="843"/>
      <c r="H4" s="843"/>
      <c r="I4" s="843"/>
      <c r="J4" s="843"/>
      <c r="K4" s="843"/>
      <c r="L4" s="843"/>
      <c r="M4" s="843"/>
      <c r="N4" s="843"/>
      <c r="O4" s="843"/>
      <c r="P4" s="843"/>
    </row>
    <row r="5" spans="1:16" s="292" customFormat="1">
      <c r="A5" s="640"/>
      <c r="B5" s="640"/>
      <c r="C5" s="640"/>
      <c r="D5" s="640"/>
      <c r="E5" s="640"/>
      <c r="F5" s="640"/>
      <c r="G5" s="641"/>
      <c r="H5" s="641"/>
      <c r="I5" s="641"/>
      <c r="J5" s="641"/>
      <c r="K5" s="641"/>
      <c r="L5" s="641"/>
      <c r="M5" s="640"/>
      <c r="N5" s="640"/>
      <c r="O5" s="640"/>
    </row>
    <row r="6" spans="1:16" s="292" customFormat="1" ht="20.25" customHeight="1">
      <c r="A6" s="793" t="s">
        <v>328</v>
      </c>
      <c r="B6" s="793"/>
      <c r="C6" s="445"/>
      <c r="D6" s="439"/>
      <c r="E6" s="445"/>
      <c r="F6" s="445"/>
      <c r="G6" s="445"/>
      <c r="H6" s="445"/>
      <c r="I6" s="445"/>
      <c r="J6" s="641"/>
      <c r="K6" s="641"/>
      <c r="L6" s="641"/>
      <c r="M6" s="640"/>
      <c r="N6" s="640"/>
      <c r="O6" s="640"/>
    </row>
    <row r="7" spans="1:16" s="292" customFormat="1" ht="21" customHeight="1">
      <c r="A7" s="797">
        <f>'Sch-1'!A7</f>
        <v>0</v>
      </c>
      <c r="B7" s="797"/>
      <c r="C7" s="797"/>
      <c r="D7" s="797"/>
      <c r="E7" s="797"/>
      <c r="F7" s="797"/>
      <c r="G7" s="797"/>
      <c r="H7" s="797"/>
      <c r="I7" s="797"/>
      <c r="J7" s="642"/>
      <c r="K7" s="642"/>
      <c r="L7" s="455"/>
      <c r="M7" s="642"/>
      <c r="N7" s="529" t="s">
        <v>1</v>
      </c>
      <c r="O7" s="639"/>
    </row>
    <row r="8" spans="1:16" s="292" customFormat="1" ht="21" customHeight="1">
      <c r="A8" s="794" t="str">
        <f>"Bidder’s Name and Address  (" &amp; MID('Names of Bidder'!A9,9, 20) &amp; ") :"</f>
        <v>Bidder’s Name and Address  (Sole Bidder) :</v>
      </c>
      <c r="B8" s="794"/>
      <c r="C8" s="794"/>
      <c r="D8" s="794"/>
      <c r="E8" s="794"/>
      <c r="F8" s="794"/>
      <c r="G8" s="794"/>
      <c r="H8" s="450"/>
      <c r="I8" s="450"/>
      <c r="J8" s="531"/>
      <c r="K8" s="531"/>
      <c r="L8" s="531"/>
      <c r="M8" s="531"/>
      <c r="N8" s="532" t="str">
        <f>'Sch-1'!K8</f>
        <v>Contract Services</v>
      </c>
      <c r="O8" s="639"/>
    </row>
    <row r="9" spans="1:16" s="292" customFormat="1" ht="24" customHeight="1">
      <c r="A9" s="446" t="s">
        <v>9</v>
      </c>
      <c r="B9" s="451"/>
      <c r="C9" s="797" t="str">
        <f>IF('Names of Bidder'!C9=0, "", 'Names of Bidder'!C9)</f>
        <v/>
      </c>
      <c r="D9" s="797"/>
      <c r="E9" s="797"/>
      <c r="F9" s="797"/>
      <c r="G9" s="797"/>
      <c r="H9" s="453"/>
      <c r="I9" s="453"/>
      <c r="J9" s="449"/>
      <c r="K9" s="449"/>
      <c r="L9" s="293"/>
      <c r="N9" s="532" t="str">
        <f>'Sch-1'!K9</f>
        <v>Power Grid Corporation of India Ltd.,</v>
      </c>
      <c r="O9" s="639"/>
    </row>
    <row r="10" spans="1:16" s="292" customFormat="1" ht="16.5">
      <c r="A10" s="446" t="s">
        <v>8</v>
      </c>
      <c r="B10" s="451"/>
      <c r="C10" s="796" t="str">
        <f>IF('Names of Bidder'!C10=0, "", 'Names of Bidder'!C10)</f>
        <v/>
      </c>
      <c r="D10" s="796"/>
      <c r="E10" s="796"/>
      <c r="F10" s="796"/>
      <c r="G10" s="796"/>
      <c r="H10" s="453"/>
      <c r="I10" s="453"/>
      <c r="J10" s="449"/>
      <c r="K10" s="449"/>
      <c r="L10" s="293"/>
      <c r="N10" s="532" t="str">
        <f>'Sch-1'!K10</f>
        <v>Northern Region Transmission System-II</v>
      </c>
      <c r="O10" s="639"/>
    </row>
    <row r="11" spans="1:16" s="292" customFormat="1">
      <c r="A11" s="453"/>
      <c r="B11" s="453"/>
      <c r="C11" s="796" t="str">
        <f>IF('Names of Bidder'!C11=0, "", 'Names of Bidder'!C11)</f>
        <v/>
      </c>
      <c r="D11" s="796"/>
      <c r="E11" s="796"/>
      <c r="F11" s="796"/>
      <c r="G11" s="796"/>
      <c r="H11" s="453"/>
      <c r="I11" s="453"/>
      <c r="J11" s="449"/>
      <c r="K11" s="449"/>
      <c r="L11" s="293"/>
      <c r="N11" s="532" t="str">
        <f>'Sch-1'!K11</f>
        <v>Regional Head Quarters, Grid Bhawan, OB-26</v>
      </c>
      <c r="O11" s="639"/>
    </row>
    <row r="12" spans="1:16" s="292" customFormat="1">
      <c r="A12" s="453"/>
      <c r="B12" s="453"/>
      <c r="C12" s="796" t="str">
        <f>IF('Names of Bidder'!C12=0, "", 'Names of Bidder'!C12)</f>
        <v/>
      </c>
      <c r="D12" s="796"/>
      <c r="E12" s="796"/>
      <c r="F12" s="796"/>
      <c r="G12" s="796"/>
      <c r="H12" s="453"/>
      <c r="I12" s="453"/>
      <c r="J12" s="449"/>
      <c r="K12" s="449"/>
      <c r="L12" s="293"/>
      <c r="N12" s="532" t="str">
        <f>'Sch-1'!K12</f>
        <v>Rail Head Complex, Jammu-180 012 (J&amp;K)</v>
      </c>
      <c r="O12" s="639"/>
    </row>
    <row r="13" spans="1:16" s="292" customFormat="1">
      <c r="A13" s="453"/>
      <c r="B13" s="453"/>
      <c r="C13" s="449"/>
      <c r="D13" s="449"/>
      <c r="E13" s="449"/>
      <c r="F13" s="449"/>
      <c r="G13" s="449"/>
      <c r="H13" s="453"/>
      <c r="I13" s="453"/>
      <c r="J13" s="449"/>
      <c r="K13" s="449"/>
      <c r="L13" s="293"/>
      <c r="N13" s="532"/>
      <c r="O13" s="639"/>
    </row>
    <row r="14" spans="1:16" s="292" customFormat="1" ht="21" customHeight="1">
      <c r="A14" s="833" t="s">
        <v>24</v>
      </c>
      <c r="B14" s="833"/>
      <c r="C14" s="833"/>
      <c r="D14" s="833"/>
      <c r="E14" s="833"/>
      <c r="F14" s="833"/>
      <c r="G14" s="833"/>
      <c r="H14" s="833"/>
      <c r="I14" s="833"/>
      <c r="J14" s="833"/>
      <c r="K14" s="833"/>
      <c r="L14" s="833"/>
      <c r="M14" s="833"/>
      <c r="N14" s="833"/>
      <c r="O14" s="833"/>
      <c r="P14" s="833"/>
    </row>
    <row r="15" spans="1:16" s="292" customFormat="1" ht="63.75" customHeight="1">
      <c r="A15" s="643" t="s">
        <v>4</v>
      </c>
      <c r="B15" s="644" t="s">
        <v>250</v>
      </c>
      <c r="C15" s="644" t="s">
        <v>251</v>
      </c>
      <c r="D15" s="644" t="s">
        <v>261</v>
      </c>
      <c r="E15" s="644" t="s">
        <v>263</v>
      </c>
      <c r="F15" s="644" t="s">
        <v>264</v>
      </c>
      <c r="G15" s="643" t="s">
        <v>22</v>
      </c>
      <c r="H15" s="296" t="s">
        <v>304</v>
      </c>
      <c r="I15" s="297" t="s">
        <v>303</v>
      </c>
      <c r="J15" s="297" t="s">
        <v>291</v>
      </c>
      <c r="K15" s="297" t="s">
        <v>300</v>
      </c>
      <c r="L15" s="644" t="s">
        <v>12</v>
      </c>
      <c r="M15" s="645" t="s">
        <v>6</v>
      </c>
      <c r="N15" s="645" t="s">
        <v>13</v>
      </c>
      <c r="O15" s="646" t="s">
        <v>25</v>
      </c>
      <c r="P15" s="646" t="s">
        <v>26</v>
      </c>
    </row>
    <row r="16" spans="1:16" s="342" customFormat="1" ht="15">
      <c r="A16" s="647">
        <v>1</v>
      </c>
      <c r="B16" s="647">
        <v>2</v>
      </c>
      <c r="C16" s="647">
        <v>3</v>
      </c>
      <c r="D16" s="647">
        <v>4</v>
      </c>
      <c r="E16" s="647">
        <v>5</v>
      </c>
      <c r="F16" s="647">
        <v>6</v>
      </c>
      <c r="G16" s="647">
        <v>7</v>
      </c>
      <c r="H16" s="341">
        <v>8</v>
      </c>
      <c r="I16" s="341">
        <v>9</v>
      </c>
      <c r="J16" s="341">
        <v>10</v>
      </c>
      <c r="K16" s="341">
        <v>11</v>
      </c>
      <c r="L16" s="648">
        <v>12</v>
      </c>
      <c r="M16" s="647">
        <v>13</v>
      </c>
      <c r="N16" s="647">
        <v>14</v>
      </c>
      <c r="O16" s="647">
        <v>15</v>
      </c>
      <c r="P16" s="647" t="s">
        <v>302</v>
      </c>
    </row>
    <row r="17" spans="1:17">
      <c r="A17" s="294"/>
      <c r="B17" s="294"/>
      <c r="C17" s="294"/>
      <c r="D17" s="294"/>
      <c r="E17" s="294"/>
      <c r="F17" s="294"/>
      <c r="G17" s="294"/>
      <c r="H17" s="294"/>
      <c r="I17" s="294"/>
      <c r="J17" s="294"/>
      <c r="K17" s="294"/>
      <c r="L17" s="649"/>
      <c r="M17" s="294"/>
      <c r="N17" s="294"/>
      <c r="O17" s="294"/>
      <c r="P17" s="294"/>
    </row>
    <row r="18" spans="1:17" ht="45" customHeight="1">
      <c r="A18" s="294"/>
      <c r="B18" s="650"/>
      <c r="C18" s="650"/>
      <c r="D18" s="650"/>
      <c r="F18" s="650"/>
      <c r="G18" s="650"/>
      <c r="H18" s="650"/>
      <c r="I18" s="651" t="s">
        <v>317</v>
      </c>
      <c r="J18" s="650"/>
      <c r="K18" s="650"/>
      <c r="L18" s="650"/>
      <c r="M18" s="650"/>
      <c r="N18" s="650"/>
      <c r="O18" s="650"/>
      <c r="P18" s="650"/>
    </row>
    <row r="19" spans="1:17" ht="26.25" customHeight="1">
      <c r="A19" s="294"/>
      <c r="B19" s="839"/>
      <c r="C19" s="840"/>
      <c r="D19" s="840"/>
      <c r="E19" s="840"/>
      <c r="F19" s="840"/>
      <c r="G19" s="840"/>
      <c r="H19" s="840"/>
      <c r="I19" s="840"/>
      <c r="J19" s="840"/>
      <c r="K19" s="841"/>
      <c r="L19" s="650"/>
      <c r="M19" s="650"/>
      <c r="N19" s="650"/>
      <c r="O19" s="650"/>
      <c r="P19" s="652"/>
      <c r="Q19" s="517"/>
    </row>
    <row r="21" spans="1:17" s="516" customFormat="1">
      <c r="B21" s="653" t="s">
        <v>297</v>
      </c>
      <c r="C21" s="837" t="str">
        <f>'Sch-3'!C94:D94</f>
        <v xml:space="preserve">  </v>
      </c>
      <c r="D21" s="836"/>
    </row>
    <row r="22" spans="1:17" s="516" customFormat="1">
      <c r="B22" s="653" t="s">
        <v>298</v>
      </c>
      <c r="C22" s="835" t="str">
        <f>'Sch-3'!C95:D95</f>
        <v/>
      </c>
      <c r="D22" s="836"/>
      <c r="L22" s="834" t="s">
        <v>299</v>
      </c>
      <c r="M22" s="834"/>
      <c r="N22" s="838" t="str">
        <f>'Sch-3'!O94</f>
        <v/>
      </c>
      <c r="O22" s="838"/>
      <c r="P22" s="838"/>
    </row>
    <row r="23" spans="1:17">
      <c r="L23" s="834" t="s">
        <v>115</v>
      </c>
      <c r="M23" s="834"/>
      <c r="N23" s="838" t="str">
        <f>'Sch-3'!O95</f>
        <v/>
      </c>
      <c r="O23" s="838"/>
      <c r="P23" s="838"/>
    </row>
  </sheetData>
  <sheetProtection algorithmName="SHA-512" hashValue="+Hhd8p7K83OxXu/MRsy9c1Bvj8D7rIM64nRG4bwC71dlfYm6ooP9YuQ+xBRxujC48x+LxzrLgs7A2SiVSuB0cw==" saltValue="Y7WgoknusB2bNeRtM02Plw==" spinCount="100000" sheet="1" formatColumns="0" formatRows="0" selectLockedCells="1"/>
  <customSheetViews>
    <customSheetView guid="{1211E1B9-FC37-4364-9CF0-0FFC01866726}" scale="85" showPageBreaks="1" printArea="1" view="pageBreakPreview">
      <selection activeCell="A17" sqref="A17"/>
      <pageMargins left="0.7" right="0.7" top="0.75" bottom="0.75" header="0.3" footer="0.3"/>
      <pageSetup paperSize="9" scale="58" orientation="landscape" r:id="rId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2"/>
    </customSheetView>
    <customSheetView guid="{B96E710B-6DD7-4DE1-95AB-C9EE060CD030}" scale="80" showPageBreaks="1" printArea="1" view="pageBreakPreview">
      <selection activeCell="G22" sqref="G22"/>
      <pageMargins left="0.7" right="0.7" top="0.75" bottom="0.75" header="0.3" footer="0.3"/>
      <pageSetup paperSize="9" scale="58" orientation="landscape" r:id="rId3"/>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4"/>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5"/>
    </customSheetView>
    <customSheetView guid="{63D51328-7CBC-4A1E-B96D-BAE91416501B}" scale="80" showPageBreaks="1" printArea="1" view="pageBreakPreview">
      <selection activeCell="G22" sqref="G22"/>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8"/>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9"/>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10"/>
    </customSheetView>
    <customSheetView guid="{89CB4E6A-722E-4E39-885D-E2A6D0D08321}" scale="85" showPageBreaks="1" printArea="1" view="pageBreakPreview">
      <selection activeCell="L24" sqref="L24"/>
      <pageMargins left="0.7" right="0.7" top="0.75" bottom="0.75" header="0.3" footer="0.3"/>
      <pageSetup paperSize="9" scale="58" orientation="landscape" r:id="rId11"/>
    </customSheetView>
    <customSheetView guid="{889C3D82-0A24-4765-A688-A80A782F5056}" scale="85" showPageBreaks="1" printArea="1" view="pageBreakPreview">
      <selection activeCell="A17" sqref="A17"/>
      <pageMargins left="0.7" right="0.7" top="0.75" bottom="0.75" header="0.3" footer="0.3"/>
      <pageSetup paperSize="9" scale="58" orientation="landscape" r:id="rId12"/>
    </customSheetView>
    <customSheetView guid="{C497F4E0-7D3E-4065-935D-7086BE9276FE}" scale="85" showPageBreaks="1" printArea="1" view="pageBreakPreview">
      <selection activeCell="A17" sqref="A17"/>
      <pageMargins left="0.7" right="0.7" top="0.75" bottom="0.75" header="0.3" footer="0.3"/>
      <pageSetup paperSize="9" scale="58" orientation="landscape" r:id="rId13"/>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8" zoomScale="115" zoomScaleSheetLayoutView="115" workbookViewId="0">
      <selection activeCell="D13" sqref="D13"/>
    </sheetView>
  </sheetViews>
  <sheetFormatPr defaultColWidth="11.42578125" defaultRowHeight="16.5"/>
  <cols>
    <col min="1" max="1" width="11.85546875" style="10" customWidth="1"/>
    <col min="2" max="2" width="46.7109375" style="10" customWidth="1"/>
    <col min="3" max="3" width="20" style="10" customWidth="1"/>
    <col min="4" max="4" width="23.42578125" style="10" customWidth="1"/>
    <col min="5" max="5" width="22.85546875" style="10" customWidth="1"/>
    <col min="6" max="6" width="11.42578125" style="41" hidden="1" customWidth="1"/>
    <col min="7" max="7" width="34.140625" style="41" hidden="1" customWidth="1"/>
    <col min="8" max="8" width="11.42578125" style="41" hidden="1" customWidth="1"/>
    <col min="9" max="9" width="14" style="270" hidden="1" customWidth="1"/>
    <col min="10" max="10" width="14.42578125" style="270" hidden="1" customWidth="1"/>
    <col min="11" max="11" width="17.140625" style="270" hidden="1" customWidth="1"/>
    <col min="12" max="13" width="11.42578125" style="270" hidden="1" customWidth="1"/>
    <col min="14" max="14" width="21.28515625" style="270" hidden="1" customWidth="1"/>
    <col min="15" max="15" width="18.28515625" style="41" hidden="1" customWidth="1"/>
    <col min="16" max="17" width="11.42578125" style="41" hidden="1" customWidth="1"/>
    <col min="18" max="18" width="11.42578125" style="67" hidden="1" customWidth="1"/>
    <col min="19" max="20" width="11.42578125" style="41" hidden="1" customWidth="1"/>
    <col min="21" max="24" width="11.42578125" style="41" customWidth="1"/>
    <col min="25" max="16384" width="11.42578125" style="67"/>
  </cols>
  <sheetData>
    <row r="1" spans="1:15" ht="18" customHeight="1">
      <c r="A1" s="37" t="str">
        <f>Cover!B3</f>
        <v>NR2/NT/W-MISC/DOM/J01/25/07157</v>
      </c>
      <c r="B1" s="38"/>
      <c r="C1" s="39"/>
      <c r="D1" s="39"/>
      <c r="E1" s="40" t="s">
        <v>118</v>
      </c>
    </row>
    <row r="2" spans="1:15" ht="8.1" customHeight="1">
      <c r="A2" s="42"/>
      <c r="B2" s="43"/>
      <c r="C2" s="44"/>
      <c r="D2" s="44"/>
      <c r="E2" s="45"/>
      <c r="F2" s="46"/>
    </row>
    <row r="3" spans="1:15" ht="90" customHeight="1">
      <c r="A3" s="852" t="str">
        <f>Cover!$B$2</f>
        <v xml:space="preserve"> Substation extension package (AIS) for augmentation of transformation capacity at 400/220kV Samba (PG) Substation in Jammu &amp; Kashmir by 1x500MVA 400/220kV ICT (4th).</v>
      </c>
      <c r="B3" s="852"/>
      <c r="C3" s="852"/>
      <c r="D3" s="852"/>
      <c r="E3" s="852"/>
    </row>
    <row r="4" spans="1:15" ht="21.95" customHeight="1">
      <c r="A4" s="853" t="s">
        <v>459</v>
      </c>
      <c r="B4" s="853"/>
      <c r="C4" s="853"/>
      <c r="D4" s="853"/>
      <c r="E4" s="853"/>
    </row>
    <row r="5" spans="1:15" ht="12" customHeight="1">
      <c r="A5" s="47"/>
      <c r="B5" s="48"/>
      <c r="C5" s="48"/>
      <c r="D5" s="48"/>
      <c r="E5" s="48"/>
    </row>
    <row r="6" spans="1:15" ht="24" customHeight="1">
      <c r="A6" s="859" t="s">
        <v>328</v>
      </c>
      <c r="B6" s="859"/>
      <c r="C6" s="2"/>
      <c r="D6" s="237"/>
      <c r="E6" s="2"/>
      <c r="F6" s="2"/>
      <c r="G6" s="2"/>
      <c r="H6" s="2"/>
      <c r="I6" s="2"/>
    </row>
    <row r="7" spans="1:15" ht="18" customHeight="1">
      <c r="A7" s="861">
        <f>'Sch-1'!A7</f>
        <v>0</v>
      </c>
      <c r="B7" s="861"/>
      <c r="C7" s="861"/>
      <c r="D7" s="291" t="s">
        <v>1</v>
      </c>
      <c r="E7" s="336"/>
      <c r="F7" s="336"/>
      <c r="G7" s="336"/>
      <c r="H7" s="336"/>
      <c r="I7" s="336"/>
    </row>
    <row r="8" spans="1:15" ht="18" customHeight="1">
      <c r="A8" s="860" t="str">
        <f>"Bidder’s Name and Address  (" &amp; MID('Names of Bidder'!A9,9, 20) &amp; ") :"</f>
        <v>Bidder’s Name and Address  (Sole Bidder) :</v>
      </c>
      <c r="B8" s="860"/>
      <c r="C8" s="860"/>
      <c r="D8" s="4" t="s">
        <v>2</v>
      </c>
      <c r="E8" s="338"/>
      <c r="F8" s="338"/>
      <c r="G8" s="338"/>
      <c r="H8" s="277"/>
      <c r="I8" s="277"/>
    </row>
    <row r="9" spans="1:15" ht="18" customHeight="1">
      <c r="A9" s="288" t="s">
        <v>9</v>
      </c>
      <c r="B9" s="288" t="str">
        <f>IF('Names of Bidder'!C9=0, "", 'Names of Bidder'!C9)</f>
        <v/>
      </c>
      <c r="C9" s="67"/>
      <c r="D9" s="4" t="s">
        <v>3</v>
      </c>
      <c r="E9" s="337"/>
      <c r="F9" s="337"/>
      <c r="G9" s="337"/>
      <c r="H9" s="276"/>
      <c r="I9" s="276"/>
    </row>
    <row r="10" spans="1:15" ht="18" customHeight="1">
      <c r="A10" s="288" t="s">
        <v>8</v>
      </c>
      <c r="B10" s="192" t="str">
        <f>IF('Names of Bidder'!C10=0, "", 'Names of Bidder'!C10)</f>
        <v/>
      </c>
      <c r="C10" s="67"/>
      <c r="D10" s="4" t="str">
        <f>'Sch-1'!K10</f>
        <v>Northern Region Transmission System-II</v>
      </c>
      <c r="E10" s="337"/>
      <c r="F10" s="337"/>
      <c r="G10" s="337"/>
      <c r="H10" s="276"/>
      <c r="I10" s="276"/>
    </row>
    <row r="11" spans="1:15" ht="18" customHeight="1">
      <c r="A11" s="276"/>
      <c r="B11" s="192" t="str">
        <f>IF('Names of Bidder'!C11=0, "", 'Names of Bidder'!C11)</f>
        <v/>
      </c>
      <c r="C11" s="67"/>
      <c r="D11" s="4" t="str">
        <f>'Sch-1'!K11</f>
        <v>Regional Head Quarters, Grid Bhawan, OB-26</v>
      </c>
      <c r="E11" s="337"/>
      <c r="F11" s="337"/>
      <c r="G11" s="337"/>
      <c r="H11" s="276"/>
      <c r="I11" s="276"/>
    </row>
    <row r="12" spans="1:15" ht="18" customHeight="1">
      <c r="A12" s="276"/>
      <c r="B12" s="192" t="str">
        <f>IF('Names of Bidder'!C12=0, "", 'Names of Bidder'!C12)</f>
        <v/>
      </c>
      <c r="C12" s="67"/>
      <c r="D12" s="4" t="str">
        <f>'Sch-1'!K12</f>
        <v>Rail Head Complex, Jammu-180 012 (J&amp;K)</v>
      </c>
      <c r="E12" s="337"/>
      <c r="F12" s="337"/>
      <c r="G12" s="337"/>
      <c r="H12" s="276"/>
      <c r="I12" s="276"/>
    </row>
    <row r="13" spans="1:15" ht="8.1" customHeight="1" thickBot="1">
      <c r="B13" s="94"/>
    </row>
    <row r="14" spans="1:15" ht="21.95" customHeight="1">
      <c r="A14" s="362" t="s">
        <v>120</v>
      </c>
      <c r="B14" s="854" t="s">
        <v>121</v>
      </c>
      <c r="C14" s="854"/>
      <c r="D14" s="855" t="s">
        <v>122</v>
      </c>
      <c r="E14" s="856"/>
      <c r="I14" s="851" t="s">
        <v>123</v>
      </c>
      <c r="J14" s="851"/>
      <c r="K14" s="851"/>
      <c r="M14" s="844" t="s">
        <v>124</v>
      </c>
      <c r="N14" s="844"/>
      <c r="O14" s="844"/>
    </row>
    <row r="15" spans="1:15" ht="29.25" customHeight="1">
      <c r="A15" s="363" t="s">
        <v>125</v>
      </c>
      <c r="B15" s="845" t="s">
        <v>305</v>
      </c>
      <c r="C15" s="845"/>
      <c r="D15" s="846">
        <f>'Sch-1'!P74</f>
        <v>0</v>
      </c>
      <c r="E15" s="847"/>
      <c r="I15" s="271" t="s">
        <v>126</v>
      </c>
      <c r="K15" s="271" t="e">
        <f>ROUND('[6]Sch-1'!U3*#REF!,0)</f>
        <v>#REF!</v>
      </c>
      <c r="M15" s="271" t="s">
        <v>126</v>
      </c>
      <c r="O15" s="52" t="e">
        <f>ROUND('[6]Sch-1'!U5*#REF!,0)</f>
        <v>#REF!</v>
      </c>
    </row>
    <row r="16" spans="1:15" ht="87.75" customHeight="1">
      <c r="A16" s="364"/>
      <c r="B16" s="848" t="s">
        <v>306</v>
      </c>
      <c r="C16" s="848"/>
      <c r="D16" s="849"/>
      <c r="E16" s="850"/>
      <c r="G16" s="53"/>
    </row>
    <row r="17" spans="1:15" ht="25.5" customHeight="1">
      <c r="A17" s="363" t="s">
        <v>127</v>
      </c>
      <c r="B17" s="845" t="s">
        <v>307</v>
      </c>
      <c r="C17" s="845"/>
      <c r="D17" s="846">
        <f>'Sch-3'!R89</f>
        <v>0</v>
      </c>
      <c r="E17" s="847"/>
      <c r="I17" s="271" t="s">
        <v>128</v>
      </c>
      <c r="K17" s="272">
        <f>IF(ISERROR(ROUND((#REF!+#REF!)*#REF!,0)),0, ROUND((#REF!+#REF!)*#REF!,0))</f>
        <v>0</v>
      </c>
      <c r="M17" s="271" t="s">
        <v>128</v>
      </c>
      <c r="O17" s="55">
        <f>IF(ISERROR(ROUND((#REF!+#REF!)*#REF!,0)),0, ROUND((#REF!+#REF!)*#REF!,0))</f>
        <v>0</v>
      </c>
    </row>
    <row r="18" spans="1:15" ht="84" customHeight="1">
      <c r="A18" s="364"/>
      <c r="B18" s="848" t="s">
        <v>308</v>
      </c>
      <c r="C18" s="848"/>
      <c r="D18" s="864"/>
      <c r="E18" s="865"/>
      <c r="G18" s="56"/>
      <c r="I18" s="273" t="e">
        <f>#REF!/'Sch-1'!Y1</f>
        <v>#REF!</v>
      </c>
      <c r="K18" s="270">
        <f>'[6]Sch-1'!U3</f>
        <v>0</v>
      </c>
      <c r="M18" s="273" t="e">
        <f>I18</f>
        <v>#REF!</v>
      </c>
      <c r="O18" s="41">
        <f>'[6]Sch-1'!U5</f>
        <v>0</v>
      </c>
    </row>
    <row r="19" spans="1:15" ht="33" customHeight="1" thickBot="1">
      <c r="A19" s="365"/>
      <c r="B19" s="366" t="s">
        <v>311</v>
      </c>
      <c r="C19" s="367"/>
      <c r="D19" s="862">
        <f>D15+D17</f>
        <v>0</v>
      </c>
      <c r="E19" s="863"/>
    </row>
    <row r="20" spans="1:15" ht="30" customHeight="1">
      <c r="A20" s="57"/>
      <c r="B20" s="57"/>
      <c r="C20" s="58"/>
      <c r="D20" s="57"/>
      <c r="E20" s="57"/>
    </row>
    <row r="21" spans="1:15" ht="30" customHeight="1">
      <c r="A21" s="59" t="s">
        <v>133</v>
      </c>
      <c r="B21" s="370" t="str">
        <f>'Names of Bidder'!C22&amp;" "&amp;'Names of Bidder'!D22&amp;" "&amp;'Names of Bidder'!E22</f>
        <v xml:space="preserve">  </v>
      </c>
      <c r="C21" s="58" t="s">
        <v>134</v>
      </c>
      <c r="D21" s="857" t="str">
        <f>IF('Names of Bidder'!C19="","",'Names of Bidder'!C19)</f>
        <v/>
      </c>
      <c r="E21" s="858"/>
      <c r="F21" s="60"/>
    </row>
    <row r="22" spans="1:15" ht="30" customHeight="1">
      <c r="A22" s="59" t="s">
        <v>135</v>
      </c>
      <c r="B22" s="427" t="str">
        <f>IF('Names of Bidder'!C23="","",'Names of Bidder'!C23)</f>
        <v/>
      </c>
      <c r="C22" s="58" t="s">
        <v>136</v>
      </c>
      <c r="D22" s="857" t="str">
        <f>IF('Names of Bidder'!C20="","",'Names of Bidder'!C20)</f>
        <v/>
      </c>
      <c r="E22" s="858"/>
      <c r="F22" s="60"/>
    </row>
    <row r="23" spans="1:15" ht="30" customHeight="1">
      <c r="A23" s="61"/>
      <c r="B23" s="62"/>
      <c r="C23" s="58"/>
      <c r="D23" s="41"/>
      <c r="E23" s="41"/>
      <c r="F23" s="60"/>
    </row>
    <row r="24" spans="1:15" ht="33" customHeight="1">
      <c r="A24" s="61"/>
      <c r="B24" s="62"/>
      <c r="C24" s="46"/>
      <c r="D24" s="63"/>
      <c r="E24" s="64"/>
      <c r="F24" s="60"/>
    </row>
    <row r="25" spans="1:15" ht="21.95" customHeight="1">
      <c r="A25" s="65"/>
      <c r="B25" s="65"/>
      <c r="C25" s="65"/>
      <c r="D25" s="65"/>
      <c r="E25" s="66"/>
    </row>
    <row r="26" spans="1:15" ht="21.95" customHeight="1">
      <c r="A26" s="65"/>
      <c r="B26" s="65"/>
      <c r="C26" s="65"/>
      <c r="D26" s="65"/>
      <c r="E26" s="66"/>
    </row>
    <row r="27" spans="1:15" ht="21.95" customHeight="1">
      <c r="A27" s="65"/>
      <c r="B27" s="65"/>
      <c r="C27" s="65"/>
      <c r="D27" s="65"/>
      <c r="E27" s="66"/>
    </row>
    <row r="28" spans="1:15" ht="21.95" customHeight="1">
      <c r="A28" s="65"/>
      <c r="B28" s="65"/>
      <c r="C28" s="65"/>
      <c r="D28" s="65"/>
      <c r="E28" s="66"/>
    </row>
    <row r="29" spans="1:15" ht="21.95" customHeight="1">
      <c r="A29" s="65"/>
      <c r="B29" s="65"/>
      <c r="C29" s="65"/>
      <c r="D29" s="65"/>
      <c r="E29" s="66"/>
    </row>
    <row r="30" spans="1:15" ht="21.95" customHeight="1">
      <c r="A30" s="65"/>
      <c r="B30" s="65"/>
      <c r="C30" s="65"/>
      <c r="D30" s="65"/>
      <c r="E30" s="66"/>
    </row>
    <row r="31" spans="1:15" ht="24.95" customHeight="1">
      <c r="A31" s="64"/>
      <c r="B31" s="64"/>
      <c r="C31" s="64"/>
      <c r="D31" s="64"/>
      <c r="E31" s="64"/>
    </row>
    <row r="32" spans="1:15" ht="24.95" customHeight="1">
      <c r="A32" s="64"/>
      <c r="B32" s="64"/>
      <c r="C32" s="64"/>
      <c r="D32" s="64"/>
      <c r="E32" s="64"/>
    </row>
    <row r="33" spans="1:5" ht="24.95" customHeight="1">
      <c r="A33" s="64"/>
      <c r="B33" s="64"/>
      <c r="C33" s="64"/>
      <c r="D33" s="64"/>
      <c r="E33" s="64"/>
    </row>
    <row r="34" spans="1:5" ht="24.95" customHeight="1">
      <c r="A34" s="64"/>
      <c r="B34" s="64"/>
      <c r="C34" s="64"/>
      <c r="D34" s="64"/>
      <c r="E34" s="64"/>
    </row>
    <row r="35" spans="1:5" ht="24.95" customHeight="1">
      <c r="A35" s="64"/>
      <c r="B35" s="64"/>
      <c r="C35" s="64"/>
      <c r="D35" s="64"/>
      <c r="E35" s="64"/>
    </row>
    <row r="36" spans="1:5" ht="24.95" customHeight="1">
      <c r="A36" s="64"/>
      <c r="B36" s="64"/>
      <c r="C36" s="64"/>
      <c r="D36" s="64"/>
      <c r="E36" s="64"/>
    </row>
    <row r="37" spans="1:5" ht="24.95" customHeight="1">
      <c r="A37" s="64"/>
      <c r="B37" s="64"/>
      <c r="C37" s="64"/>
      <c r="D37" s="64"/>
      <c r="E37" s="64"/>
    </row>
    <row r="38" spans="1:5" ht="24.95" customHeight="1">
      <c r="A38" s="64"/>
      <c r="B38" s="64"/>
      <c r="C38" s="64"/>
      <c r="D38" s="64"/>
      <c r="E38" s="64"/>
    </row>
    <row r="39" spans="1:5" ht="24.95" customHeight="1">
      <c r="A39" s="64"/>
      <c r="B39" s="64"/>
      <c r="C39" s="64"/>
      <c r="D39" s="64"/>
      <c r="E39" s="64"/>
    </row>
    <row r="40" spans="1:5" ht="24.95" customHeight="1">
      <c r="A40" s="64"/>
      <c r="B40" s="64"/>
      <c r="C40" s="64"/>
      <c r="D40" s="64"/>
      <c r="E40" s="64"/>
    </row>
    <row r="41" spans="1:5" ht="24.95" customHeight="1">
      <c r="A41" s="64"/>
      <c r="B41" s="64"/>
      <c r="C41" s="64"/>
      <c r="D41" s="64"/>
      <c r="E41" s="64"/>
    </row>
    <row r="42" spans="1:5" ht="24.95" customHeight="1">
      <c r="A42" s="64"/>
      <c r="B42" s="64"/>
      <c r="C42" s="64"/>
      <c r="D42" s="64"/>
      <c r="E42" s="64"/>
    </row>
    <row r="43" spans="1:5" ht="24.95" customHeight="1">
      <c r="A43" s="64"/>
      <c r="B43" s="64"/>
      <c r="C43" s="64"/>
      <c r="D43" s="64"/>
      <c r="E43" s="64"/>
    </row>
    <row r="44" spans="1:5" ht="24.95" customHeight="1">
      <c r="A44" s="64"/>
      <c r="B44" s="64"/>
      <c r="C44" s="64"/>
      <c r="D44" s="64"/>
      <c r="E44" s="64"/>
    </row>
    <row r="45" spans="1:5" ht="24.95" customHeight="1">
      <c r="A45" s="64"/>
      <c r="B45" s="64"/>
      <c r="C45" s="64"/>
      <c r="D45" s="64"/>
      <c r="E45" s="64"/>
    </row>
    <row r="46" spans="1:5" ht="24.95" customHeight="1">
      <c r="A46" s="64"/>
      <c r="B46" s="64"/>
      <c r="C46" s="64"/>
      <c r="D46" s="64"/>
      <c r="E46" s="64"/>
    </row>
    <row r="47" spans="1:5" ht="24.95" customHeight="1">
      <c r="A47" s="64"/>
      <c r="B47" s="64"/>
      <c r="C47" s="64"/>
      <c r="D47" s="64"/>
      <c r="E47" s="64"/>
    </row>
    <row r="48" spans="1:5" ht="24.95" customHeight="1">
      <c r="A48" s="64"/>
      <c r="B48" s="64"/>
      <c r="C48" s="64"/>
      <c r="D48" s="64"/>
      <c r="E48" s="64"/>
    </row>
    <row r="49" spans="1:5" ht="24.95" customHeight="1">
      <c r="A49" s="64"/>
      <c r="B49" s="64"/>
      <c r="C49" s="64"/>
      <c r="D49" s="64"/>
      <c r="E49" s="64"/>
    </row>
    <row r="50" spans="1:5" ht="24.95" customHeight="1">
      <c r="A50" s="64"/>
      <c r="B50" s="64"/>
      <c r="C50" s="64"/>
      <c r="D50" s="64"/>
      <c r="E50" s="64"/>
    </row>
    <row r="51" spans="1:5" ht="24.95" customHeight="1">
      <c r="A51" s="64"/>
      <c r="B51" s="64"/>
      <c r="C51" s="64"/>
      <c r="D51" s="64"/>
      <c r="E51" s="64"/>
    </row>
    <row r="52" spans="1:5" ht="24.95" customHeight="1">
      <c r="A52" s="64"/>
      <c r="B52" s="64"/>
      <c r="C52" s="64"/>
      <c r="D52" s="64"/>
      <c r="E52" s="64"/>
    </row>
    <row r="53" spans="1:5" ht="24.95" customHeight="1">
      <c r="A53" s="64"/>
      <c r="B53" s="64"/>
      <c r="C53" s="64"/>
      <c r="D53" s="64"/>
      <c r="E53" s="64"/>
    </row>
    <row r="54" spans="1:5">
      <c r="A54" s="64"/>
      <c r="B54" s="64"/>
      <c r="C54" s="64"/>
      <c r="D54" s="64"/>
      <c r="E54" s="64"/>
    </row>
    <row r="55" spans="1:5">
      <c r="A55" s="64"/>
      <c r="B55" s="64"/>
      <c r="C55" s="64"/>
      <c r="D55" s="64"/>
      <c r="E55" s="64"/>
    </row>
    <row r="56" spans="1:5">
      <c r="A56" s="64"/>
      <c r="B56" s="64"/>
      <c r="C56" s="64"/>
      <c r="D56" s="64"/>
      <c r="E56" s="64"/>
    </row>
    <row r="57" spans="1:5">
      <c r="A57" s="64"/>
      <c r="B57" s="64"/>
      <c r="C57" s="64"/>
      <c r="D57" s="64"/>
      <c r="E57" s="64"/>
    </row>
    <row r="58" spans="1:5">
      <c r="A58" s="64"/>
      <c r="B58" s="64"/>
      <c r="C58" s="64"/>
      <c r="D58" s="64"/>
      <c r="E58" s="64"/>
    </row>
    <row r="59" spans="1:5">
      <c r="A59" s="64"/>
      <c r="B59" s="64"/>
      <c r="C59" s="64"/>
      <c r="D59" s="64"/>
      <c r="E59" s="64"/>
    </row>
    <row r="60" spans="1:5">
      <c r="A60" s="64"/>
      <c r="B60" s="64"/>
      <c r="C60" s="64"/>
      <c r="D60" s="64"/>
      <c r="E60" s="64"/>
    </row>
    <row r="61" spans="1:5">
      <c r="A61" s="64"/>
      <c r="B61" s="64"/>
      <c r="C61" s="64"/>
      <c r="D61" s="64"/>
      <c r="E61" s="64"/>
    </row>
    <row r="62" spans="1:5">
      <c r="A62" s="64"/>
      <c r="B62" s="64"/>
      <c r="C62" s="64"/>
      <c r="D62" s="64"/>
      <c r="E62" s="64"/>
    </row>
    <row r="63" spans="1:5">
      <c r="A63" s="64"/>
      <c r="B63" s="64"/>
      <c r="C63" s="64"/>
      <c r="D63" s="64"/>
      <c r="E63" s="64"/>
    </row>
    <row r="64" spans="1:5">
      <c r="A64" s="64"/>
      <c r="B64" s="64"/>
      <c r="C64" s="64"/>
      <c r="D64" s="64"/>
      <c r="E64" s="64"/>
    </row>
    <row r="65" spans="1:5">
      <c r="A65" s="64"/>
      <c r="B65" s="64"/>
      <c r="C65" s="64"/>
      <c r="D65" s="64"/>
      <c r="E65" s="64"/>
    </row>
    <row r="66" spans="1:5">
      <c r="A66" s="64"/>
      <c r="B66" s="64"/>
      <c r="C66" s="64"/>
      <c r="D66" s="64"/>
      <c r="E66" s="64"/>
    </row>
    <row r="67" spans="1:5">
      <c r="A67" s="64"/>
      <c r="B67" s="64"/>
      <c r="C67" s="64"/>
      <c r="D67" s="64"/>
      <c r="E67" s="64"/>
    </row>
    <row r="68" spans="1:5">
      <c r="A68" s="64"/>
      <c r="B68" s="64"/>
      <c r="C68" s="64"/>
      <c r="D68" s="64"/>
      <c r="E68" s="64"/>
    </row>
    <row r="69" spans="1:5">
      <c r="A69" s="64"/>
      <c r="B69" s="64"/>
      <c r="C69" s="64"/>
      <c r="D69" s="64"/>
      <c r="E69" s="64"/>
    </row>
    <row r="70" spans="1:5">
      <c r="A70" s="64"/>
      <c r="B70" s="64"/>
      <c r="C70" s="64"/>
      <c r="D70" s="64"/>
      <c r="E70" s="64"/>
    </row>
    <row r="71" spans="1:5">
      <c r="A71" s="64"/>
      <c r="B71" s="64"/>
      <c r="C71" s="64"/>
      <c r="D71" s="64"/>
      <c r="E71" s="64"/>
    </row>
  </sheetData>
  <sheetProtection algorithmName="SHA-512" hashValue="jCB5v6YVx/HyOHlFLcIrivXtEHD70IiXKH6HT2Hn0rfpFLWxelvvRumIoec8e0P2pE1h+qvOv6IWWGlZxfJIug==" saltValue="B6EeYyL7KISmHMrtID2Lzg==" spinCount="100000" sheet="1" formatColumns="0" formatRows="0" selectLockedCells="1"/>
  <dataConsolidate/>
  <customSheetViews>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W8" sqref="W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497F4E0-7D3E-4065-935D-7086BE9276FE}"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Surbhi Pargal {सुरभि परगाल}</cp:lastModifiedBy>
  <cp:lastPrinted>2021-09-23T05:06:14Z</cp:lastPrinted>
  <dcterms:created xsi:type="dcterms:W3CDTF">2014-08-12T11:34:40Z</dcterms:created>
  <dcterms:modified xsi:type="dcterms:W3CDTF">2025-06-20T06:01:14Z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de828d-f69d-40d4-9531-ce724429a5c7_Enabled">
    <vt:lpwstr>true</vt:lpwstr>
  </property>
  <property fmtid="{D5CDD505-2E9C-101B-9397-08002B2CF9AE}" pid="3" name="MSIP_Label_67de828d-f69d-40d4-9531-ce724429a5c7_SetDate">
    <vt:lpwstr>2025-06-20T04:49:20Z</vt:lpwstr>
  </property>
  <property fmtid="{D5CDD505-2E9C-101B-9397-08002B2CF9AE}" pid="4" name="MSIP_Label_67de828d-f69d-40d4-9531-ce724429a5c7_Method">
    <vt:lpwstr>Privileged</vt:lpwstr>
  </property>
  <property fmtid="{D5CDD505-2E9C-101B-9397-08002B2CF9AE}" pid="5" name="MSIP_Label_67de828d-f69d-40d4-9531-ce724429a5c7_Name">
    <vt:lpwstr>Unrestricted-IT</vt:lpwstr>
  </property>
  <property fmtid="{D5CDD505-2E9C-101B-9397-08002B2CF9AE}" pid="6" name="MSIP_Label_67de828d-f69d-40d4-9531-ce724429a5c7_SiteId">
    <vt:lpwstr>7048075c-52c2-4a40-8e7c-5c5a5573c87f</vt:lpwstr>
  </property>
  <property fmtid="{D5CDD505-2E9C-101B-9397-08002B2CF9AE}" pid="7" name="MSIP_Label_67de828d-f69d-40d4-9531-ce724429a5c7_ActionId">
    <vt:lpwstr>7d6a15b0-c6f4-4d65-af66-e133d7aea95a</vt:lpwstr>
  </property>
  <property fmtid="{D5CDD505-2E9C-101B-9397-08002B2CF9AE}" pid="8" name="MSIP_Label_67de828d-f69d-40d4-9531-ce724429a5c7_ContentBits">
    <vt:lpwstr>0</vt:lpwstr>
  </property>
  <property fmtid="{D5CDD505-2E9C-101B-9397-08002B2CF9AE}" pid="9" name="MSIP_Label_67de828d-f69d-40d4-9531-ce724429a5c7_Tag">
    <vt:lpwstr>10, 0, 1, 1</vt:lpwstr>
  </property>
</Properties>
</file>