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24226"/>
  <xr:revisionPtr revIDLastSave="75" documentId="13_ncr:1_{178C6768-AF1F-414E-AACB-1B15E9161B50}" xr6:coauthVersionLast="47" xr6:coauthVersionMax="47" xr10:uidLastSave="{F405C693-987B-41B3-804E-5EDD0002EE5E}"/>
  <workbookProtection workbookAlgorithmName="SHA-512" workbookHashValue="WWFGY//53bGGas7mzOfu9jnBrBENfSQsHDbtgKcKxXMYUbLVtZb/JJ3FrKOhK5L/AJ46uVUzCWMavlvKf0/mRQ==" workbookSaltValue="FEvow711Rr5RtaYVjrIe6Q==" workbookSpinCount="100000" lockStructure="1"/>
  <bookViews>
    <workbookView xWindow="-120" yWindow="-120" windowWidth="29040" windowHeight="15720" tabRatio="946" firstSheet="1" activeTab="3" xr2:uid="{00000000-000D-0000-FFFF-FFFF00000000}"/>
  </bookViews>
  <sheets>
    <sheet name="Sheet1" sheetId="1" state="hidden" r:id="rId1"/>
    <sheet name="Basic" sheetId="2" r:id="rId2"/>
    <sheet name="Details" sheetId="3" r:id="rId3"/>
    <sheet name="Civil work " sheetId="44" r:id="rId4"/>
    <sheet name="PHE Work" sheetId="45" r:id="rId5"/>
    <sheet name="Electrical Work" sheetId="46" r:id="rId6"/>
    <sheet name="Schedule-I" sheetId="7" r:id="rId7"/>
    <sheet name="Summary" sheetId="5" r:id="rId8"/>
  </sheets>
  <definedNames>
    <definedName name="_xlnm._FilterDatabase" localSheetId="5" hidden="1">'Electrical Work'!$A$2:$L$59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7" l="1"/>
  <c r="K11" i="7"/>
  <c r="K10" i="7"/>
  <c r="H1048535" i="46"/>
  <c r="G61" i="46"/>
  <c r="H61" i="46" s="1"/>
  <c r="F60" i="46"/>
  <c r="G60" i="46" s="1"/>
  <c r="H60" i="46" s="1"/>
  <c r="F59" i="46"/>
  <c r="G59" i="46" s="1"/>
  <c r="H59" i="46" s="1"/>
  <c r="F58" i="46"/>
  <c r="G58" i="46" s="1"/>
  <c r="H58" i="46" s="1"/>
  <c r="F57" i="46"/>
  <c r="G57" i="46" s="1"/>
  <c r="H57" i="46" s="1"/>
  <c r="F56" i="46"/>
  <c r="G56" i="46" s="1"/>
  <c r="H56" i="46" s="1"/>
  <c r="F55" i="46"/>
  <c r="G55" i="46" s="1"/>
  <c r="H55" i="46" s="1"/>
  <c r="G54" i="46"/>
  <c r="H54" i="46" s="1"/>
  <c r="F54" i="46"/>
  <c r="F53" i="46"/>
  <c r="G53" i="46" s="1"/>
  <c r="H53" i="46" s="1"/>
  <c r="F52" i="46"/>
  <c r="G52" i="46" s="1"/>
  <c r="H52" i="46" s="1"/>
  <c r="F51" i="46"/>
  <c r="G51" i="46" s="1"/>
  <c r="H51" i="46" s="1"/>
  <c r="F50" i="46"/>
  <c r="G50" i="46" s="1"/>
  <c r="H50" i="46" s="1"/>
  <c r="F49" i="46"/>
  <c r="G49" i="46" s="1"/>
  <c r="H49" i="46" s="1"/>
  <c r="A49" i="46"/>
  <c r="A50" i="46" s="1"/>
  <c r="A51" i="46" s="1"/>
  <c r="A52" i="46" s="1"/>
  <c r="A53" i="46" s="1"/>
  <c r="A54" i="46" s="1"/>
  <c r="A55" i="46" s="1"/>
  <c r="A56" i="46" s="1"/>
  <c r="A57" i="46" s="1"/>
  <c r="A58" i="46" s="1"/>
  <c r="A59" i="46" s="1"/>
  <c r="G48" i="46"/>
  <c r="H48" i="46" s="1"/>
  <c r="A48" i="46"/>
  <c r="H47" i="46"/>
  <c r="G47" i="46"/>
  <c r="G46" i="46"/>
  <c r="H46" i="46" s="1"/>
  <c r="F46" i="46"/>
  <c r="G45" i="46"/>
  <c r="H45" i="46" s="1"/>
  <c r="G44" i="46"/>
  <c r="H44" i="46" s="1"/>
  <c r="H43" i="46"/>
  <c r="G43" i="46"/>
  <c r="H42" i="46"/>
  <c r="G42" i="46"/>
  <c r="G41" i="46"/>
  <c r="H41" i="46" s="1"/>
  <c r="G40" i="46"/>
  <c r="H40" i="46" s="1"/>
  <c r="H39" i="46"/>
  <c r="G39" i="46"/>
  <c r="H38" i="46"/>
  <c r="G38" i="46"/>
  <c r="G37" i="46"/>
  <c r="H37" i="46" s="1"/>
  <c r="A37" i="46"/>
  <c r="A38" i="46" s="1"/>
  <c r="A39" i="46" s="1"/>
  <c r="A40" i="46" s="1"/>
  <c r="A41" i="46" s="1"/>
  <c r="A42" i="46" s="1"/>
  <c r="A43" i="46" s="1"/>
  <c r="A44" i="46" s="1"/>
  <c r="A45" i="46" s="1"/>
  <c r="A46" i="46" s="1"/>
  <c r="G36" i="46"/>
  <c r="H36" i="46" s="1"/>
  <c r="A36" i="46"/>
  <c r="F35" i="46"/>
  <c r="G35" i="46" s="1"/>
  <c r="H35" i="46" s="1"/>
  <c r="F34" i="46"/>
  <c r="G34" i="46" s="1"/>
  <c r="H34" i="46" s="1"/>
  <c r="F33" i="46"/>
  <c r="G33" i="46" s="1"/>
  <c r="H33" i="46" s="1"/>
  <c r="G32" i="46"/>
  <c r="H32" i="46" s="1"/>
  <c r="H31" i="46"/>
  <c r="G31" i="46"/>
  <c r="F30" i="46"/>
  <c r="G30" i="46" s="1"/>
  <c r="H30" i="46" s="1"/>
  <c r="A30" i="46"/>
  <c r="A31" i="46" s="1"/>
  <c r="A32" i="46" s="1"/>
  <c r="F29" i="46"/>
  <c r="G29" i="46" s="1"/>
  <c r="H29" i="46" s="1"/>
  <c r="F28" i="46"/>
  <c r="G28" i="46" s="1"/>
  <c r="H28" i="46" s="1"/>
  <c r="F27" i="46"/>
  <c r="G27" i="46" s="1"/>
  <c r="H27" i="46" s="1"/>
  <c r="G26" i="46"/>
  <c r="H26" i="46" s="1"/>
  <c r="G25" i="46"/>
  <c r="H25" i="46" s="1"/>
  <c r="G24" i="46"/>
  <c r="H24" i="46" s="1"/>
  <c r="H23" i="46"/>
  <c r="G23" i="46"/>
  <c r="H22" i="46"/>
  <c r="G22" i="46"/>
  <c r="H21" i="46"/>
  <c r="G21" i="46"/>
  <c r="G20" i="46"/>
  <c r="H20" i="46" s="1"/>
  <c r="G19" i="46"/>
  <c r="H19" i="46" s="1"/>
  <c r="H18" i="46"/>
  <c r="G18" i="46"/>
  <c r="H17" i="46"/>
  <c r="G17" i="46"/>
  <c r="G16" i="46"/>
  <c r="H16" i="46" s="1"/>
  <c r="A16" i="46"/>
  <c r="A17" i="46" s="1"/>
  <c r="A18" i="46" s="1"/>
  <c r="A19" i="46" s="1"/>
  <c r="A20" i="46" s="1"/>
  <c r="A21" i="46" s="1"/>
  <c r="A22" i="46" s="1"/>
  <c r="G15" i="46"/>
  <c r="H15" i="46" s="1"/>
  <c r="G14" i="46"/>
  <c r="H14" i="46" s="1"/>
  <c r="G13" i="46"/>
  <c r="H13" i="46" s="1"/>
  <c r="H12" i="46"/>
  <c r="G12" i="46"/>
  <c r="G11" i="46"/>
  <c r="H11" i="46" s="1"/>
  <c r="G10" i="46"/>
  <c r="H10" i="46" s="1"/>
  <c r="G9" i="46"/>
  <c r="H9" i="46" s="1"/>
  <c r="G8" i="46"/>
  <c r="H8" i="46" s="1"/>
  <c r="G7" i="46"/>
  <c r="H7" i="46" s="1"/>
  <c r="H6" i="46"/>
  <c r="G6" i="46"/>
  <c r="G5" i="46"/>
  <c r="H5" i="46" s="1"/>
  <c r="H1048530" i="45"/>
  <c r="G59" i="45"/>
  <c r="H59" i="45" s="1"/>
  <c r="H58" i="45"/>
  <c r="G58" i="45"/>
  <c r="H57" i="45"/>
  <c r="G57" i="45"/>
  <c r="A57" i="45"/>
  <c r="A58" i="45" s="1"/>
  <c r="A59" i="45" s="1"/>
  <c r="G56" i="45"/>
  <c r="H56" i="45" s="1"/>
  <c r="G55" i="45"/>
  <c r="H55" i="45" s="1"/>
  <c r="H54" i="45"/>
  <c r="G54" i="45"/>
  <c r="H53" i="45"/>
  <c r="G53" i="45"/>
  <c r="G52" i="45"/>
  <c r="H52" i="45" s="1"/>
  <c r="G51" i="45"/>
  <c r="H51" i="45" s="1"/>
  <c r="G50" i="45"/>
  <c r="H50" i="45" s="1"/>
  <c r="G49" i="45"/>
  <c r="H49" i="45" s="1"/>
  <c r="H48" i="45"/>
  <c r="G48" i="45"/>
  <c r="H47" i="45"/>
  <c r="G47" i="45"/>
  <c r="H46" i="45"/>
  <c r="G46" i="45"/>
  <c r="A46" i="45"/>
  <c r="A47" i="45" s="1"/>
  <c r="G45" i="45"/>
  <c r="H45" i="45" s="1"/>
  <c r="G44" i="45"/>
  <c r="H44" i="45" s="1"/>
  <c r="H43" i="45"/>
  <c r="G43" i="45"/>
  <c r="H42" i="45"/>
  <c r="G42" i="45"/>
  <c r="H41" i="45"/>
  <c r="G41" i="45"/>
  <c r="G40" i="45"/>
  <c r="H40" i="45" s="1"/>
  <c r="G39" i="45"/>
  <c r="H39" i="45" s="1"/>
  <c r="H38" i="45"/>
  <c r="G38" i="45"/>
  <c r="H37" i="45"/>
  <c r="G37" i="45"/>
  <c r="G36" i="45"/>
  <c r="H36" i="45" s="1"/>
  <c r="G35" i="45"/>
  <c r="H35" i="45" s="1"/>
  <c r="H34" i="45"/>
  <c r="G34" i="45"/>
  <c r="H33" i="45"/>
  <c r="G33" i="45"/>
  <c r="G32" i="45"/>
  <c r="H32" i="45" s="1"/>
  <c r="G31" i="45"/>
  <c r="H31" i="45" s="1"/>
  <c r="H30" i="45"/>
  <c r="G30" i="45"/>
  <c r="F30" i="45"/>
  <c r="G29" i="45"/>
  <c r="H29" i="45" s="1"/>
  <c r="A29" i="45"/>
  <c r="A30" i="45" s="1"/>
  <c r="A31" i="45" s="1"/>
  <c r="A32" i="45" s="1"/>
  <c r="A33" i="45" s="1"/>
  <c r="A34" i="45" s="1"/>
  <c r="A35" i="45" s="1"/>
  <c r="A36" i="45" s="1"/>
  <c r="A37" i="45" s="1"/>
  <c r="A38" i="45" s="1"/>
  <c r="A39" i="45" s="1"/>
  <c r="A40" i="45" s="1"/>
  <c r="A41" i="45" s="1"/>
  <c r="A42" i="45" s="1"/>
  <c r="F28" i="45"/>
  <c r="G28" i="45" s="1"/>
  <c r="H28" i="45" s="1"/>
  <c r="H27" i="45"/>
  <c r="G27" i="45"/>
  <c r="H26" i="45"/>
  <c r="G26" i="45"/>
  <c r="G25" i="45"/>
  <c r="H25" i="45" s="1"/>
  <c r="G24" i="45"/>
  <c r="H24" i="45" s="1"/>
  <c r="G23" i="45"/>
  <c r="H23" i="45" s="1"/>
  <c r="G22" i="45"/>
  <c r="H22" i="45" s="1"/>
  <c r="H21" i="45"/>
  <c r="G21" i="45"/>
  <c r="H20" i="45"/>
  <c r="G20" i="45"/>
  <c r="G19" i="45"/>
  <c r="H19" i="45" s="1"/>
  <c r="F19" i="45"/>
  <c r="G18" i="45"/>
  <c r="H18" i="45" s="1"/>
  <c r="G17" i="45"/>
  <c r="H17" i="45" s="1"/>
  <c r="G16" i="45"/>
  <c r="H16" i="45" s="1"/>
  <c r="G15" i="45"/>
  <c r="H15" i="45" s="1"/>
  <c r="G14" i="45"/>
  <c r="H14" i="45" s="1"/>
  <c r="G13" i="45"/>
  <c r="H13" i="45" s="1"/>
  <c r="G12" i="45"/>
  <c r="H12" i="45" s="1"/>
  <c r="G11" i="45"/>
  <c r="H11" i="45" s="1"/>
  <c r="G10" i="45"/>
  <c r="H10" i="45" s="1"/>
  <c r="G9" i="45"/>
  <c r="H9" i="45" s="1"/>
  <c r="G8" i="45"/>
  <c r="H8" i="45" s="1"/>
  <c r="H7" i="45"/>
  <c r="G7" i="45"/>
  <c r="G6" i="45"/>
  <c r="H6" i="45" s="1"/>
  <c r="G5" i="45"/>
  <c r="H5" i="45" s="1"/>
  <c r="G106" i="44"/>
  <c r="H106" i="44" s="1"/>
  <c r="G105" i="44"/>
  <c r="H105" i="44" s="1"/>
  <c r="G104" i="44"/>
  <c r="H104" i="44" s="1"/>
  <c r="G103" i="44"/>
  <c r="H103" i="44" s="1"/>
  <c r="G102" i="44"/>
  <c r="H102" i="44" s="1"/>
  <c r="H101" i="44"/>
  <c r="F100" i="44"/>
  <c r="G100" i="44" s="1"/>
  <c r="H100" i="44" s="1"/>
  <c r="F99" i="44"/>
  <c r="G99" i="44" s="1"/>
  <c r="H99" i="44" s="1"/>
  <c r="H110" i="44" s="1"/>
  <c r="F98" i="44"/>
  <c r="G98" i="44" s="1"/>
  <c r="H98" i="44" s="1"/>
  <c r="G97" i="44"/>
  <c r="H97" i="44" s="1"/>
  <c r="G96" i="44"/>
  <c r="H96" i="44" s="1"/>
  <c r="G95" i="44"/>
  <c r="H95" i="44" s="1"/>
  <c r="F94" i="44"/>
  <c r="G94" i="44" s="1"/>
  <c r="H94" i="44" s="1"/>
  <c r="F93" i="44"/>
  <c r="G93" i="44" s="1"/>
  <c r="H93" i="44" s="1"/>
  <c r="F92" i="44"/>
  <c r="G92" i="44" s="1"/>
  <c r="H92" i="44" s="1"/>
  <c r="A92" i="44"/>
  <c r="A93" i="44" s="1"/>
  <c r="A94" i="44" s="1"/>
  <c r="A95" i="44" s="1"/>
  <c r="A96" i="44" s="1"/>
  <c r="A97" i="44" s="1"/>
  <c r="A98" i="44" s="1"/>
  <c r="A99" i="44" s="1"/>
  <c r="A100" i="44" s="1"/>
  <c r="F91" i="44"/>
  <c r="G91" i="44" s="1"/>
  <c r="H91" i="44" s="1"/>
  <c r="A91" i="44"/>
  <c r="F90" i="44"/>
  <c r="G90" i="44" s="1"/>
  <c r="H90" i="44" s="1"/>
  <c r="G83" i="44"/>
  <c r="H83" i="44" s="1"/>
  <c r="G78" i="44"/>
  <c r="H78" i="44" s="1"/>
  <c r="G77" i="44"/>
  <c r="H77" i="44" s="1"/>
  <c r="G76" i="44"/>
  <c r="H76" i="44" s="1"/>
  <c r="G75" i="44"/>
  <c r="H75" i="44" s="1"/>
  <c r="G74" i="44"/>
  <c r="H74" i="44" s="1"/>
  <c r="G73" i="44"/>
  <c r="H73" i="44" s="1"/>
  <c r="G72" i="44"/>
  <c r="H72" i="44" s="1"/>
  <c r="G71" i="44"/>
  <c r="H71" i="44" s="1"/>
  <c r="G70" i="44"/>
  <c r="H70" i="44" s="1"/>
  <c r="G69" i="44"/>
  <c r="H69" i="44" s="1"/>
  <c r="G68" i="44"/>
  <c r="H68" i="44" s="1"/>
  <c r="G67" i="44"/>
  <c r="H67" i="44" s="1"/>
  <c r="G66" i="44"/>
  <c r="H66" i="44" s="1"/>
  <c r="G65" i="44"/>
  <c r="H65" i="44" s="1"/>
  <c r="G64" i="44"/>
  <c r="H64" i="44" s="1"/>
  <c r="G63" i="44"/>
  <c r="H63" i="44" s="1"/>
  <c r="G62" i="44"/>
  <c r="H62" i="44" s="1"/>
  <c r="G61" i="44"/>
  <c r="H61" i="44" s="1"/>
  <c r="G60" i="44"/>
  <c r="H60" i="44" s="1"/>
  <c r="G59" i="44"/>
  <c r="H59" i="44" s="1"/>
  <c r="G58" i="44"/>
  <c r="H58" i="44" s="1"/>
  <c r="G57" i="44"/>
  <c r="H57" i="44" s="1"/>
  <c r="G56" i="44"/>
  <c r="H56" i="44" s="1"/>
  <c r="G55" i="44"/>
  <c r="H55" i="44" s="1"/>
  <c r="G54" i="44"/>
  <c r="H54" i="44" s="1"/>
  <c r="G53" i="44"/>
  <c r="H53" i="44" s="1"/>
  <c r="G52" i="44"/>
  <c r="H52" i="44" s="1"/>
  <c r="G51" i="44"/>
  <c r="H51" i="44" s="1"/>
  <c r="G50" i="44"/>
  <c r="H50" i="44" s="1"/>
  <c r="G49" i="44"/>
  <c r="H49" i="44" s="1"/>
  <c r="G48" i="44"/>
  <c r="H48" i="44" s="1"/>
  <c r="G47" i="44"/>
  <c r="H47" i="44" s="1"/>
  <c r="G46" i="44"/>
  <c r="H46" i="44" s="1"/>
  <c r="G45" i="44"/>
  <c r="H45" i="44" s="1"/>
  <c r="G44" i="44"/>
  <c r="H44" i="44" s="1"/>
  <c r="G43" i="44"/>
  <c r="H43" i="44" s="1"/>
  <c r="G42" i="44"/>
  <c r="H42" i="44" s="1"/>
  <c r="G41" i="44"/>
  <c r="H41" i="44" s="1"/>
  <c r="G40" i="44"/>
  <c r="H40" i="44" s="1"/>
  <c r="G39" i="44"/>
  <c r="H39" i="44" s="1"/>
  <c r="G38" i="44"/>
  <c r="H38" i="44" s="1"/>
  <c r="G37" i="44"/>
  <c r="H37" i="44" s="1"/>
  <c r="G36" i="44"/>
  <c r="H36" i="44" s="1"/>
  <c r="G35" i="44"/>
  <c r="H35" i="44" s="1"/>
  <c r="G34" i="44"/>
  <c r="H34" i="44" s="1"/>
  <c r="G33" i="44"/>
  <c r="H33" i="44" s="1"/>
  <c r="G32" i="44"/>
  <c r="H32" i="44" s="1"/>
  <c r="G31" i="44"/>
  <c r="H31" i="44" s="1"/>
  <c r="A31" i="44"/>
  <c r="A32" i="44" s="1"/>
  <c r="A33" i="44" s="1"/>
  <c r="A34" i="44" s="1"/>
  <c r="A35" i="44" s="1"/>
  <c r="A36" i="44" s="1"/>
  <c r="A37" i="44" s="1"/>
  <c r="A38" i="44" s="1"/>
  <c r="A39" i="44" s="1"/>
  <c r="A40" i="44" s="1"/>
  <c r="A41" i="44" s="1"/>
  <c r="A42" i="44" s="1"/>
  <c r="A43" i="44" s="1"/>
  <c r="A44" i="44" s="1"/>
  <c r="A45" i="44" s="1"/>
  <c r="A46" i="44" s="1"/>
  <c r="A47" i="44" s="1"/>
  <c r="A48" i="44" s="1"/>
  <c r="A49" i="44" s="1"/>
  <c r="A50" i="44" s="1"/>
  <c r="A51" i="44" s="1"/>
  <c r="A52" i="44" s="1"/>
  <c r="A53" i="44" s="1"/>
  <c r="A54" i="44" s="1"/>
  <c r="A55" i="44" s="1"/>
  <c r="A56" i="44" s="1"/>
  <c r="A57" i="44" s="1"/>
  <c r="A58" i="44" s="1"/>
  <c r="A59" i="44" s="1"/>
  <c r="A60" i="44" s="1"/>
  <c r="A61" i="44" s="1"/>
  <c r="A62" i="44" s="1"/>
  <c r="A63" i="44" s="1"/>
  <c r="A64" i="44" s="1"/>
  <c r="A65" i="44" s="1"/>
  <c r="A66" i="44" s="1"/>
  <c r="A67" i="44" s="1"/>
  <c r="A68" i="44" s="1"/>
  <c r="A69" i="44" s="1"/>
  <c r="A70" i="44" s="1"/>
  <c r="A71" i="44" s="1"/>
  <c r="A72" i="44" s="1"/>
  <c r="A73" i="44" s="1"/>
  <c r="A74" i="44" s="1"/>
  <c r="A75" i="44" s="1"/>
  <c r="A76" i="44" s="1"/>
  <c r="A77" i="44" s="1"/>
  <c r="A78" i="44" s="1"/>
  <c r="G30" i="44"/>
  <c r="H30" i="44" s="1"/>
  <c r="G29" i="44"/>
  <c r="H29" i="44" s="1"/>
  <c r="F28" i="44"/>
  <c r="G28" i="44" s="1"/>
  <c r="H28" i="44" s="1"/>
  <c r="G27" i="44"/>
  <c r="H27" i="44" s="1"/>
  <c r="G26" i="44"/>
  <c r="H26" i="44" s="1"/>
  <c r="G25" i="44"/>
  <c r="H25" i="44" s="1"/>
  <c r="H24" i="44"/>
  <c r="G24" i="44"/>
  <c r="G23" i="44"/>
  <c r="H23" i="44" s="1"/>
  <c r="G22" i="44"/>
  <c r="H22" i="44" s="1"/>
  <c r="G21" i="44"/>
  <c r="H21" i="44" s="1"/>
  <c r="G20" i="44"/>
  <c r="H20" i="44" s="1"/>
  <c r="G19" i="44"/>
  <c r="H19" i="44" s="1"/>
  <c r="G18" i="44"/>
  <c r="E18" i="44"/>
  <c r="G17" i="44"/>
  <c r="H17" i="44" s="1"/>
  <c r="G16" i="44"/>
  <c r="H16" i="44" s="1"/>
  <c r="G15" i="44"/>
  <c r="H15" i="44" s="1"/>
  <c r="G14" i="44"/>
  <c r="E14" i="44"/>
  <c r="G13" i="44"/>
  <c r="H13" i="44" s="1"/>
  <c r="G12" i="44"/>
  <c r="H12" i="44" s="1"/>
  <c r="G11" i="44"/>
  <c r="H11" i="44" s="1"/>
  <c r="G10" i="44"/>
  <c r="H10" i="44" s="1"/>
  <c r="G9" i="44"/>
  <c r="H9" i="44" s="1"/>
  <c r="G8" i="44"/>
  <c r="H8" i="44" s="1"/>
  <c r="G7" i="44"/>
  <c r="E7" i="44"/>
  <c r="H6" i="44"/>
  <c r="G5" i="44"/>
  <c r="H5" i="44" s="1"/>
  <c r="E5" i="44"/>
  <c r="H7" i="44" l="1"/>
  <c r="H18" i="44"/>
  <c r="H62" i="46"/>
  <c r="H60" i="45"/>
  <c r="H64" i="46"/>
  <c r="H14" i="44"/>
  <c r="H108" i="44" s="1"/>
  <c r="H109" i="44" s="1"/>
  <c r="H63" i="46" l="1"/>
  <c r="C7" i="7" l="1"/>
  <c r="C6" i="7"/>
  <c r="C5" i="7"/>
  <c r="C4" i="7"/>
  <c r="H23" i="7"/>
  <c r="H21" i="7"/>
  <c r="B23" i="7"/>
  <c r="B21" i="7"/>
  <c r="A2" i="7"/>
  <c r="A1" i="7"/>
  <c r="C7" i="5" l="1"/>
  <c r="C6" i="5"/>
  <c r="C5" i="5"/>
  <c r="C4" i="5"/>
  <c r="K13" i="7" l="1"/>
  <c r="K15" i="7" s="1"/>
  <c r="H14" i="5" s="1"/>
  <c r="G20" i="5"/>
  <c r="G19" i="5"/>
  <c r="B20" i="5"/>
  <c r="B19" i="5"/>
  <c r="K16" i="7" l="1"/>
  <c r="H15" i="5" s="1"/>
  <c r="A2" i="5"/>
  <c r="A1" i="5"/>
  <c r="A2" i="3"/>
  <c r="A1" i="3"/>
  <c r="A2" i="2"/>
  <c r="A1" i="2"/>
  <c r="K17" i="7" l="1"/>
  <c r="H16" i="5"/>
</calcChain>
</file>

<file path=xl/sharedStrings.xml><?xml version="1.0" encoding="utf-8"?>
<sst xmlns="http://schemas.openxmlformats.org/spreadsheetml/2006/main" count="692" uniqueCount="439">
  <si>
    <t>Name of the Package</t>
  </si>
  <si>
    <t>General Guidelines for filling up the Price Schedule and other attachments.</t>
  </si>
  <si>
    <t>All the cells in Summary will be auto filled, therefore no cell is required to be filled in that sheet.</t>
  </si>
  <si>
    <t>Instructions ,if any will be displayed automatically after selecting the cell.</t>
  </si>
  <si>
    <t>Click here to proceed.</t>
  </si>
  <si>
    <t>Fill only Green shaded cells in Details and Schedule-I.</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</si>
  <si>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</si>
  <si>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</si>
  <si>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</si>
  <si>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</si>
  <si>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</si>
  <si>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</si>
  <si>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</si>
  <si>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</si>
  <si>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</si>
  <si>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</si>
  <si>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</si>
  <si>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</si>
  <si>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</si>
  <si>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</si>
  <si>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To,</t>
  </si>
  <si>
    <t>Contracts and Materials Department</t>
  </si>
  <si>
    <t>POWER GRID CORPORATION OF INDIA LIMITED</t>
  </si>
  <si>
    <t>VIDYUT BOARD COLONY, SHASTRINAGAR, PATNA-23</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</si>
  <si>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</si>
  <si>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</si>
  <si>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</si>
  <si>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II</t>
  </si>
  <si>
    <t>Total GST on services/Installation as per Schedule-I</t>
  </si>
  <si>
    <t>III</t>
  </si>
  <si>
    <t>Toal BID Price including all taxes</t>
  </si>
  <si>
    <t>Schedule-I of Price Bid</t>
  </si>
  <si>
    <t>Sl. No.</t>
  </si>
  <si>
    <t>Sqm</t>
  </si>
  <si>
    <t>Quoted Price</t>
  </si>
  <si>
    <t>GST (in percentage )@</t>
  </si>
  <si>
    <t>Total amount including taxes</t>
  </si>
  <si>
    <t>Printed name</t>
  </si>
  <si>
    <t>on Quoted Price</t>
  </si>
  <si>
    <t>Total for Installation/Services as per Schedule-I</t>
  </si>
  <si>
    <t>Each</t>
  </si>
  <si>
    <t>A</t>
  </si>
  <si>
    <t>B</t>
  </si>
  <si>
    <t>C</t>
  </si>
  <si>
    <t>Total Cost Estimate</t>
  </si>
  <si>
    <t>Above (+)and below (-)(in %): To be quoted by bidder</t>
  </si>
  <si>
    <t>Name of Work</t>
  </si>
  <si>
    <t>Unit</t>
  </si>
  <si>
    <t>Cum</t>
  </si>
  <si>
    <t>Kg</t>
  </si>
  <si>
    <t>Note: If any part of price which required to be filled by bidder kept blank, the bid price shall be considered as inclusive and evaluation shall be done accordingly</t>
  </si>
  <si>
    <t>Set</t>
  </si>
  <si>
    <t>Description</t>
  </si>
  <si>
    <t>Rate</t>
  </si>
  <si>
    <t>Metre</t>
  </si>
  <si>
    <t>100 mm dia</t>
  </si>
  <si>
    <t>(i)</t>
  </si>
  <si>
    <t>(ii)</t>
  </si>
  <si>
    <t>(iii)</t>
  </si>
  <si>
    <t>(iv)</t>
  </si>
  <si>
    <t>Qty</t>
  </si>
  <si>
    <t xml:space="preserve">BOQ for Construction of Balance work for Trasnit Camp(Field Hostel)  At 400/220/132 KV Saharsa S/S </t>
  </si>
  <si>
    <t>Sl.No</t>
  </si>
  <si>
    <t>Item Discription</t>
  </si>
  <si>
    <t>Amt.(Rs)</t>
  </si>
  <si>
    <t xml:space="preserve">Civil Part </t>
  </si>
  <si>
    <t>Section-A(Pile work)</t>
  </si>
  <si>
    <t>Boring, providing and installation bored cast-in-situ reinforced cement concrete piles of grade M-25 of specified diameter and length below the pile cap, to carry a safe working load not less than specified,excluding the cost of steel reinforcement but including the cost of
boring with bentonite solution and temporary casing of appropriate length for setting out and removal of same and the length of the pile to be embedded in the pile cap etc. by percussion drilling using Direct mud circulation (DMC) or Bailer and chisel technique by tripod
and mechanical Winch Machine all complete, including removal of excavated earth with all its lifts and leads (length of pile for payment shall be measured up to bottom of pile cap) 450 mm DIa pile</t>
  </si>
  <si>
    <t>Section-B(Earth work and sand filling)</t>
  </si>
  <si>
    <t>Earth work in excavation by mechanical means (Hydraulic excavator)/manual means over areas (exceeding 30 cm in depth, 1.5 m in width as well as 10 sqm on plan) including getting out and disposal of excavated earth lead upto 50 m and lift upto 1.5 m, as directed by Engineer-in_x0002_charge.</t>
  </si>
  <si>
    <t>Filling available excavated earth (excluding rock) in trenches, plinth,sides of foundations etc. in layers not exceeding 20cm in depth,consolidating each deposited layer by ramming and watering, lead up to 50 m and lift upto 1.5 m.</t>
  </si>
  <si>
    <t>Excavating, supplying and filling of local earth (including royalty) by mechanical transport upto a lead of 5km also including ramming and watering of the earth in layers not exceeding 20 cm in trenches, plinth,sides of foundation etc. complete.</t>
  </si>
  <si>
    <r>
      <t xml:space="preserve">Integrity testing of Pile using Low Strain/ Sonic Integrity Test/ Sonic Echo Test method in accordance with IS 14893 including surface preparation of pile top by removing soil, mud, dust &amp; chipping lean concrete lumps etc. and use of computerised equipment and high skill trained personal for conducting the test &amp; submission of results,all complete as per direction of Engineer-in-charge.                         </t>
    </r>
    <r>
      <rPr>
        <b/>
        <sz val="11"/>
        <color theme="1"/>
        <rFont val="Times New Roman"/>
        <family val="1"/>
      </rPr>
      <t>Note :-</t>
    </r>
    <r>
      <rPr>
        <sz val="11"/>
        <color theme="1"/>
        <rFont val="Times New Roman"/>
        <family val="1"/>
      </rPr>
      <t xml:space="preserve"> The inclusion of the above item in the schedule of work shall be judiciously decided by the technical sanctioning authority, keeping in view the quality control, type of soil strata &amp; importance of the project</t>
    </r>
  </si>
  <si>
    <t>Per test</t>
  </si>
  <si>
    <t>Supplying chemical emulsion in sealed containers including delivery as specified.Chlorpyriphos/ Lindane emulsifiable concentrate of 20%</t>
  </si>
  <si>
    <t>Litre</t>
  </si>
  <si>
    <t>Diluting and injecting chemical emulsion for POST-CONSTRUCTIONAL anti-termite treatment (excluding the cost of chemical emulsion) :Along the external wall below concrete or masonry apron us_x0002_ing chemical emulsion @ 2.25 litres per linear metre includ_x0002_ing drilling and plugging holes etc.:With Chlorpyriphos/ Lindane E.C. 20% with 1%
concentration</t>
  </si>
  <si>
    <t>Treatment of soil under existing floors using chemical emul_x0002_sion @ one litre per hole, 300 mm apart including drilling 12 mm diameter holes and plugging with cement mortar 1 :2 (1 cement : 2 Coarse sand) to match the existing floor With Chlorpyriphos/Lindane E.C. 20% with 1% concentration</t>
  </si>
  <si>
    <t>1:4:8 (1 Cement : 4 coarse sand (zone-III) derived from natural sources : 8 graded stone aggregate 40 mm nominal size derived from natural sources</t>
  </si>
  <si>
    <t xml:space="preserve">1:2:4 (1 Cement : 2 coarse sand (zone-III) derived from natural sources : 4 graded stone aggregate 40 mm nominal size derived from natural sources) </t>
  </si>
  <si>
    <t>Providing and laying in position ready mixed or site batched design mix cement concrete for reinforced cement concrete work; using coarse aggregate and fine aggregate derived from natural sources, Portland Pozzolana / Ordinary Portland /Portland Slag cement, admixtures in recommended proportions as per IS: 9103 to accelerate / retard setting of concrete, to improve durability and workability without impairing strength; including pumping of concrete to site of laying, curing, carriage for all leads; but excluding the cost of centering, shuttering, finishing and reinforcement as per direction of the engineer-in-charge; for the following grades of concrete.
Note: Extra cement up to 10% of the minimum specified cement content in design mix shall be payable separately. In case the cement content in design mix is more than 110% of the specified minimum cement content, the contractor shall have discretion to either re-design the mix or bear the cost of extra cement.
5.33.1 All works upto plinth level 5.33.1.1 Concrete of M25 grade with minimum cement
content of 330 kg /cum cum 8683.80</t>
  </si>
  <si>
    <t>Providing and laying in position ready mixed or site batched design mix cement concrete for reinforced cement concrete work; using coarse
aggregate and fine aggregate derived from natural sources, Portland Pozzolana / Ordinary Portland /Portland Slag cement, admixtures in recommended proportions as per IS: 9103 to accelerate / retard setting of concrete, to improve durability and workability without impairing
strength; including pumping of concrete to site of laying, curing, carriage for all leads; but excluding the cost of centering, shuttering, finishing and reinforcement as per direction of the engineer-in-charge; for the following grades of concrete.
Note: Extra cement up to 10% of the minimum specified cement content in design mix shall be payable separately. In case the cement content in design mix is more than 110% of the specified minimum cement content, the contractor shall have discretion to either re-design the mix or bear the cost of extra cement.                                                                   All works above plinth level upto floor V level5.33.2.1 Concrete of M25 grade with minimum cement
content of 330 kg /cum cum 10306.20</t>
  </si>
  <si>
    <t>Steel reinforcement for R.C.C. work including straightening, cutting,bending, placing in position and binding all complete upto plinth level.                                            Thermo-Mechanically Treated bars of grade Fe-500D or more</t>
  </si>
  <si>
    <t>Centering and shuttering including strutting, propping etc. and removal of form for  Foundations, footings, bases of columns, etc. for mass
concrete</t>
  </si>
  <si>
    <t xml:space="preserve">Centering and shuttering including strutting, propping etc. and removal of form for Suspended floors, roofs, landings, balconies and access
platform </t>
  </si>
  <si>
    <t>Centering and shuttering including strutting, propping etc. and removal of form fLintels, beams, plinth beams, girders, bressumers and cantilevers</t>
  </si>
  <si>
    <t>Centering and shuttering including strutting, propping etc. and removal of form for Columns, Pillars, Piers, Abutments, Posts and Struts</t>
  </si>
  <si>
    <t xml:space="preserve">Centering and shuttering including strutting, propping etc. and removal of form for Stairs, (excluding landings) except spiral-staircases </t>
  </si>
  <si>
    <t>Centering and shuttering including strutting, propping etc. and removal of form for Vertical and horizontal fins individually or forming box louvers band, facias and eaves boards</t>
  </si>
  <si>
    <t xml:space="preserve">Shelves (Cast in situ) </t>
  </si>
  <si>
    <t>Centering and shuttering including strutting, propping etc. and removal of form for Weather shade, Chajjas, corbels etc., including edges</t>
  </si>
  <si>
    <t>CProviding and laying damp-proof course 50mm thick with cement concrete 1:2:4 (1 cement : 2 coarse sand (zone-III) derived from natural sources : 4 graded stone aggregate 20mm nominal size derived from natural sources)</t>
  </si>
  <si>
    <t>Extra for providing and mixing water proofing material in cement concrete  work in doses by weight of cement as per manufacturer's specification</t>
  </si>
  <si>
    <t>Per 50kg bag of cement</t>
  </si>
  <si>
    <t xml:space="preserve">Providing &amp; applying a coat of residual petroleum bitumen of grade of VG-10 of approved quality using 1.7kg per square metre on damp proof course after cleaning the surface with brushes and finally with apiece of cloth lightly soaked in kerosene oil. </t>
  </si>
  <si>
    <t>Brick work with common burnt clay F.P.S. (non modular) bricks of class designation 7.5 in foundation and plinth in:Cement mortar 1:6 (1 cement : 6 coarse sand)</t>
  </si>
  <si>
    <t>Brick work with common burnt clay F.P.S. (non modular) bricks of class designation 7.5 in superstructure above plinth level up to floor V level in all shapes and sizes in :Cement mortar 1:6 (1 cement : 6 coarse sand)</t>
  </si>
  <si>
    <t>Extra for providing and placing in position 2 Nos 6mm dia. M.S. bars
at every third course of half brick masonry.</t>
  </si>
  <si>
    <t>Providing and laying vitrified floor tiles in different sizes (thickness to be specified by the manufacturer) with water absorption less than 0.08% and conforming to IS: 15622, of approved make, in all colours and shades,laid on 20mm thick cement mortar 1:4 (1 cement : 4 coarse sand),jointing with grey cement slurry @ 3.3 kg/ sqm including grouting the joints with white cement and matching pigments etc., complete.                                                                                                         Size of Tile 600x600 mm</t>
  </si>
  <si>
    <t>Providing and laying Vitrified tiles in different sizes (thickness to be specified by manufacturer), with water absorption less than 0.08 % and conforming to I.S. 15622, of approved make, in all colours &amp; shade, in skirting, riser of steps, over 12 mm thick bed of cement mortar 1:3 (1
cement: 3 coarse sand), jointing with grey cement slurry @ 3.3 kg/ sqm including grouting the joint with white cement &amp; matching pigments etc. complete.                                                              Size of Tile 600x600 mm</t>
  </si>
  <si>
    <t>Providing and laying rectified Glazed Ceramic floor tiles of size 300x300 mm or more (thickness to be specified by the manufacturer), of 1st quality conforming to IS : 15622, of approved make, in all colours, shades, except White, Ivory, Grey, Fume Red Brown, laid on 20 mm thick Cement
Mortar 1:4 (1 Cement : 4 Coarse sand), jointing with grey cement slurry @ 3.3 kg/ sqm including pointing the joints with white cement and matching pigments etc., complete. VITRIFIED FLOOR TILES</t>
  </si>
  <si>
    <t>Providing and fixing Ist quality ceramic glazed wall tiles conforming to IS: 15622 (thickness to be specified by the manufacturer), of approved make, in all colours, shades except burgundy, bottle green, black of any size as approved by Engineer-in-Charge, in skirting,risers of steps
and dados,over 12 mm thick bed of cement mortar 1:3 (1 cement : 3 coarse sand) and jointing with grey cement slurry @ 3.3kg per sqm, including pointing in white cement mixed with pigment of matching shade
complete.</t>
  </si>
  <si>
    <t>Marble stone flooring with 18 mm thick marble stone, as per sample of marble approved by Engineer-in-charge, over 20 mm (average) thick base of cement mortar 1:4 (1 cement : 4 coarse sand) laid and jointed with grey cement slurry, including rubbing and polishing complete with :Udaipur green marble</t>
  </si>
  <si>
    <t>Extra for marble stone flooring in treads of steps and risers using single length up to 2.00 metre.</t>
  </si>
  <si>
    <t>Extra for pre finished nosing to treads of steps of marble stone</t>
  </si>
  <si>
    <t>Providing and fixing 18 mm thick gang saw cut, mirror polished, premoulded and prepolished, machine cut for kitchen platforms, vanity counters, window sills,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t>
  </si>
  <si>
    <t>Half brick masonry with common burnt clay F.P.S. (non modular) bricks of class designation 7.5 in superstructure above plinth level up to floor V level Cement mortar 1:4 (1 cement :4 coarse sand)                                                                                               Area of slab over 0.50 sqm</t>
  </si>
  <si>
    <t>Providing edge moulding to 18 mm thick marble stone counters, Vanities etc., including machine polishing to edge to give high gloss finish etc. complete as per design approved by Engineer-in-Charge.                                                             Marble work</t>
  </si>
  <si>
    <t>Providing edge moulding to 18 mm thick marble stone counters, Vanities etc., including machine polishing to edge to give high gloss finish etc. complete as per design approved by Engineer-in-Charge.                                                             Granite work</t>
  </si>
  <si>
    <t>Extra for fixing marble /granite stone, over and above corresponding basic item, in facia and drops of width upto 150 mm with epoxy resin based adhesive, including cleaning etc. complete.</t>
  </si>
  <si>
    <t>Extra for providing opening of required size &amp; shape for wash basin/ kitchen sink in kitchen platform, vanity counter and similar location in marble/ Granite/ stone work, including necessary holes for pillar taps etc. including moulding, rubbing and polishing of cut edges etc. complete.</t>
  </si>
  <si>
    <t>Providing and fixing ISI marked flush door shutters conforming to IS : 2202 (Part I) non-decorative type, core of block board construction with frame of 1st class hard wood and well matched commercial 3 ply veneering with vertical grains or cross bands and face veneers on both faces of shutters:                                                                                                              35 mm thick including ISI marked Stainless Steel butt hinges with necessary screws</t>
  </si>
  <si>
    <t>Providing and fixing ISI marked flush door shutters conforming to IS : 2202 (Part I) non-decorative type, core of block board construction with frame of 1st class hard wood and well matched commercial 3 ply veneering with vertical grains or cross bands and face veneers on both faces of shutters:                                                                                                              25 mm thick (for cupboard) including ISI marked nickel plated bright finished M.S. piano hinges with necessary screws</t>
  </si>
  <si>
    <t>Extra for providing lipping with 2nd class teak wood battens 25 mm minimum depth on all edges of flush door shutters (over all area of door shutter to be measured).</t>
  </si>
  <si>
    <t>Providing and fixing IS : 12817 marked stainless steel butt hinges with stainless steel screws etc. complete :  125x64x1.90 mm</t>
  </si>
  <si>
    <t>Providing and fixing IS : 12817 marked stainless steel butt hinges with stainless steel screws etc. complete :  75x47x1.80 mm</t>
  </si>
  <si>
    <t>Providing and fixing aluminium sliding door bolts, ISI marked anodised (anodic coating not less than grade AC 10 as per IS : 1868), transparent or dyed to required colour or shade, with nuts and screws etc. complete                                               250x16 mm</t>
  </si>
  <si>
    <t>Providing and fixing aluminium tower bolts, ISI marked, anodised (anodic coating not less than grade AC 10 as per IS : 1868 ) transparent or dyed to required colour or shade, with necessary screws etc. complete :</t>
  </si>
  <si>
    <t>300x10 mm</t>
  </si>
  <si>
    <t xml:space="preserve">200x10 mm </t>
  </si>
  <si>
    <t>150x10 mm</t>
  </si>
  <si>
    <t>100x10 mm</t>
  </si>
  <si>
    <t>Providing and fixing Brass 100mm mortice latch and lock with 6 levers without pair of handles (best make of approved quality) for aluminium doors including necessary cutting and making good etc. complete.</t>
  </si>
  <si>
    <t>Providing and fixing pressed steel door frames conforming to IS: 4351, manufactured from commercial mild steel sheet of 1.60 mm thickness, including hinges, jamb, lock jamb, bead and if required angle threshold of mild steel angle of section 50x25 mm, or base ties of 1.60 mm, pressed mild steel welded or rigidly fixed together by mechanical means, including M.S. pressed butt hinges 2.5 mm thick with mortar guards, lock strike-plate and shock absorbers as specified and applying a coat of approved steel primer after pre-treatment of the surface as directed by Engineer-in-charge:                                                                                      Profile B
 Fixing with adjustable lugs with split end tail to
each jamb</t>
  </si>
  <si>
    <t xml:space="preserve">12 mm cement plaster of mix :                                                                           1:4 (1 cement: 4 coarse sand) </t>
  </si>
  <si>
    <t>18 mm cement plaster in two coats under layer 12 mm thick cement plaster 1:5 (1 cement : 5 coarse sand) finished with a top layer 6 mm thick cement plaster 1:6 (1 cement : 6 fine sand).</t>
  </si>
  <si>
    <t>6 mm cement plaster of mix :                                                                                 1:3 (1 cement : 3 fine sand)</t>
  </si>
  <si>
    <t>Finishing with Deluxe Multi surface paint system for interiors and exteriors using Primer as per manufacturers specifications :                                                                                               Painting wood work with Deluxe Multi Surface Paint of
required shade. Two or more coat applied @ 0.90 ltr/10
sqm over an under coat of primer applied @0.75 ltr/10
sqm of approved brand and manufacture</t>
  </si>
  <si>
    <t>Finishing with Deluxe Multi surface paint system for interiors and exteriors using Primer as per manufacturers specifications :                                                                                               Painting Steel work with Deluxe Multi Surface Paint to
give an even shade. Two or more coat applied @ 0.90 ltr/
10 sqm over an under coat of primer applied @ 0.80 ltr/
10 sqm of approved brand and manufacture</t>
  </si>
  <si>
    <t>Providing and applying white cement based putty of average thickness 1 mm, of approved brand and manufacturer, over the plastered wall surface to prepare the surface even and smooth complete.</t>
  </si>
  <si>
    <t>Providing and applying plaster of paris putty of 2 mm thickness over plastered surface to prepare the surface even and smooth complete</t>
  </si>
  <si>
    <t>Providing and fixing ISI marked flush door shutters conforming to IS : 2202 (Part I) decorative type, core of block board construction with frame of 1st class hard wood and well matched teak 3 ply veneering with vertical grains or cross bands and face veneers on both faces of shutters.                                                                                                                                                                                              35 mm thick including ISI marked Stainless Steel butt hinges with necessary screws</t>
  </si>
  <si>
    <t>Distempering with 1st quality acrylic distemper (ready mixed) having VOC content less than 50 gms/litre, of approved manufacturer, of required shade and colour complete, as per manufacturer's specification.                                                  Two or more coats on new work</t>
  </si>
  <si>
    <t>Finishing with Deluxe Multi surface paint system for interiors and exteriors using Primer as per manufacturers specifications : 13.48.1 Two or more coats applied on walls @ 1.25 ltr/10 sqm over and including one coat of Special primer applied @ 0.75 ltr /10 sqm</t>
  </si>
  <si>
    <t>Providing and fixing circular/ Hexagonal cast iron or M.S. sheet box for ceiling fan clamp, of internal dia 140 mm, 73 mm height, top lid of 1.5 mm thick M.S. sheet with its top surface hacked for proper bonding, top lid shall be screwed into the cast iron/ M.S. sheet box by means of 3.3 mm dia round headed screws, one lock at the corners. Clamp shall be made of 12 mm dia M.S. bar bent to shape as per standard drawing.</t>
  </si>
  <si>
    <t>Steel work welded in built up sections/ framed work, including cutting, hoisting, fixing in position and applying a priming coat of approved steel primer using structural steel etc. as required.                                                                                            In gratings, frames, guard bar, ladder, railings, brackets,
gates and similar works</t>
  </si>
  <si>
    <t>Providing and fixing on wall face unplasticised Rigid PVC rain water pipes conforming to IS : 13592 Type A, including jointing with seal ring conforming to IS : 5382, leaving 10 mm gap for thermal expansion, (i) Single socketed pipes.                       110 mm diameter</t>
  </si>
  <si>
    <t xml:space="preserve">Providing and fixing on wall face unplasticised - PVC moulded fittings/ accessories for unplasticised Rigid PVC rain water pipes conforming to IS : 13592 Type A, including jointing with seal ring conforming to IS : 5382, leaving 10 mm gap for thermal expansion.Single tee with door
12.42.3.1 75x75x75 mm </t>
  </si>
  <si>
    <t xml:space="preserve">Providing and fixing on wall face unplasticised - PVC moulded fittings/ accessories for unplasticised Rigid PVC rain water pipes conforming to IS : 13592 Type A, including jointing with seal ring conforming to IS : 5382, leaving 10 mm gap for thermal expansion.                                                                      Bend 87.5° 110 mm bend </t>
  </si>
  <si>
    <t>Providing and fixing on wall face unplasticised - PVC moulded fittings/ accessories for unplasticised Rigid PVC rain water pipes conforming to IS : 13592 Type A, including jointing with seal ring conforming to IS : 5382, leaving 10 mm gap for thermal expansion.                                                                 Shoe (Plain) 110 mm Shoe</t>
  </si>
  <si>
    <t>Providing and fixing unplasticised -PVC pipe clips of approved design to unplasticised - PVC rain water pipes by means of 50x50x50 mm hard wood plugs, screwed with M.S. screws of required length, including cutting brick work and fixing in cement mortar 1:4 (1 cement : 4 coarse sand) and making good the wall etc. complete.                                               110 mm</t>
  </si>
  <si>
    <t>Providing and fixing to the inlet mouth of rain water pipe cast iron grating 15 cm diameter and weighing not less than 440 grams</t>
  </si>
  <si>
    <t>Making plinth protection 50mm thick of cement concrete 1:3:6 (1 cement : 3 manufactured sand derived from Recycled Concrete Aggregate (RCA) : 6 graded stone aggregate 20 mm nominal size (Recycled Concrete Aggregate (RCA) over 75mm thick bed of dry brick ballast 40 mm nominal size, well rammed and consolidated and grouted with fine sand, including necessary excavation, levelling &amp; dressing &amp; finishing the top smooth</t>
  </si>
  <si>
    <t>Providing and laying water proofing treatment to vertical and horizontal surfaces of depressed portions of W.C., kitchen and the like consisting of</t>
  </si>
  <si>
    <t>Ist course of applying cement slurry @ 4.4 kg/sqm mixed with water proofing compound conforming to IS 2645 in recommended proportions including rounding off junction of vertical and horizontal surface.</t>
  </si>
  <si>
    <t>IInd course of 20 mm cement plaster 1:3 (1 cement : 3 coarse sand) mixed with water proofing compound in recommended proportion including rounding off junction of vertical and horizontal surface</t>
  </si>
  <si>
    <t>IIIrd course of applying blown or residual bitumen applied hot at 1.7 kg. per sqm of area</t>
  </si>
  <si>
    <t>IVth course of 400 micron thick PVC sheet. (Overlaps at joints of PVC sheet should be 100 mm wide and pasted to each other with bitumen @ 1.7 kg/sqm).</t>
  </si>
  <si>
    <t>Providing and laying integral cement based water proofing treatment including preparation of surface as required for treatment of roofs, balconies, terraces etc consisting of following operations:</t>
  </si>
  <si>
    <t>Applying a slurry coat of neat cement using 2.75 kg/sqm of cement admixed with water proofing compound conforming to IS. 2645 and approved by Engineer-in-charge over the RCC slab including adjoining walls upto 300 mm height including cleaning the surface before treatment.</t>
  </si>
  <si>
    <t>Laying brick bats with mortar using broken bricks/brick bats 25 mm to 115 mm size with 50% of cement mortar 1:5 (1 cement : 5 coarse sand) admixed with water proofing compound conforming to IS : 2645 and approved by Engineer_x0002_in-charge over 20 mm thick layer of cement mortar of mix 1:5 (1 cement :5 coarse sand ) admixed with water proofing compound conforming to IS : 2645 and approved by Engineer_x0002_in-charge to required slope and treating similarly the adjoining walls upto 300 mm height including rounding of junctions of walls and slabs.</t>
  </si>
  <si>
    <t>After two days of proper curing applying a second coat of cement slurry using 2.75 kg/ sqm of cement admixed with water proofing compound conforming to IS : 2645 and approved by Engineer-in-charge.</t>
  </si>
  <si>
    <t>Finishing the surface with 20 mm thick jointless cement mortar of mix 1:4 (1 cement :4 coarse sand) admixed with water proofing compound conforming to IS : 2645 and approved by Engineer-in-charge including laying glass fibre cloth of approved quality in top layer of plaster and finally finishing the surface with trowel with neat cement slurry and making pattern of 300x300 mm square 3 mm deep.</t>
  </si>
  <si>
    <t>The whole terrace so finished shall be flooded with water for a minimum period of two weeks for curing and for final test.“All above operations to be done in order and as directed and specified by the Engineer-in-Charge :</t>
  </si>
  <si>
    <t>Supplying and stacking of good earth at site including royalty and carriage upto 5 km lead complete (earth measured in stacks will be reduced by 20% for payment).</t>
  </si>
  <si>
    <t>Supplying and stacking sludge at site including royalty and carriage upto 5 km lead complete (sludge measured in stacks will be reduced by 8% for payment).</t>
  </si>
  <si>
    <t>Grassing with selection No. 1 Doob grass including watering and maintenance of the lawn for 30 days or more till the grass forms a thick lawn, free from weeds and fit for mowing including supplying good earth, if needed (the grass and good earth shall be paid for separately).                                         With grass Turf</t>
  </si>
  <si>
    <t>Supplying &amp; Stacking of Selection No.1 doob grass turf at site fresh &amp; free from weeds having proper roots in green including loading, unloading, carriage and all taxes paid etc.and as per direction of officer in charge.</t>
  </si>
  <si>
    <t>Spreading of sludge, dump manure and/or good earth in required thickness as per direction of officer-in-charge (cost of sludge, dump manure and/ or good earth to be paid separately).</t>
  </si>
  <si>
    <t>Providing and fixing factory made uPVC white colour casement/ Casement cum fixed glazed door comprising of uPVC multi-chambered frame, sash and mullion (where ever required) extruded profiles duly reinforced with 1.60 ± 0.2 mm thick galvanized mild steel section made from roll forming process of required length (shape &amp; size according to uPVC profile), uPVC extruded glazing beads of appropriate dimension, EPDM gasket, zinc alloy (white powder coated) 3D hinges and one handle on each side of panels along with zinc plated mild steel multi point locking having transmission gear, cylinder with keeps and one side key, G.I fasteners 100 x 8 mm size for fixing frame to finished wall and necessary stainless steel screws, etc. Profile of frame &amp; sash shall be mitred cut and fusion welded at all corners, mullion (if required) shall be also fusion welded including drilling of holes for fixing hardware's and drainage of water etc. After fixing frame the gap between frame and adjacent finished wall shall be filled with weather proof silicon sealent over backer rod of required size and of approved quality, all complete as per approved drawing &amp; direction of Engineer-in-Charge. (Single / double glass panes and silicon sealent shall be paid separately). Variation in profile dimension higher side shall be accepted but no extra payment on this account shall be made.
Note: For uPVC frame, sash and mullion extruded profiles minus 5% tolerance in dimension i.e. in depth &amp; width of profile shall be acceptable. Casement door with 3D hinges made of (big series) frame 67 x 64 mm &amp; sash 67 x 110 mm both having wall thickness of 2.3 ± 0.2 mm and single glazing bead / double glazing bead of appropriate dimension. (Area of door upto 2.00 sqm)</t>
  </si>
  <si>
    <t>Providing and fixing factory made uPVC white colour sliding glazed window upto 1.50 m in height dimension comprising of uPVC multi-chambered frame with in-built roller track and sash extruded profiles duly reinforced with 1.60 ± 0.2 mm thick galvanized mild steel section made from roll forming process of required length (shape &amp; size according to uPVC profile), appropriate dimension of uPVC extruded glazing beads and uPVC extruded interlocks, EPDM gasket, wool pile, zinc alloy (white powder coated) touch locks with hook, zinc alloy body with single nylon rollers (weight bearing capacity to be 40 kg), G.I fasteners 100 x 8 mm size for fixing frame to finished wall and necessary stainless steel screws etc. Profile of frame &amp; sash shall be mitred cut and fusion welded at all corners, including drilling of holes for fixing hardware's and drainage of water etc. After fixing frame the gap between frame and adjacent finished wall shall be filled with weather proof silicon sealent over backer rod of required size and of approved quality, all complete as per approved drawing &amp; direction of Engineer-in-Charge. (Single / double glass panes, wire mesh and silicon sealent shall be paid separately). Variation in profile dimension in higher side shall be accepted but no extra payment on this account shall be made. Note: For uPVC frame and sash extruded profiles minus 5% tolerance in dimension i.e. in depth &amp; width of profile shall be acceptable.Two track two panels sliding window made of (small series)
frame 52 x 44 mm &amp;sash 32 x 60 mm both having wall
thickness of 1.9 ± 0.2 mm and single glazing bead of
appropriate dimension. (Area of window upto 1.75 sqm)</t>
  </si>
  <si>
    <t>Providing and fixing factory made uPVC white colour fixed glazed windows/ ventilators comprising of uPVC multi-chambered frame and mullion (where ever required) extruded profiles duly reinforced with 1.60 ± 0.2 mm thick galvanized mild steel section made from roll forming process of required length (shape &amp; size according to uPVC profile), , uPVC extruded glazing beads of appropriate dimension, EPDM gasket, G.I fasteners 100 x 8 mm size for fixing frame to finished wall, plastic packers, plastic caps and necessary stainless steel screws etc. Profile of frame shall be mitred cut and fusion welded at all corners, mullion (if required) shall be also fusion welded including drilling of holes for fixing hardware's and drainage of water etc. After fixing frame the gap between frame and adjacent finished wall shall be filled with weather proof silicon sealant over backer rod of required size and of approved quality, all complete as per approved drawing &amp; direction of Engineer-in-Charge. (Single / double glass panes and silicon sealant shall be paid separately). Variation in profile dimension in higher side shall be accepted but no extra payment on this account shall be made. Note: For uPVC frame, sash and mullion extruded profiles minus 5% tolerance in dimension i.e. in depth &amp; width of profile shall be acceptable.                                                Fixed window / ventilator made of (small series) frame 47 x 50 mm &amp; mullion 47 x 68 mm both having wall thickness of 1.9 ± 0.2 mm and single glazing bead of appropriate dimension. (Area upto 0.75 sqm.)</t>
  </si>
  <si>
    <t xml:space="preserve">PHE Work </t>
  </si>
  <si>
    <t>Providing and fixing white vitreous china pedestal type water closet (European type W.C. pan) with seat and lid, 10 litre low level white P.V.C. flushing cistern, including flush pipe, with manually controlled device (handle lever), conforming to IS : 7231, with all fittings and fixtures complete, including cutting and making good the walls and floors wherever required :                                                                           W.C. pan with ISI marked white solid plastic seat and lid</t>
  </si>
  <si>
    <t>Providing and fixing wash basin with C.I. brackets, 15 mm C.P. brass pillar taps, 32 mm C.P. brass waste of standard pattern, including painting of fittings and brackets, cutting and making good the walls wherever require:                                  White Vitreous China Wash basin size 550x400 mm with a pair of 15 mm C.P. brass pillar taps</t>
  </si>
  <si>
    <t xml:space="preserve">Providing and fixing Stainless Steel A ISI 304 (18/8) kitchen sink as per IS:13983 with C.I. brackets and stainless steel plug 40 mm, including painting of fittings and brackets, cutting and making good the walls wherever required : 1 Kitchen sink with drain board 510x1040 mm bowl depth 250 mm </t>
  </si>
  <si>
    <t>Providing and fixing Stainless Steel A ISI 304 (18/8) kitchen sink as per IS:13983 with C.I. brackets and stainless steel plug 40 mm, including painting of fittings and brackets, cutting and making good the walls wherever required : 1 Kitchen sink with drain board 510x1040 mm bowl depth 178 mm</t>
  </si>
  <si>
    <t xml:space="preserve">Providing and fixing P.V.C. waste pipe for sink or wash basin including P.V.C. waste fittings complete.                                       40 mm dia </t>
  </si>
  <si>
    <t>Providing and fixing 600x450 mm beveled edge mirror of superior glass (of approved quality) complete with 6 mm thick hard board ground fixed to wooden cleats with C.P. brass screws and washers complete.</t>
  </si>
  <si>
    <t>Providing and fixing 600x120x5 mm glass shelf with edges round off, supported on anodised aluminium angle frame with C.P. brass brackets and guard rail complete fixed with 40 mm long screws, rawl plugs etc., complete.</t>
  </si>
  <si>
    <t xml:space="preserve">Providing and fixing PTMT Waste Coupling for wash basin and sink, of approved quality and colour.                                                     Waste coupling 38 mm dia of 83 mm length and 77mm breadth, weighing not less than 60 gms </t>
  </si>
  <si>
    <t>Providing and fixing PTMT Bottle Trap for Wash basin and sink. Bottle trap 38 mm single piece moulded with height of270 mm, effective length of tail pipe 260 mm from the
centre of the waste coupling, 77 mm breadth with 25 mm
minimum water seal, weighing not less than 263 gms</t>
  </si>
  <si>
    <t xml:space="preserve">Providing and fixing PTMT towel rail complete with brackets fixed to wooden cleats with CP brass screws with concealed fittings arrangement of approved quality and colour  600 mm long towel rail with total length of 645 mm, width 78 mm and effective height of 88 mm, weighing not less than 190 gms. </t>
  </si>
  <si>
    <t>Providing and fixing uplasticised PVC connection pipe with brass unions :                                                                                                               45 cm length                                                                                                                   15 mm nominal bore</t>
  </si>
  <si>
    <t>Providing and fixing C.P. brass bib cock of approved quality conforming to IS:8931 :                                                                                             15 mm nominal bore</t>
  </si>
  <si>
    <t>Providing and fixing C.P. brass stop cock (concealed) of standard design and of approved make conforming to IS:8931.                                                                                                                          15 mm nominal bore</t>
  </si>
  <si>
    <t>Providing and fixing C.P. brass angle valve for basin mixer and geyser points of approved quality conforming to IS:8931 15mm nominal bore</t>
  </si>
  <si>
    <t>CP Brass Single lever telephonic wall mixer of approved brand</t>
  </si>
  <si>
    <t>Providing and fixing PTMT grating of approved quality and colour.  Circular type  100 mm nominal dia</t>
  </si>
  <si>
    <t>Providing and fixing toilet paper holder :
 C.P. brass each 680.80</t>
  </si>
  <si>
    <t>Providing and fixing on wall face unplasticised Rigid PVC rain water pipes conforming to IS : 13592 Type A, including jointing with seal ring conforming to IS : 5382, leaving 10 mm gap for thermal expansion</t>
  </si>
  <si>
    <t xml:space="preserve">Fixed on walls with clamps 110 mm dia </t>
  </si>
  <si>
    <t>Laid underground including earth work supports</t>
  </si>
  <si>
    <t xml:space="preserve">Laid in the sunken slab of toilets </t>
  </si>
  <si>
    <t xml:space="preserve">75 mm Dia in sunken slab </t>
  </si>
  <si>
    <t>110 mm Bend 110 mm bend</t>
  </si>
  <si>
    <t>Slotted cowl (terminal guard) 100 mm dia</t>
  </si>
  <si>
    <t>Providing and fixing unplasticised -PVC pipe clips of approved design to unplasticised - PVC rain water pipes by means of 50x50x50 mm hard wood plugs, screwed with M.S. screws of required length, including cutting brick work and fixing in cement mortar 1:4 (1 cement : 4 coarse sand) and making good the wall etc. complete.                                                                                               110 mm</t>
  </si>
  <si>
    <t>S.C.I. S&amp;S heel rest sanitary bend 100 mm dia</t>
  </si>
  <si>
    <t>Cutting chases in brick masonry walls for following diameter sand cast iron/centrifugally cast (spun) iron pipes and making good the same with cement concrete 1:3:6 ( 1 cement : 3 coarse sand :6 graded stone aggregate 12.5 mm nominal size), including necessary plaster and pointing in cement mortar 1:4 (1 cement : 4 coarse sand) :</t>
  </si>
  <si>
    <t>75 mm dia</t>
  </si>
  <si>
    <t>50 mm dia</t>
  </si>
  <si>
    <t xml:space="preserve">Providing and fixing square-mouth S.W. gully trap class SP-1 complete with C.I. grating brick masonry chamber with water tight C.I. cover with frame of 300 x300 mm size (inside) the weight of cover to be not less than 4.50 kg and frame to be not less than 2.70 kg as per standard design:100x100 mm size P type                                                                       With common burnt clay F.P.S. (non modular) bricks of class designation 7.5 </t>
  </si>
  <si>
    <t xml:space="preserve">Providing and laying non-pressure NP2 class (light duty) R.C.C. pipes with collars jointed with stiff mixture of cement mortar in the proportion of 1:2 (1 cement : 2 fine sand) including testing of joints etc. complete :                                                150 mm dia. R.C.C. pipe </t>
  </si>
  <si>
    <t>Constructing brick masonry manhole in cement mortar 1:4 ( 1 cement : 4 coarse sand ) with R.C.C. top slab with 1:1.5:3 mix (1 cement : 1.5 coarse sand (zone-III) : 3 graded stone aggregate 20 mm nominal size), foundation concrete 1:4:8 mix (1 cement : 4 coarse sand (zone-III) : 8 graded stone aggregate 40 mm nominal size), inside plastering 12 mm thick with cement mortar 1:3 (1 cement : 3 coarse sand) finished with floating coat of neat cement and making channels in cement concrete 1:2:4 (1 cement : 2 coarse sand : 4 graded stone aggregate 20 mm nominal size) finished with a floating coat of neat cement complete as per standard design :  Inside size 90x80 cm and 45 cm deep including C.I. cover with frame (light duty) 455x610 mm internal dimensions, total weight of cover and frame to be not less than 38 kg (weight of cover 23 kg and weight of frame 15 kg) : With common burnt clay F.P.S. (non modular) bricks of class designation 7.5</t>
  </si>
  <si>
    <t>Extra for depth for manholes : 19.8.1 Size 90x80 cm 19.8.1.1 With common burnt clay F.P.S. (non modular) bricks of class designation 7.5</t>
  </si>
  <si>
    <t>25 mm dia nominal bore</t>
  </si>
  <si>
    <t>40 mm dia nominal bore</t>
  </si>
  <si>
    <t>50 mm dia nominal bore</t>
  </si>
  <si>
    <t>Providing and fixing G.I. Pipes complete with G.I. fittings and clamps, i/c making good the walls etc. concealed pipe, including painting with anti corrosive bitumastic paint, cutting chases and making good the wall :</t>
  </si>
  <si>
    <t>15 mm dia nominal bore</t>
  </si>
  <si>
    <t>20 mm dia nominal bore</t>
  </si>
  <si>
    <t>Providing and fixing G.I. pipes complete with G.I. fittings including trenching and refilling etc.                                                               50 mm dia nominal bore</t>
  </si>
  <si>
    <t>Making connection of G.I. distribution branch with G.I. main of following sizes by providing and fixing tee, including cutting and threading the pipe etc. complete : 18.13.1 25 to 40 mm nominal bore</t>
  </si>
  <si>
    <t>Providing and fixing gun metal gate valve with C.I. wheel of approved quality (screwed end) :</t>
  </si>
  <si>
    <t>25 mm nominal bore</t>
  </si>
  <si>
    <t>50 mm nominal bore</t>
  </si>
  <si>
    <t>Providing and fixing ball valve (brass) of approved quality, High or low pressure, with plastic floats complete                                           25 mm nominal bore</t>
  </si>
  <si>
    <t>Providing and fixing G.I. Union in existing G.I. pipe line, cutting and threading the pipe and making long screws, including excavation, refilling the earth or cutting of wall and making good the same complete wherever required :</t>
  </si>
  <si>
    <t>15 mm nominal bore</t>
  </si>
  <si>
    <t>20 mm nominal bore</t>
  </si>
  <si>
    <t>Providing and placing on terrace (at all floor levels) polyethylene water storage tank, IS : 12701 marked, with cover and suitable locking arrangement and making necessary holes for inlet, outlet and overflow pipes but without fittings and the base support for tank.</t>
  </si>
  <si>
    <t>Per liter</t>
  </si>
  <si>
    <t>Providing and fixing C.P. brass shower rose with 15 or 20 mm inlet :                                                                                                                150 mm diameter</t>
  </si>
  <si>
    <t>Providing and fixing PTMT extension nipple for water tank pipe, fittings of approved quality and colour.                                                        25mm nominal bore, weighing not less than 62 gms</t>
  </si>
  <si>
    <t>Constructing brick masonry manhole in cement mortar 1:4 ( 1 cement : 4 coarse sand ) with R.C.C. top slab with 1:1.5:3 mix (1 cement : 1.5 coarse sand (zone-III) : 3 graded stone aggregate 20 mm nominal size), foundation concrete 1:4:8 mix (1 cement : 4 coarse sand (zone-III) : 8 graded stone aggregate 40 mm nominal size), inside plastering 12 mm thick with cement mortar 1:3 (1 cement : 3 coarse sand) finished with floating coat of neat cement and making channels in cement concrete 1:2:4 (1 cement : 2 coarse sand : 4 graded stone aggregate 20 mm nominal size) finished with a floating coat of neat cement complete as per standard design :                                                                                                             Inside size 90x80 cm and 45 cm deep including C.I. cover
with frame (light duty) 455x610 mm internal dimensions,
total weight of cover and frame to be not less than 38 kg
(weight of cover 23 kg and weight of frame 15 kg) :
 With common burnt clay F.P.S. (non modular)
bricks of class designation 7.5</t>
  </si>
  <si>
    <t xml:space="preserve">Total Amount For PHE Work  </t>
  </si>
  <si>
    <t>FRLS PVC insulated copper conductor single 
	core cable in surface/ recessed steel conduit 
alongwith 1 No. 4 sq. mm FRLS PVC Insulated 
copper conductor single core cable for loop
earthing as required. Wiring for Light plug with 2 x 1.5 sq.mm FR PVC insulated copper conductor single core cable in recessed PVC conduit along with 1 NO. 1.5 &amp;rim FR PVC insulated copper conductor single core cable for loop earthing as required.</t>
  </si>
  <si>
    <t>PVC insulated copper conductor single core cable in surface/ recessed medium class PVC conduit along with 1 No. 4 sq.mm FR PVC insulated copper conductor single core loop earthing as required.</t>
  </si>
  <si>
    <t>Wiring for circuit wiring with 2x 1.5 sq. mm FR PVC insulated copper conductor single core 
cable in recessed PVC conduit alongwith 1 No.
1.5 sq.mm FR PVC insulated copper conductor single core cable as required.</t>
  </si>
  <si>
    <t>Wiring for circuit/ submain wiring along with with following sizes of FR PVC insulated copper conductor single core cable in surface/ recessed PVC conduit as required. 4X6 sq.mm + 	2X6 sq mm earth wire</t>
  </si>
  <si>
    <t xml:space="preserve">supplying and fixing of following sizes of medium class PVC conduit along with accessories in surface/recess including cutting of wall and making good the same in case of recesses conduit as required.
  </t>
  </si>
  <si>
    <t>20 mm dia</t>
  </si>
  <si>
    <t>25 mm dia</t>
  </si>
  <si>
    <t xml:space="preserve">Supplying and fixing metal box of following sizes (nominal size) on surface or in recess with suitable size of phenolic laminated sheet cover in the front including painting etc. as required. 
</t>
  </si>
  <si>
    <t>75mmx75mmx6Omm deep</t>
  </si>
  <si>
    <t>150mmx150mmx6Omm deep</t>
  </si>
  <si>
    <t>Supplying and fixing following size/modules. GI box along with modular base &amp; cover plate for modular fitting in recess etc. as required. 75mm X 75mm</t>
  </si>
  <si>
    <t>point/ call bell point with 1.5 sq.mm FRLS PVC 	insulated copper conductor single core cable in surface / recessed medium class PVC conduit, with piano type switch, phenolic laminated sheet, suitable size M.S. box and earthing the point with 1.5 sq.mm. FRLS PVC insulated
copper conductor single core cable etc. as required. :Group A</t>
  </si>
  <si>
    <t xml:space="preserve">Supplying and fixing following modular switch/ 
socket on existing modular plate and switch box 
including connections but excluding modular plate etc. as required.
3 pin 5/6 amp socket outlet
 </t>
  </si>
  <si>
    <t>Supplying and fixing suitable size GI box with modular plate and cover in recess including providing and fixing modulartype 3 pin 6 pin 5/6 amp socket outlet &amp; 6A switch connection, etc  as required</t>
  </si>
  <si>
    <t>Point</t>
  </si>
  <si>
    <t>Supplying and fixing suitable size GI box with modular plate and cover in recess including  providing and fixing modular 6 pin 15/16 amp socket outlet &amp; 15/16 amp modular switch includinngg connection, painting etc. as required</t>
  </si>
  <si>
    <t xml:space="preserve">Supplying and drawing 2 pair 0.5 sqmm FR PVC insulated copper conductor telephone cable through existing PVC conduit including  connection testing as required. </t>
  </si>
  <si>
    <t xml:space="preserve">Supplying and fixing modular type 2 pin telephone socket on the existing modular plate &amp; box including making connection, excluding modular plate as required. </t>
  </si>
  <si>
    <t>Supplying and drawing low resistance co axail TV cable RJ-6 grade 0.7 mm solid copper conductor PE insulated shielded with fine tinned copper braid and protected with PVC sheth PVC conduit etc. as required.</t>
  </si>
  <si>
    <t>Supplying and fixing modular TV antenna socket on the existing modular plate &amp;metal box excluding modular plate etc. as required</t>
  </si>
  <si>
    <t>Supplying and fixing stepped type electronic fan regulator on the existing modular plate switch box including making connection but excluding excluding modular plate etc. as required</t>
  </si>
  <si>
    <t>Supplying and fixing modular blanking plate on the existing modular plate &amp; box excluding modular plate etc. as required</t>
  </si>
  <si>
    <t xml:space="preserve">Supplying fitting fixing of call bell suitable for DC/AC single phase 230 volts complete etc as  required
</t>
  </si>
  <si>
    <t>Supplying and fixing of the 10 pair Krone Type 	Sub distribution frame box including connection testing etc as required</t>
  </si>
  <si>
    <t>Supplying and fixing of the 20 pair Krone Type 	Sub distribution frame box including connection testing etc as required</t>
  </si>
  <si>
    <t>Supplying and drawing 10 pair 0.5 sqmm ATC unarmoured PVC insulated copper conductor telephone cable through PVC conduit including connection , testing etc. as required</t>
  </si>
  <si>
    <t>anneated bare copper conductor gas injected physical polyethelene foam insulated wrapped with Aluminium Mylar tape and ATC wirebraided jelly flooded and PVC jacketing RG II co axial TV cable in the existing conduit etc as required.</t>
  </si>
  <si>
    <t>horizontal type three pole and neutral sheet 
steel MCB DB 440 Volts in recess, complete 
with tinned copper bulbar, neutral bus bar, 
earthbar din bar, detachable gland plate,interconnection including painting, earthing etc.as required.                                            	4 way (4+12),DOuble door</t>
  </si>
  <si>
    <t>Supplying and fixing of following rating C series MCB/ISOLATOR suitable for lighting and other loads of following poles in existing MCB DB complete with connections, testing and 24 commissioning etc. as required.</t>
  </si>
  <si>
    <t xml:space="preserve">6 Amp. To 32 Amp 240 volt SP MCB </t>
  </si>
  <si>
    <t xml:space="preserve">32 Amp TPN MCB </t>
  </si>
  <si>
    <t xml:space="preserve">commissioning of floor mounted cubicle type electrical panel with hinged cover in 14 SWG CRCA sheet enclosure complete with vertical and horizontal member of MS flat iron dust and vermin proof. The panel will be complete with interconnection as per electrical drawing supplied by consultant earthing painting civil work etc as per specifications all connecting material will be supplied by contractor. the panel will have the following mounting.
C/O switch 1No, 32A TPN MCB 6 NO, Three Phase Electronic Energy Meter, 1 no with required size copper busbar, insulator and  measuring instrument with selector switch including all connecting material etc as
required. </t>
  </si>
  <si>
    <t>Providing and fixing MV danger notice plate of 200mm x 150mm made of mild steel at least 2mm thick and vitreous enamelled white on both sides and with inscription in single red colour on front side etc as required</t>
  </si>
  <si>
    <t>Earthing with G I earth pipe 4.5 m long 40mm dia including accessories and providing masonary enclosure with cover plate having llocking arrangement and watering pipe etc. 
including providing salt and charcoal for pipe earth electrode as required</t>
  </si>
  <si>
    <t xml:space="preserve">Providing and laying earth connections from earth electrode with 4 mm Dia G.I. pipe from earth electrode as required. </t>
  </si>
  <si>
    <t>Providing and ifing of-25mm x 35mm GI strip on surface for connection etc as required</t>
  </si>
  <si>
    <t xml:space="preserve">providing and fixing 4mm dia copper wire on surface or in recess for loop earthing etc as required. </t>
  </si>
  <si>
    <t>Installation, testing and commissioning of ceiling fan and regulator including wiring the down rod of standard length upto 30cm with 1.5 sqmm FRPVC insulated copper conductor single core cable etc as required</t>
  </si>
  <si>
    <t xml:space="preserve">installation of exhaust fan upto 450mm sweep in the existing opening, including making the opening to suit the size of the above fan,making good the damage, connection, testing,commissioning etc as required. </t>
  </si>
  <si>
    <t>Installation, testing and commissioning of prewired flourescent fitting of all types complete with accessories and tubes etc. directly on ceiling/ wall including connections with 1.5 sq.mm FRPVC insulated, copper conductor single core cable etc. as required</t>
  </si>
  <si>
    <t>Erection of wall bracket/ceiling fittings of all sizes and shapes containing upto two GLS lamps per fittings, complete with all accessories including connections etc. as required</t>
  </si>
  <si>
    <t>prewired flouresent fitting of all types complete with accessories and tubes etc. including supplying and fixing ball and socket arrangement 2 nos down rod of 20mm dia 
x1.6mm thick steel conduit upto 30 cm length painting and connections with 1.5 sqmm PVC insulated copper conductor single core cable etc. as required.</t>
  </si>
  <si>
    <t xml:space="preserve">Prevoious rate for Non DSR item </t>
  </si>
  <si>
    <t xml:space="preserve">1200 mm sweep A.C. celling fan suitable for 250 volts 50 HZ  complete Sheriff Crown Model of Khaltan Make or equivalent approved make. </t>
  </si>
  <si>
    <t>300 mm sweep A.-C heavy duty Exhaust fan of 
Havells make or Equivalent approved make</t>
  </si>
  <si>
    <t xml:space="preserve">1x4'-36 WATTS decorative sleek luminaire with 
electronic ballast complete with all accessories and tube Cat. No LHDF 32136025 Havells or Equivalent approved </t>
  </si>
  <si>
    <t>Decorative round downlighter luminaire CAT No LHDC 73122670 of Havels or equivalent make with lamp etc as required</t>
  </si>
  <si>
    <t>2x4'28 watts flouresent fixture complete with all accessories and tube Cat no TCS 350/228 C5 HF Philips/ Bajaj/ Crompton Equivalent approved make.</t>
  </si>
  <si>
    <t>2x4'40 watts flouresent fixture with electronic ballast complete with all accessories and tube CAT No TCW 097/236 Philips/ Bajaj/ Crompton Equivalent approved make</t>
  </si>
  <si>
    <t xml:space="preserve">Supplying and fixing Decorative chandeleir fitting with lamp approved by consultant/Architect/project Engg etc.as required. Basic cost not less than Rs. 5000.00 </t>
  </si>
  <si>
    <t xml:space="preserve">Total Amount For Electrical Work  </t>
  </si>
  <si>
    <t xml:space="preserve">Construction of Balance work for Trasnit Camp(Field Hostel)  At 400/220/132 KV Saharsa S/S 
</t>
  </si>
  <si>
    <t>As given in sheet "Civil works"</t>
  </si>
  <si>
    <t>As given in sheet "PHE Work"</t>
  </si>
  <si>
    <t>As given in sheet "Electrical Work"</t>
  </si>
  <si>
    <t xml:space="preserve">Balance work of Construction of Transit Camp / field hostel at 400/220/132 KV Saharsa Substation
</t>
  </si>
  <si>
    <t>Total amount for the work "Construction of Balance work for Trasnit Camp(Field Hostel)  At 400/220/132 KV Saharsa S/S "</t>
  </si>
  <si>
    <t>DSR 2023</t>
  </si>
  <si>
    <t>20.2.1</t>
  </si>
  <si>
    <t>2.6.1</t>
  </si>
  <si>
    <t>2.25A</t>
  </si>
  <si>
    <t>2.34.1</t>
  </si>
  <si>
    <t>2.35.2.1</t>
  </si>
  <si>
    <t>2.35.3.1</t>
  </si>
  <si>
    <t>4.1.8</t>
  </si>
  <si>
    <t>4.1.4</t>
  </si>
  <si>
    <t>5.33.1.1</t>
  </si>
  <si>
    <t>5.33.2</t>
  </si>
  <si>
    <t>5.22.6A</t>
  </si>
  <si>
    <t>5.9.1</t>
  </si>
  <si>
    <t>5.9.3</t>
  </si>
  <si>
    <t>5.9.5</t>
  </si>
  <si>
    <t>5.9.6</t>
  </si>
  <si>
    <t>5.9.7</t>
  </si>
  <si>
    <t>5.9.13</t>
  </si>
  <si>
    <t>5.9.4</t>
  </si>
  <si>
    <t>5.9.19</t>
  </si>
  <si>
    <t>4.12 (DSR 2021 +20%)</t>
  </si>
  <si>
    <t>6.1.2</t>
  </si>
  <si>
    <t>6.4.2</t>
  </si>
  <si>
    <t>11.41.2</t>
  </si>
  <si>
    <t>11.46.2</t>
  </si>
  <si>
    <t>11.23.5</t>
  </si>
  <si>
    <t>8.2.2.2</t>
  </si>
  <si>
    <t>6.13.2</t>
  </si>
  <si>
    <t>8.3.1</t>
  </si>
  <si>
    <t>8.3.2</t>
  </si>
  <si>
    <t>9.21.1</t>
  </si>
  <si>
    <t>9.21.3</t>
  </si>
  <si>
    <t>9.70.1</t>
  </si>
  <si>
    <t>9.70.3</t>
  </si>
  <si>
    <t>9.96.2</t>
  </si>
  <si>
    <t>9.97.1</t>
  </si>
  <si>
    <t>9.97.3</t>
  </si>
  <si>
    <t>9.97.4</t>
  </si>
  <si>
    <t>9.97.5</t>
  </si>
  <si>
    <t>10.14.1.1</t>
  </si>
  <si>
    <t>13.4.1</t>
  </si>
  <si>
    <t>13.16.1</t>
  </si>
  <si>
    <t>13.48.2</t>
  </si>
  <si>
    <t>13.48.3</t>
  </si>
  <si>
    <t>9.20.1</t>
  </si>
  <si>
    <t>13.41.1</t>
  </si>
  <si>
    <t>13.48.A.1</t>
  </si>
  <si>
    <t>10.25.2</t>
  </si>
  <si>
    <t>12.41.2</t>
  </si>
  <si>
    <t>12.42.3.1</t>
  </si>
  <si>
    <t>12.42.5.2</t>
  </si>
  <si>
    <t>12.42.6.2</t>
  </si>
  <si>
    <t>12.43.2</t>
  </si>
  <si>
    <t>D</t>
  </si>
  <si>
    <t>E</t>
  </si>
  <si>
    <t>22.7.1</t>
  </si>
  <si>
    <t>2.2 (Horticulture)</t>
  </si>
  <si>
    <t>2.3 (Horticulture)</t>
  </si>
  <si>
    <t>2.10.2 (Horticulture)</t>
  </si>
  <si>
    <t>2.35 (Horticulture)</t>
  </si>
  <si>
    <t>2.8 (Horticulture)</t>
  </si>
  <si>
    <t>9.147 C.1</t>
  </si>
  <si>
    <t xml:space="preserve">DSR21 Rates </t>
  </si>
  <si>
    <t>9.147 D.1</t>
  </si>
  <si>
    <t>9.147 B.1</t>
  </si>
  <si>
    <t>5.5 mm Thick toughened glass Supplying and Fixing)</t>
  </si>
  <si>
    <t>GRC Jali (Supplying and Fixing)</t>
  </si>
  <si>
    <t>Providing and fixing false ceiling at all height including providing and fixing of frame work made of special sections, power pressed from M.S. sheets and galvanized with zinc coating of 120 gms/sqm (both side inclusive) as per IS : 277 and consisting of angle cleats of size 25 mm wide x 1.6 mm thick with flanges of 27 mm and 37mm, at 1200 mm centre to centre, one flange fixed to the ceiling with dash fastener 12.5 mm dia x 50mm long with 6mm dia bolts, other flange of cleat fixed to the angle hangers of 25x10x0.50 mm of required length with nuts &amp; bolts of required size and other end of angle hanger fixed with intermediate G.I. channels 45x15x0.9 mm running at the spacing of 1200 mm centre to centre, to which the ceiling section 0.5 mm thick bottom wedge of 80 mm with tapered flanges of 26 mm each having lips of 10.5 mm, at 450 mm centre to centre, shall be fixed in a direction perpendicular to G.I. intermediate channel with connecting clips made out of 2.64 mm dia x 230 mm long G.I. wire at every junction, including fixing perimeter channels 0.5 mm thick 27 mm high having flanges of 20 mm and 30 mm long, the perimeter of ceiling fixed to wall/partition with the help of rawl plugs at 450 mm centre, with 25mm long dry wall screws @ 230 mm interval, including fixing of gypsum board to ceiling section and perimeter channel with the help of dry wall screws of size 3.5 x 25 mm at 230 mm c/c, including jointing and finishing to a flush finish of tapered and square edges of the board with recommended jointing compound , jointing tapes , finishing with jointing compound in 3 layers covering upto 150 mm on both sides of joint and two coats of primer suitable for board, all as per manufacturer's specification and also including the cost of making openings for light fittings, grills, diffusers, cutouts made with frame of perimeter channels suitably fixed, all complete as per drawings, specification and direction of the Engineer in Charge but excluding the cost of painting with :</t>
  </si>
  <si>
    <t>12.45.3</t>
  </si>
  <si>
    <t>12.5 mm thick tapered edge gypsum moisture resistant board</t>
  </si>
  <si>
    <t>8.26.1</t>
  </si>
  <si>
    <t>8.26 Providing and fixing in wall lining flat pressed three layer (medium density)
particle board or graded wood Pre-laminated one side decorative
lamination and other side balancing lamination Grade I, Type II, IS :
12823 marked, including priming coat on unexposed arrangement and
screws etc. complete :
8.26.1 12 mm thick sqm 1216.35</t>
  </si>
  <si>
    <t>8.28.1</t>
  </si>
  <si>
    <t xml:space="preserve">8.28 Providing and fixing plywood 4 mm thick, one side decorative veneer
conforming to IS: 1328 (type-1), for plain lining / cladding with necessary
screws, including priming coat on unexposed surface with :
8.28.1 Decorative veneer facings of approved manufacture </t>
  </si>
  <si>
    <t>8.30.1</t>
  </si>
  <si>
    <t>8.30 Providing and fixing skirting with Pre-laminated (one side decorative and other side balancing lamination) flat pressed 3 layer or graded particle board (medium density) Grade I, Type II, IS :12823 marked, with necessary fixing arrangements and screws, including drilling necessary holes for rawl plugs etc. and priming coat on unexposed surface complete :
8.30.1 18 mm thick sqm 1723.05</t>
  </si>
  <si>
    <t>12.52.1</t>
  </si>
  <si>
    <t xml:space="preserve">Providing and fixing tiled false ceiling of specified materials of size 595x595 mm in true horizontal level, suspended on inter locking
metal grid of hot dipped galvanized steel sections ( galvanized @ 120 grams/ sqm, both side inclusive) consisting of main "T" runner
with suitably spaced joints to get required length and of size 24x38 mm made from 0.30 mm thick (minimum) sheet, spaced at 1200
mm center to center and cross "T" of size 24x25 mm made of 0.30 mm thick (minimum) sheet, 1200 mm long spaced between main "T" at 600 mm center to center to form a grid of 1200x600 mm and secondary cross "T" of length 600 mm and size 24x25 mm made of 0.30 mm thick (minimum) sheet to be interlocked at middle of the 1200x600 mm panel to form grids of 600x600 mm and wall angle of size 24x24x0.3 mm and laying false ceiling tiles of approved texture in the grid including, required cutting/making, opening for services like diffusers, grills, light fittings, fixtures, smoke detectors etc. Main "T" runners to be suspended from ceiling using GI slotted cleats of size 27 x 37 x 25 x1.6 mm fixed to ceiling with 12.5 mm dia and 50 mm long dash fasteners, 4 mm GI adjustable rods with galvanised butterfly level clips of size 85 x 30 x 0.8 mm spaced at 1200 mm center to center along main T, bottom exposed width of 24 mm of all T-sections shall be pre-painted with polyester paint, all complete for all heights as per specifications, drawings and as directed by Engineer-in-charge. 12.52.1 GI Metal Ceiling Lay in plain Tegular edge Global white color tiles of size 595x595 mm, and 0.5 mm thick with 8 mm drop; made of G I sheet having galvanizing of 100 gms/sqm (both sides inclusive) and electro statically polyester powder coated of thickness 60 microns (minimum), including factory painted after bending. sqm </t>
  </si>
  <si>
    <t xml:space="preserve">Total Amount For Civil Work </t>
  </si>
  <si>
    <t>DSR</t>
  </si>
  <si>
    <t>NON DSR</t>
  </si>
  <si>
    <t>17.2.1</t>
  </si>
  <si>
    <t>17.7.3</t>
  </si>
  <si>
    <t>17.10.1.1</t>
  </si>
  <si>
    <t>17.10.1.4</t>
  </si>
  <si>
    <t>17.28.1.2</t>
  </si>
  <si>
    <t>17.69.2</t>
  </si>
  <si>
    <t>17.70.2</t>
  </si>
  <si>
    <t>17.73.2</t>
  </si>
  <si>
    <t>18.21.2.1</t>
  </si>
  <si>
    <t>18.49.1</t>
  </si>
  <si>
    <t>18.52.1</t>
  </si>
  <si>
    <t>18.53.1</t>
  </si>
  <si>
    <t>7122+15% cp oh</t>
  </si>
  <si>
    <t>18.58.1.1</t>
  </si>
  <si>
    <t>17.34.1</t>
  </si>
  <si>
    <t>12.41.1</t>
  </si>
  <si>
    <t>1640+ 25% cp oh</t>
  </si>
  <si>
    <t>3634+ 20% cp oh</t>
  </si>
  <si>
    <t>17.61.1</t>
  </si>
  <si>
    <t>17.61.2</t>
  </si>
  <si>
    <t>17.61.3</t>
  </si>
  <si>
    <t>19.4.1.1</t>
  </si>
  <si>
    <t>19.6.2</t>
  </si>
  <si>
    <t>19.7.1.1</t>
  </si>
  <si>
    <t>19.8.1.1</t>
  </si>
  <si>
    <t>18.10.3</t>
  </si>
  <si>
    <t>18.10.5</t>
  </si>
  <si>
    <t>18.10.6</t>
  </si>
  <si>
    <t>18.11.1</t>
  </si>
  <si>
    <t>18.11.2</t>
  </si>
  <si>
    <t>18.12.6</t>
  </si>
  <si>
    <t>18.13.1</t>
  </si>
  <si>
    <t>18.17.1</t>
  </si>
  <si>
    <t>18.17.4</t>
  </si>
  <si>
    <t>18.18.3</t>
  </si>
  <si>
    <t>18.47.1</t>
  </si>
  <si>
    <t>18.47.2</t>
  </si>
  <si>
    <t>18.47.3</t>
  </si>
  <si>
    <t>18.47.6</t>
  </si>
  <si>
    <t>18.22.2</t>
  </si>
  <si>
    <t>18.75.3</t>
  </si>
  <si>
    <t>DSR 2022</t>
  </si>
  <si>
    <t xml:space="preserve">Electrical Part </t>
  </si>
  <si>
    <t>1.14.1</t>
  </si>
  <si>
    <t>1.14.9</t>
  </si>
  <si>
    <t>1.21.1</t>
  </si>
  <si>
    <t>1.21.2</t>
  </si>
  <si>
    <t>1.22.1</t>
  </si>
  <si>
    <t>1.22.4</t>
  </si>
  <si>
    <t>1.27.1</t>
  </si>
  <si>
    <t>1.8.1</t>
  </si>
  <si>
    <t>1.24.4</t>
  </si>
  <si>
    <t>1.18.2</t>
  </si>
  <si>
    <t>1.24.3</t>
  </si>
  <si>
    <t>1.24.7</t>
  </si>
  <si>
    <t>2.4.1</t>
  </si>
  <si>
    <t>1706+15% cp oh</t>
  </si>
  <si>
    <t>1601+15% cp oh</t>
  </si>
  <si>
    <t>Rate*100/118 was applied</t>
  </si>
  <si>
    <t>1.50.1</t>
  </si>
  <si>
    <t>delhi jal board 20.1.2</t>
  </si>
  <si>
    <t>Cooling equipment and parts and accessories Split air conditioner including Green AC, Wall mount  godrej Split Air Conditioner, Wall
Mount Type 1.5 Ton 5 Star godrej
(GODREJ 1.5T 5 STAR INVERTER)</t>
  </si>
  <si>
    <t>Cooling equipment and parts and accessories Split air conditioner including Green AC, Ceiling  mount  type) Split Air Conditioner, 
Ceiling Mount Type 1.5 Ton 5 Star                                                                                                           Hitachi /Voltas/Godrej/Ogeneral
(1.5T 5 STAR INVERTER)</t>
  </si>
  <si>
    <t>20.3.1 DELHI JAL BOARD</t>
  </si>
  <si>
    <t>Supply/Fitting/Fixing 450 mm sweep Wall charmy A.C.Wall fan of Khaitan make or Equivalent approved  make.</t>
  </si>
  <si>
    <t>10% CONSIDERED FOR INSTALLATION</t>
  </si>
  <si>
    <t>20.2.1 DELHI JAL BOARD</t>
  </si>
  <si>
    <t>19.8.5 DELHI JAL BOARD</t>
  </si>
  <si>
    <t>LED(COB) Down light with crisp light
throw and high CRI.24 W LED 3000 K Each 1847</t>
  </si>
  <si>
    <t>19.4.2</t>
  </si>
  <si>
    <t>DJB DSR 19.4.2</t>
  </si>
  <si>
    <t>Square Slim surface mounted LED panel 
with premium diffuser to ensure glare free 
&amp; even light distribution 18 W LED 3000 K</t>
  </si>
  <si>
    <t>DJB DSR 19.9.2</t>
  </si>
  <si>
    <t>Providing and fixing LED decorative diffuser 2x2 panel light                                             FLAT 2X2PLR 36/40W</t>
  </si>
  <si>
    <t>DJB DSR 19.10.5</t>
  </si>
  <si>
    <t xml:space="preserve">LED Outdoor Luminaries                                                                               New generation energy saving and environmental friendly long life LED street light made up of pressure die cast aluminum housing with high efficient LED as lighting source and PC cover having TOP Opening separate driver 
compartment with IP66 protection and impact resistance of IK07.                                                                                                                                 45W LED </t>
  </si>
  <si>
    <t>DJAL BOARD 19.8.5</t>
  </si>
  <si>
    <t xml:space="preserve"> SUPPLYING AND FIXING LED(COB) Down light with crisp light
throw and high CRI. 19.8.5 MKT Rates 24 W LED 3000 K Each </t>
  </si>
  <si>
    <t>10% EXTRA FOR INSTALLATION</t>
  </si>
  <si>
    <t>Geyser</t>
  </si>
  <si>
    <t>Rate (Rs.)</t>
  </si>
  <si>
    <t>Rate(Rs.)</t>
  </si>
  <si>
    <t xml:space="preserve">BOQ for Construction of Balance work for Transit Camp (Field Hostel)  At 400/220/132 KV Saharsa S/S </t>
  </si>
  <si>
    <t>RFX. No. 5002003531 NIT-445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</si>
</sst>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0.00_);_(* \(#,##0.00\);_(* &quot;-&quot;??_);_(@_)"/>
    <numFmt numFmtId="165" formatCode="[$-409]d\-mmm\-yyyy;@"/>
    <numFmt numFmtId="166" formatCode="_(&quot;$&quot;* #,##0.00_);_(&quot;$&quot;* \(#,##0.00\);_(&quot;$&quot;* &quot;-&quot;??_);_(@_)"/>
    <numFmt numFmtId="167" formatCode="0.00;[Red]0.00"/>
    <numFmt numFmtId="168" formatCode="_ * #,##0_ ;_ * \-#,##0_ ;_ * &quot;-&quot;??_ ;_ @_ "/>
  </numFmts>
  <fonts count="34" x14ac:knownFonts="1">
    <font>
      <sz val="11"/>
      <color theme="1"/>
      <name val="Calibri"/>
      <family val="2"/>
      <scheme val="minor"/>
    </font>
    <font>
      <u/>
      <sz val="11"/>
      <color theme="10"/>
      <name val="Calibri"/>
      <family val="2"/>
    </font>
    <font>
      <sz val="10"/>
      <name val="Arial"/>
      <family val="2"/>
    </font>
    <font>
      <b/>
      <sz val="16"/>
      <color indexed="12"/>
      <name val="Book Antiqua"/>
      <family val="1"/>
    </font>
    <font>
      <sz val="11"/>
      <color indexed="12"/>
      <name val="Book Antiqua"/>
      <family val="1"/>
    </font>
    <font>
      <sz val="11"/>
      <color theme="1"/>
      <name val="Times New Roman"/>
      <family val="1"/>
    </font>
    <font>
      <sz val="11"/>
      <name val="Times New Roman"/>
      <family val="1"/>
    </font>
    <font>
      <sz val="11"/>
      <color rgb="FF339933"/>
      <name val="Times New Roman"/>
      <family val="1"/>
    </font>
    <font>
      <b/>
      <sz val="11"/>
      <color theme="1"/>
      <name val="Times New Roman"/>
      <family val="1"/>
    </font>
    <font>
      <sz val="11"/>
      <name val="Calibri"/>
      <family val="2"/>
      <scheme val="minor"/>
    </font>
    <font>
      <sz val="10"/>
      <name val="Arial"/>
      <family val="2"/>
    </font>
    <font>
      <u/>
      <sz val="10"/>
      <color theme="10"/>
      <name val="Arial"/>
      <family val="2"/>
    </font>
    <font>
      <sz val="12"/>
      <name val="Calibri"/>
      <family val="2"/>
      <scheme val="minor"/>
    </font>
    <font>
      <b/>
      <sz val="11"/>
      <name val="Calibri"/>
      <family val="2"/>
      <scheme val="minor"/>
    </font>
    <font>
      <b/>
      <u/>
      <sz val="12"/>
      <color rgb="FF0070C0"/>
      <name val="Times New Roman"/>
      <family val="1"/>
    </font>
    <font>
      <sz val="10"/>
      <name val="Times New Roman"/>
      <family val="1"/>
    </font>
    <font>
      <sz val="11"/>
      <color theme="1"/>
      <name val="Calibri"/>
      <family val="2"/>
      <scheme val="minor"/>
    </font>
    <font>
      <b/>
      <i/>
      <sz val="12"/>
      <color theme="1"/>
      <name val="Calibri"/>
      <family val="2"/>
      <scheme val="minor"/>
    </font>
    <font>
      <sz val="11"/>
      <color theme="1"/>
      <name val="Calibri"/>
      <family val="2"/>
      <scheme val="minor"/>
    </font>
    <font>
      <b/>
      <sz val="11"/>
      <name val="Times New Roman"/>
      <family val="1"/>
    </font>
    <font>
      <b/>
      <sz val="12"/>
      <color theme="1"/>
      <name val="Times New Roman"/>
      <family val="1"/>
    </font>
    <font>
      <sz val="10"/>
      <name val="Arial"/>
      <family val="2"/>
    </font>
    <font>
      <u/>
      <sz val="10"/>
      <color indexed="12"/>
      <name val="Arial"/>
      <family val="2"/>
    </font>
    <font>
      <sz val="10"/>
      <color theme="1"/>
      <name val="Times New Roman"/>
      <family val="1"/>
    </font>
    <font>
      <sz val="11"/>
      <color rgb="FFFF0000"/>
      <name val="Calibri"/>
      <family val="2"/>
      <scheme val="minor"/>
    </font>
    <font>
      <b/>
      <sz val="11"/>
      <color theme="1"/>
      <name val="Calibri"/>
      <family val="2"/>
      <scheme val="minor"/>
    </font>
    <font>
      <b/>
      <sz val="14"/>
      <color theme="1"/>
      <name val="Times New Roman"/>
      <family val="1"/>
    </font>
    <font>
      <b/>
      <sz val="14"/>
      <color theme="1"/>
      <name val="Calibri"/>
      <family val="2"/>
      <scheme val="minor"/>
    </font>
    <font>
      <sz val="11"/>
      <color rgb="FFFF0000"/>
      <name val="Times New Roman"/>
      <family val="1"/>
    </font>
    <font>
      <b/>
      <sz val="22"/>
      <color theme="1"/>
      <name val="Times New Roman"/>
      <family val="1"/>
    </font>
    <font>
      <b/>
      <sz val="9"/>
      <color theme="1"/>
      <name val="Times New Roman"/>
      <family val="1"/>
    </font>
    <font>
      <b/>
      <sz val="10"/>
      <color theme="1"/>
      <name val="Calibri"/>
      <family val="2"/>
      <scheme val="minor"/>
    </font>
    <font>
      <b/>
      <sz val="14"/>
      <name val="Times New Roman"/>
      <family val="1"/>
    </font>
    <font>
      <b/>
      <sz val="14"/>
      <name val="Calibri"/>
      <family val="2"/>
      <scheme val="minor"/>
    </font>
  </fonts>
  <fills count="8">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14">
    <xf numFmtId="0" fontId="0" fillId="0" borderId="0"/>
    <xf numFmtId="0" fontId="1" fillId="0" borderId="0" applyNumberFormat="0" applyFill="0" applyBorder="0" applyAlignment="0" applyProtection="0">
      <alignment vertical="top"/>
      <protection locked="0"/>
    </xf>
    <xf numFmtId="0" fontId="2" fillId="0" borderId="0"/>
    <xf numFmtId="0" fontId="10" fillId="0" borderId="0"/>
    <xf numFmtId="43" fontId="2" fillId="0" borderId="0" applyFont="0" applyFill="0" applyBorder="0" applyAlignment="0" applyProtection="0"/>
    <xf numFmtId="0" fontId="11" fillId="0" borderId="0" applyNumberFormat="0" applyFill="0" applyBorder="0" applyAlignment="0" applyProtection="0"/>
    <xf numFmtId="0" fontId="2" fillId="0" borderId="0"/>
    <xf numFmtId="166" fontId="16" fillId="0" borderId="0" applyFont="0" applyFill="0" applyBorder="0" applyAlignment="0" applyProtection="0"/>
    <xf numFmtId="0" fontId="18" fillId="0" borderId="0"/>
    <xf numFmtId="0" fontId="21" fillId="0" borderId="0"/>
    <xf numFmtId="0" fontId="22" fillId="0" borderId="0" applyNumberFormat="0" applyFill="0" applyBorder="0" applyAlignment="0" applyProtection="0">
      <alignment vertical="top"/>
      <protection locked="0"/>
    </xf>
    <xf numFmtId="0" fontId="2" fillId="0" borderId="0"/>
    <xf numFmtId="164" fontId="2" fillId="0" borderId="0" applyFont="0" applyFill="0" applyBorder="0" applyAlignment="0" applyProtection="0"/>
    <xf numFmtId="43" fontId="16" fillId="0" borderId="0" applyFont="0" applyFill="0" applyBorder="0" applyAlignment="0" applyProtection="0"/>
  </cellStyleXfs>
  <cellXfs count="212">
    <xf numFmtId="0" fontId="0" fillId="0" borderId="0" xfId="0"/>
    <xf numFmtId="0" fontId="0" fillId="5" borderId="0" xfId="0" applyFill="1"/>
    <xf numFmtId="0" fontId="0" fillId="0" borderId="0" xfId="0" applyProtection="1">
      <protection hidden="1"/>
    </xf>
    <xf numFmtId="2" fontId="8" fillId="0" borderId="10" xfId="0" applyNumberFormat="1" applyFont="1" applyBorder="1" applyAlignment="1" applyProtection="1">
      <alignment horizontal="center"/>
      <protection hidden="1"/>
    </xf>
    <xf numFmtId="0" fontId="5" fillId="5" borderId="0" xfId="0" applyFont="1" applyFill="1" applyProtection="1">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0" fontId="5" fillId="0" borderId="0" xfId="0" applyFont="1" applyAlignment="1" applyProtection="1">
      <alignment horizontal="right"/>
      <protection hidden="1"/>
    </xf>
    <xf numFmtId="0" fontId="9" fillId="0" borderId="0" xfId="0" applyFont="1"/>
    <xf numFmtId="0" fontId="9" fillId="6" borderId="10" xfId="0" applyFont="1" applyFill="1" applyBorder="1" applyProtection="1">
      <protection locked="0" hidden="1"/>
    </xf>
    <xf numFmtId="0" fontId="0" fillId="5" borderId="0" xfId="0" applyFill="1" applyProtection="1">
      <protection hidden="1"/>
    </xf>
    <xf numFmtId="0" fontId="0" fillId="0" borderId="10" xfId="0" applyBorder="1" applyProtection="1">
      <protection hidden="1"/>
    </xf>
    <xf numFmtId="0" fontId="0" fillId="0" borderId="18" xfId="0" applyBorder="1" applyProtection="1">
      <protection hidden="1"/>
    </xf>
    <xf numFmtId="4" fontId="0" fillId="0" borderId="10" xfId="0" applyNumberFormat="1" applyBorder="1" applyProtection="1">
      <protection hidden="1"/>
    </xf>
    <xf numFmtId="3" fontId="8" fillId="0" borderId="10" xfId="0" applyNumberFormat="1" applyFont="1" applyBorder="1" applyAlignment="1" applyProtection="1">
      <alignment horizontal="center"/>
      <protection hidden="1"/>
    </xf>
    <xf numFmtId="0" fontId="15" fillId="0" borderId="10" xfId="0" applyFont="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0" fillId="5" borderId="2" xfId="0" applyFill="1" applyBorder="1" applyProtection="1">
      <protection hidden="1"/>
    </xf>
    <xf numFmtId="0" fontId="0" fillId="5" borderId="3" xfId="0" applyFill="1" applyBorder="1" applyProtection="1">
      <protection hidden="1"/>
    </xf>
    <xf numFmtId="0" fontId="0" fillId="0" borderId="3" xfId="0" applyBorder="1" applyProtection="1">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5" xfId="0" applyBorder="1" applyAlignment="1" applyProtection="1">
      <alignment horizontal="center" vertical="center"/>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164" fontId="0" fillId="0" borderId="10" xfId="0" applyNumberFormat="1" applyBorder="1" applyProtection="1">
      <protection hidden="1"/>
    </xf>
    <xf numFmtId="0" fontId="9" fillId="0" borderId="10" xfId="0" applyFont="1" applyBorder="1" applyAlignment="1" applyProtection="1">
      <alignment horizontal="center" vertical="center" wrapText="1"/>
      <protection hidden="1"/>
    </xf>
    <xf numFmtId="0" fontId="8" fillId="0" borderId="10" xfId="0" applyFont="1" applyBorder="1" applyAlignment="1" applyProtection="1">
      <alignment horizontal="center"/>
      <protection hidden="1"/>
    </xf>
    <xf numFmtId="2" fontId="8" fillId="0" borderId="10" xfId="0" applyNumberFormat="1" applyFont="1" applyBorder="1" applyAlignment="1" applyProtection="1">
      <alignment horizontal="center" vertical="center"/>
      <protection hidden="1"/>
    </xf>
    <xf numFmtId="0" fontId="8" fillId="7" borderId="10" xfId="0" applyFont="1" applyFill="1" applyBorder="1" applyAlignment="1" applyProtection="1">
      <alignment horizontal="center" vertical="center"/>
      <protection hidden="1"/>
    </xf>
    <xf numFmtId="0" fontId="5" fillId="7" borderId="10" xfId="0" applyFont="1" applyFill="1" applyBorder="1" applyAlignment="1" applyProtection="1">
      <alignment wrapText="1"/>
      <protection hidden="1"/>
    </xf>
    <xf numFmtId="167" fontId="8" fillId="7" borderId="10" xfId="0" applyNumberFormat="1" applyFont="1" applyFill="1" applyBorder="1" applyAlignment="1" applyProtection="1">
      <alignment horizontal="center" vertical="center"/>
      <protection hidden="1"/>
    </xf>
    <xf numFmtId="2" fontId="8" fillId="7" borderId="10" xfId="0" applyNumberFormat="1" applyFont="1" applyFill="1" applyBorder="1" applyAlignment="1" applyProtection="1">
      <alignment horizontal="center" vertical="center"/>
      <protection hidden="1"/>
    </xf>
    <xf numFmtId="0" fontId="0" fillId="7" borderId="0" xfId="0" applyFill="1" applyProtection="1">
      <protection hidden="1"/>
    </xf>
    <xf numFmtId="0" fontId="5" fillId="7" borderId="10" xfId="0" applyFont="1" applyFill="1" applyBorder="1" applyAlignment="1" applyProtection="1">
      <alignment vertical="top" wrapText="1"/>
      <protection hidden="1"/>
    </xf>
    <xf numFmtId="0" fontId="19" fillId="7" borderId="10" xfId="0" applyFont="1" applyFill="1" applyBorder="1" applyAlignment="1" applyProtection="1">
      <alignment horizontal="center" vertical="center"/>
      <protection hidden="1"/>
    </xf>
    <xf numFmtId="0" fontId="6" fillId="7" borderId="10" xfId="0" applyFont="1" applyFill="1" applyBorder="1" applyAlignment="1" applyProtection="1">
      <alignment wrapText="1"/>
      <protection hidden="1"/>
    </xf>
    <xf numFmtId="167" fontId="19" fillId="7" borderId="10" xfId="0" applyNumberFormat="1" applyFont="1" applyFill="1" applyBorder="1" applyAlignment="1" applyProtection="1">
      <alignment horizontal="center" vertical="center"/>
      <protection hidden="1"/>
    </xf>
    <xf numFmtId="2" fontId="19" fillId="7" borderId="10" xfId="0" applyNumberFormat="1" applyFont="1" applyFill="1" applyBorder="1" applyAlignment="1" applyProtection="1">
      <alignment horizontal="center" vertical="center"/>
      <protection hidden="1"/>
    </xf>
    <xf numFmtId="0" fontId="5" fillId="7" borderId="10" xfId="0" applyFont="1" applyFill="1" applyBorder="1" applyAlignment="1" applyProtection="1">
      <alignment vertical="center" wrapText="1"/>
      <protection hidden="1"/>
    </xf>
    <xf numFmtId="0" fontId="8" fillId="0" borderId="19" xfId="0" applyFont="1" applyBorder="1" applyAlignment="1" applyProtection="1">
      <alignment horizontal="center" vertical="center"/>
      <protection hidden="1"/>
    </xf>
    <xf numFmtId="0" fontId="25" fillId="7" borderId="10" xfId="0" applyFont="1" applyFill="1" applyBorder="1" applyAlignment="1" applyProtection="1">
      <alignment horizontal="center" vertical="center"/>
      <protection hidden="1"/>
    </xf>
    <xf numFmtId="0" fontId="13" fillId="7" borderId="10" xfId="0" applyFont="1" applyFill="1" applyBorder="1" applyAlignment="1" applyProtection="1">
      <alignment horizontal="center" vertical="center"/>
      <protection hidden="1"/>
    </xf>
    <xf numFmtId="167" fontId="13" fillId="7" borderId="10" xfId="0" applyNumberFormat="1" applyFont="1" applyFill="1" applyBorder="1" applyAlignment="1" applyProtection="1">
      <alignment horizontal="center" vertical="center"/>
      <protection hidden="1"/>
    </xf>
    <xf numFmtId="10" fontId="13" fillId="6" borderId="10" xfId="3" applyNumberFormat="1" applyFont="1" applyFill="1" applyBorder="1" applyAlignment="1" applyProtection="1">
      <alignment horizontal="center" vertical="center"/>
      <protection locked="0"/>
    </xf>
    <xf numFmtId="10" fontId="0" fillId="6" borderId="10" xfId="0" applyNumberFormat="1" applyFill="1" applyBorder="1" applyProtection="1">
      <protection locked="0"/>
    </xf>
    <xf numFmtId="0" fontId="26" fillId="7" borderId="10" xfId="0" applyFont="1" applyFill="1" applyBorder="1" applyAlignment="1" applyProtection="1">
      <alignment horizontal="center" vertical="center"/>
      <protection hidden="1"/>
    </xf>
    <xf numFmtId="0" fontId="26" fillId="7" borderId="10" xfId="0" applyFont="1" applyFill="1" applyBorder="1" applyAlignment="1" applyProtection="1">
      <alignment horizontal="center" vertical="center" wrapText="1"/>
      <protection hidden="1"/>
    </xf>
    <xf numFmtId="0" fontId="20" fillId="7" borderId="10" xfId="0" applyFont="1" applyFill="1" applyBorder="1" applyProtection="1">
      <protection hidden="1"/>
    </xf>
    <xf numFmtId="0" fontId="26" fillId="7" borderId="10" xfId="0" applyFont="1" applyFill="1" applyBorder="1" applyProtection="1">
      <protection hidden="1"/>
    </xf>
    <xf numFmtId="167" fontId="26" fillId="7" borderId="10" xfId="0" applyNumberFormat="1" applyFont="1" applyFill="1" applyBorder="1" applyProtection="1">
      <protection hidden="1"/>
    </xf>
    <xf numFmtId="0" fontId="8" fillId="7" borderId="10" xfId="0" applyFont="1" applyFill="1" applyBorder="1" applyAlignment="1" applyProtection="1">
      <alignment horizontal="center" vertical="center" wrapText="1"/>
      <protection hidden="1"/>
    </xf>
    <xf numFmtId="0" fontId="0" fillId="7" borderId="0" xfId="0" applyFill="1" applyAlignment="1" applyProtection="1">
      <alignment wrapText="1"/>
      <protection hidden="1"/>
    </xf>
    <xf numFmtId="0" fontId="8" fillId="7" borderId="12" xfId="0" applyFont="1" applyFill="1" applyBorder="1" applyAlignment="1" applyProtection="1">
      <alignment horizontal="center" vertical="center"/>
      <protection hidden="1"/>
    </xf>
    <xf numFmtId="167" fontId="8" fillId="7" borderId="12" xfId="0" applyNumberFormat="1" applyFont="1" applyFill="1" applyBorder="1" applyAlignment="1" applyProtection="1">
      <alignment horizontal="center" vertical="center"/>
      <protection hidden="1"/>
    </xf>
    <xf numFmtId="0" fontId="5" fillId="7" borderId="0" xfId="0" applyFont="1" applyFill="1" applyAlignment="1" applyProtection="1">
      <alignment vertical="top" wrapText="1"/>
      <protection hidden="1"/>
    </xf>
    <xf numFmtId="0" fontId="19" fillId="7" borderId="10" xfId="0" applyFont="1" applyFill="1" applyBorder="1" applyAlignment="1" applyProtection="1">
      <alignment horizontal="center" vertical="center" wrapText="1"/>
      <protection hidden="1"/>
    </xf>
    <xf numFmtId="0" fontId="15" fillId="7" borderId="10" xfId="0" applyFont="1" applyFill="1" applyBorder="1" applyAlignment="1" applyProtection="1">
      <alignment vertical="top" wrapText="1"/>
      <protection hidden="1"/>
    </xf>
    <xf numFmtId="0" fontId="23" fillId="7" borderId="10" xfId="0" applyFont="1" applyFill="1" applyBorder="1" applyAlignment="1" applyProtection="1">
      <alignment vertical="top" wrapText="1"/>
      <protection hidden="1"/>
    </xf>
    <xf numFmtId="0" fontId="30" fillId="7" borderId="10" xfId="0" applyFont="1" applyFill="1" applyBorder="1" applyAlignment="1" applyProtection="1">
      <alignment horizontal="center" vertical="center" wrapText="1"/>
      <protection hidden="1"/>
    </xf>
    <xf numFmtId="0" fontId="30" fillId="7" borderId="12" xfId="0" applyFont="1" applyFill="1" applyBorder="1" applyAlignment="1" applyProtection="1">
      <alignment horizontal="center" vertical="center" wrapText="1"/>
      <protection hidden="1"/>
    </xf>
    <xf numFmtId="0" fontId="5" fillId="7" borderId="0" xfId="0" applyFont="1" applyFill="1" applyAlignment="1" applyProtection="1">
      <alignment wrapText="1"/>
      <protection hidden="1"/>
    </xf>
    <xf numFmtId="0" fontId="0" fillId="7" borderId="10" xfId="0" applyFill="1" applyBorder="1" applyProtection="1">
      <protection hidden="1"/>
    </xf>
    <xf numFmtId="0" fontId="5" fillId="7" borderId="10" xfId="0" applyFont="1" applyFill="1" applyBorder="1" applyAlignment="1" applyProtection="1">
      <alignment horizontal="left" vertical="center" wrapText="1"/>
      <protection hidden="1"/>
    </xf>
    <xf numFmtId="2" fontId="25" fillId="7" borderId="10" xfId="0" applyNumberFormat="1" applyFont="1" applyFill="1" applyBorder="1" applyAlignment="1" applyProtection="1">
      <alignment horizontal="center" vertical="center"/>
      <protection hidden="1"/>
    </xf>
    <xf numFmtId="0" fontId="5" fillId="7" borderId="15" xfId="0" applyFont="1" applyFill="1" applyBorder="1" applyAlignment="1" applyProtection="1">
      <alignment vertical="top" wrapText="1"/>
      <protection hidden="1"/>
    </xf>
    <xf numFmtId="0" fontId="25" fillId="7" borderId="15" xfId="0" applyFont="1" applyFill="1" applyBorder="1" applyAlignment="1" applyProtection="1">
      <alignment horizontal="center" vertical="center"/>
      <protection hidden="1"/>
    </xf>
    <xf numFmtId="0" fontId="0" fillId="0" borderId="15" xfId="0" applyBorder="1" applyProtection="1">
      <protection hidden="1"/>
    </xf>
    <xf numFmtId="0" fontId="30" fillId="0" borderId="15" xfId="0" applyFont="1" applyBorder="1" applyAlignment="1" applyProtection="1">
      <alignment horizontal="center" vertical="center" wrapText="1"/>
      <protection hidden="1"/>
    </xf>
    <xf numFmtId="0" fontId="23" fillId="0" borderId="15" xfId="0" applyFont="1" applyBorder="1" applyAlignment="1" applyProtection="1">
      <alignment vertical="top" wrapText="1"/>
      <protection hidden="1"/>
    </xf>
    <xf numFmtId="0" fontId="8" fillId="0" borderId="15" xfId="0" applyFont="1" applyBorder="1" applyAlignment="1" applyProtection="1">
      <alignment horizontal="center" vertical="center"/>
      <protection hidden="1"/>
    </xf>
    <xf numFmtId="0" fontId="0" fillId="7" borderId="15" xfId="0" applyFill="1" applyBorder="1" applyProtection="1">
      <protection hidden="1"/>
    </xf>
    <xf numFmtId="0" fontId="0" fillId="0" borderId="19" xfId="0" applyBorder="1" applyProtection="1">
      <protection hidden="1"/>
    </xf>
    <xf numFmtId="0" fontId="8" fillId="0" borderId="19" xfId="0" applyFont="1" applyBorder="1" applyAlignment="1" applyProtection="1">
      <alignment horizontal="center"/>
      <protection hidden="1"/>
    </xf>
    <xf numFmtId="0" fontId="9" fillId="7" borderId="0" xfId="0" applyFont="1" applyFill="1" applyProtection="1">
      <protection hidden="1"/>
    </xf>
    <xf numFmtId="0" fontId="32" fillId="7" borderId="10" xfId="0" applyFont="1" applyFill="1" applyBorder="1" applyAlignment="1" applyProtection="1">
      <alignment horizontal="center" vertical="center"/>
      <protection hidden="1"/>
    </xf>
    <xf numFmtId="0" fontId="32" fillId="7" borderId="10" xfId="0" applyFont="1" applyFill="1" applyBorder="1" applyAlignment="1" applyProtection="1">
      <alignment horizontal="center" vertical="center" wrapText="1"/>
      <protection hidden="1"/>
    </xf>
    <xf numFmtId="0" fontId="6" fillId="7" borderId="0" xfId="0" applyFont="1" applyFill="1" applyAlignment="1" applyProtection="1">
      <alignment horizontal="center" vertical="center"/>
      <protection hidden="1"/>
    </xf>
    <xf numFmtId="0" fontId="33" fillId="7" borderId="10" xfId="0" applyFont="1" applyFill="1" applyBorder="1" applyAlignment="1" applyProtection="1">
      <alignment horizontal="center" vertical="center"/>
      <protection hidden="1"/>
    </xf>
    <xf numFmtId="0" fontId="9" fillId="7" borderId="10" xfId="0" applyFont="1" applyFill="1" applyBorder="1" applyAlignment="1" applyProtection="1">
      <alignment vertical="top" wrapText="1"/>
      <protection hidden="1"/>
    </xf>
    <xf numFmtId="2" fontId="13" fillId="7" borderId="10" xfId="0" applyNumberFormat="1" applyFont="1" applyFill="1" applyBorder="1" applyAlignment="1" applyProtection="1">
      <alignment horizontal="center" vertical="center"/>
      <protection hidden="1"/>
    </xf>
    <xf numFmtId="0" fontId="9" fillId="7" borderId="0" xfId="0" applyFont="1" applyFill="1" applyAlignment="1" applyProtection="1">
      <alignment wrapText="1"/>
      <protection hidden="1"/>
    </xf>
    <xf numFmtId="0" fontId="9" fillId="7" borderId="10" xfId="0" applyFont="1" applyFill="1" applyBorder="1" applyAlignment="1" applyProtection="1">
      <alignment vertical="center" wrapText="1"/>
      <protection hidden="1"/>
    </xf>
    <xf numFmtId="0" fontId="13" fillId="7" borderId="10" xfId="0" applyFont="1" applyFill="1" applyBorder="1" applyAlignment="1" applyProtection="1">
      <alignment horizontal="center" vertical="center" wrapText="1"/>
      <protection hidden="1"/>
    </xf>
    <xf numFmtId="0" fontId="9" fillId="7" borderId="10" xfId="0" applyFont="1" applyFill="1" applyBorder="1" applyAlignment="1" applyProtection="1">
      <alignment horizontal="center" vertical="top" wrapText="1"/>
      <protection hidden="1"/>
    </xf>
    <xf numFmtId="0" fontId="9" fillId="7" borderId="10" xfId="0" applyFont="1" applyFill="1" applyBorder="1" applyAlignment="1" applyProtection="1">
      <alignment horizontal="left" vertical="top" wrapText="1"/>
      <protection hidden="1"/>
    </xf>
    <xf numFmtId="0" fontId="9" fillId="7" borderId="10" xfId="0" applyFont="1" applyFill="1" applyBorder="1" applyProtection="1">
      <protection hidden="1"/>
    </xf>
    <xf numFmtId="0" fontId="13" fillId="7" borderId="12" xfId="0" applyFont="1" applyFill="1" applyBorder="1" applyAlignment="1" applyProtection="1">
      <alignment horizontal="center" vertical="center"/>
      <protection hidden="1"/>
    </xf>
    <xf numFmtId="0" fontId="9" fillId="7" borderId="12" xfId="0" applyFont="1" applyFill="1" applyBorder="1" applyAlignment="1" applyProtection="1">
      <alignment vertical="top" wrapText="1"/>
      <protection hidden="1"/>
    </xf>
    <xf numFmtId="2" fontId="13" fillId="7" borderId="12" xfId="0" applyNumberFormat="1" applyFont="1" applyFill="1" applyBorder="1" applyAlignment="1" applyProtection="1">
      <alignment horizontal="center" vertical="center"/>
      <protection hidden="1"/>
    </xf>
    <xf numFmtId="0" fontId="0" fillId="7" borderId="0" xfId="0" applyFill="1" applyAlignment="1" applyProtection="1">
      <alignment vertical="center" wrapText="1"/>
      <protection hidden="1"/>
    </xf>
    <xf numFmtId="0" fontId="0" fillId="7" borderId="0" xfId="0" applyFill="1" applyAlignment="1" applyProtection="1">
      <alignment horizontal="center" vertical="center" wrapText="1"/>
      <protection hidden="1"/>
    </xf>
    <xf numFmtId="0" fontId="5" fillId="7" borderId="0" xfId="0" applyFont="1" applyFill="1" applyAlignment="1" applyProtection="1">
      <alignment horizontal="center" vertical="center" wrapText="1"/>
      <protection hidden="1"/>
    </xf>
    <xf numFmtId="0" fontId="28" fillId="7" borderId="0" xfId="0" applyFont="1" applyFill="1" applyAlignment="1" applyProtection="1">
      <alignment horizontal="center" vertical="center" wrapText="1"/>
      <protection hidden="1"/>
    </xf>
    <xf numFmtId="0" fontId="27" fillId="7" borderId="10" xfId="0" applyFont="1" applyFill="1" applyBorder="1" applyAlignment="1" applyProtection="1">
      <alignment horizontal="center" vertical="center" wrapText="1"/>
      <protection hidden="1"/>
    </xf>
    <xf numFmtId="0" fontId="24" fillId="7" borderId="0" xfId="0" applyFont="1" applyFill="1" applyAlignment="1" applyProtection="1">
      <alignment horizontal="center" vertical="center" wrapText="1"/>
      <protection hidden="1"/>
    </xf>
    <xf numFmtId="0" fontId="25" fillId="7" borderId="10" xfId="0" applyFont="1" applyFill="1" applyBorder="1" applyAlignment="1" applyProtection="1">
      <alignment horizontal="center" vertical="center" wrapText="1"/>
      <protection hidden="1"/>
    </xf>
    <xf numFmtId="2" fontId="25" fillId="7" borderId="10" xfId="0" applyNumberFormat="1" applyFont="1" applyFill="1" applyBorder="1" applyAlignment="1" applyProtection="1">
      <alignment horizontal="center" vertical="center" wrapText="1"/>
      <protection hidden="1"/>
    </xf>
    <xf numFmtId="0" fontId="0" fillId="7" borderId="10" xfId="0" applyFill="1" applyBorder="1" applyAlignment="1" applyProtection="1">
      <alignment vertical="center" wrapText="1"/>
      <protection hidden="1"/>
    </xf>
    <xf numFmtId="167" fontId="25" fillId="7" borderId="10" xfId="0" applyNumberFormat="1" applyFont="1" applyFill="1" applyBorder="1" applyAlignment="1" applyProtection="1">
      <alignment horizontal="center" vertical="center" wrapText="1"/>
      <protection hidden="1"/>
    </xf>
    <xf numFmtId="0" fontId="0" fillId="7" borderId="10" xfId="0" applyFill="1" applyBorder="1" applyAlignment="1" applyProtection="1">
      <alignment horizontal="left" vertical="center" wrapText="1"/>
      <protection hidden="1"/>
    </xf>
    <xf numFmtId="0" fontId="31" fillId="7" borderId="10" xfId="0" applyFont="1" applyFill="1" applyBorder="1" applyAlignment="1" applyProtection="1">
      <alignment horizontal="center" vertical="center" wrapText="1"/>
      <protection hidden="1"/>
    </xf>
    <xf numFmtId="2" fontId="13" fillId="7" borderId="10" xfId="0" applyNumberFormat="1" applyFont="1" applyFill="1" applyBorder="1" applyAlignment="1" applyProtection="1">
      <alignment horizontal="center" vertical="center" wrapText="1"/>
      <protection hidden="1"/>
    </xf>
    <xf numFmtId="0" fontId="0" fillId="7" borderId="0" xfId="0" applyFill="1" applyAlignment="1" applyProtection="1">
      <alignment horizontal="left" vertical="center" wrapText="1"/>
      <protection hidden="1"/>
    </xf>
    <xf numFmtId="0" fontId="24" fillId="7" borderId="0" xfId="0" applyFont="1" applyFill="1" applyAlignment="1" applyProtection="1">
      <alignment vertical="center" wrapText="1"/>
      <protection hidden="1"/>
    </xf>
    <xf numFmtId="0" fontId="25" fillId="7" borderId="15" xfId="0" applyFont="1" applyFill="1" applyBorder="1" applyAlignment="1" applyProtection="1">
      <alignment horizontal="center" vertical="center" wrapText="1"/>
      <protection hidden="1"/>
    </xf>
    <xf numFmtId="168" fontId="27" fillId="7" borderId="10" xfId="13" applyNumberFormat="1" applyFont="1" applyFill="1" applyBorder="1" applyAlignment="1" applyProtection="1">
      <alignment horizontal="center" vertical="center" wrapText="1"/>
      <protection hidden="1"/>
    </xf>
    <xf numFmtId="0" fontId="25" fillId="7" borderId="12" xfId="0" applyFont="1" applyFill="1" applyBorder="1" applyAlignment="1" applyProtection="1">
      <alignment horizontal="center" vertical="center" wrapText="1"/>
      <protection hidden="1"/>
    </xf>
    <xf numFmtId="0" fontId="0" fillId="7" borderId="12" xfId="0" applyFill="1" applyBorder="1" applyAlignment="1" applyProtection="1">
      <alignment vertical="center" wrapText="1"/>
      <protection hidden="1"/>
    </xf>
    <xf numFmtId="2" fontId="25" fillId="7" borderId="12" xfId="0" applyNumberFormat="1" applyFont="1" applyFill="1" applyBorder="1" applyAlignment="1" applyProtection="1">
      <alignment horizontal="center" vertical="center" wrapText="1"/>
      <protection hidden="1"/>
    </xf>
    <xf numFmtId="0" fontId="14" fillId="0" borderId="0" xfId="0" applyFont="1" applyAlignment="1">
      <alignment horizontal="left" vertical="top" wrapText="1"/>
    </xf>
    <xf numFmtId="0" fontId="14" fillId="0" borderId="0" xfId="0" applyFont="1" applyAlignment="1">
      <alignment horizontal="left" vertical="top"/>
    </xf>
    <xf numFmtId="0" fontId="0" fillId="4" borderId="5" xfId="0" applyFill="1" applyBorder="1" applyAlignment="1" applyProtection="1">
      <alignment horizontal="center"/>
      <protection hidden="1"/>
    </xf>
    <xf numFmtId="0" fontId="0" fillId="4" borderId="0" xfId="0" applyFill="1" applyAlignment="1" applyProtection="1">
      <alignment horizontal="center"/>
      <protection hidden="1"/>
    </xf>
    <xf numFmtId="0" fontId="0" fillId="4" borderId="6" xfId="0" applyFill="1" applyBorder="1" applyAlignment="1" applyProtection="1">
      <alignment horizontal="center"/>
      <protection hidden="1"/>
    </xf>
    <xf numFmtId="0" fontId="0" fillId="3" borderId="5" xfId="0" applyFill="1" applyBorder="1" applyAlignment="1" applyProtection="1">
      <alignment horizontal="center" wrapText="1"/>
      <protection hidden="1"/>
    </xf>
    <xf numFmtId="0" fontId="0" fillId="3" borderId="0" xfId="0" applyFill="1" applyAlignment="1" applyProtection="1">
      <alignment horizontal="center" wrapText="1"/>
      <protection hidden="1"/>
    </xf>
    <xf numFmtId="0" fontId="0" fillId="3" borderId="6" xfId="0" applyFill="1" applyBorder="1" applyAlignment="1" applyProtection="1">
      <alignment horizontal="center" wrapText="1"/>
      <protection hidden="1"/>
    </xf>
    <xf numFmtId="0" fontId="3" fillId="0" borderId="5" xfId="2" applyFont="1" applyBorder="1" applyAlignment="1" applyProtection="1">
      <alignment horizontal="right" vertical="center"/>
      <protection hidden="1"/>
    </xf>
    <xf numFmtId="0" fontId="3" fillId="0" borderId="0" xfId="2" applyFont="1" applyAlignment="1" applyProtection="1">
      <alignment horizontal="right" vertical="center"/>
      <protection hidden="1"/>
    </xf>
    <xf numFmtId="0" fontId="4" fillId="0" borderId="5" xfId="2" applyFont="1" applyBorder="1" applyAlignment="1" applyProtection="1">
      <alignment horizontal="right" vertical="center"/>
      <protection hidden="1"/>
    </xf>
    <xf numFmtId="0" fontId="4" fillId="0" borderId="0" xfId="2" applyFont="1" applyAlignment="1" applyProtection="1">
      <alignment horizontal="right" vertical="center"/>
      <protection hidden="1"/>
    </xf>
    <xf numFmtId="0" fontId="1" fillId="5" borderId="5" xfId="1" applyFill="1" applyBorder="1" applyAlignment="1" applyProtection="1">
      <alignment horizontal="center"/>
      <protection hidden="1"/>
    </xf>
    <xf numFmtId="0" fontId="1" fillId="5" borderId="0" xfId="1" applyFill="1" applyBorder="1" applyAlignment="1" applyProtection="1">
      <alignment horizontal="center"/>
      <protection hidden="1"/>
    </xf>
    <xf numFmtId="0" fontId="1" fillId="5" borderId="6" xfId="1" applyFill="1" applyBorder="1" applyAlignment="1" applyProtection="1">
      <alignment horizontal="center"/>
      <protection hidden="1"/>
    </xf>
    <xf numFmtId="0" fontId="0" fillId="3" borderId="0" xfId="0" applyFill="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0" borderId="10" xfId="0" applyBorder="1" applyAlignment="1">
      <alignment horizontal="center"/>
    </xf>
    <xf numFmtId="0" fontId="9" fillId="6" borderId="10" xfId="0" applyFont="1" applyFill="1" applyBorder="1" applyAlignment="1" applyProtection="1">
      <alignment horizontal="center"/>
      <protection locked="0" hidden="1"/>
    </xf>
    <xf numFmtId="165" fontId="9" fillId="6" borderId="10" xfId="0" applyNumberFormat="1" applyFont="1" applyFill="1" applyBorder="1" applyAlignment="1" applyProtection="1">
      <alignment horizontal="center"/>
      <protection locked="0" hidden="1"/>
    </xf>
    <xf numFmtId="0" fontId="0" fillId="0" borderId="10" xfId="0" applyBorder="1" applyAlignment="1">
      <alignment horizontal="center" vertical="center"/>
    </xf>
    <xf numFmtId="0" fontId="9" fillId="6" borderId="10" xfId="0" applyFont="1" applyFill="1" applyBorder="1" applyAlignment="1" applyProtection="1">
      <alignment horizontal="center" vertical="center"/>
      <protection locked="0"/>
    </xf>
    <xf numFmtId="0" fontId="9" fillId="6" borderId="10" xfId="0" applyFont="1" applyFill="1" applyBorder="1" applyAlignment="1" applyProtection="1">
      <alignment horizontal="center"/>
      <protection locked="0"/>
    </xf>
    <xf numFmtId="0" fontId="9" fillId="6" borderId="12" xfId="0" applyFont="1" applyFill="1" applyBorder="1" applyAlignment="1" applyProtection="1">
      <alignment horizontal="center"/>
      <protection locked="0"/>
    </xf>
    <xf numFmtId="0" fontId="0" fillId="2" borderId="0" xfId="0" applyFill="1" applyAlignment="1">
      <alignment horizontal="center" wrapText="1"/>
    </xf>
    <xf numFmtId="0" fontId="0" fillId="4" borderId="0" xfId="0" applyFill="1" applyAlignment="1">
      <alignment horizont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9" fillId="6" borderId="10" xfId="0" applyFont="1" applyFill="1" applyBorder="1" applyAlignment="1" applyProtection="1">
      <alignment horizontal="center" vertical="center" wrapText="1"/>
      <protection locked="0"/>
    </xf>
    <xf numFmtId="0" fontId="8" fillId="0" borderId="15" xfId="0" applyFont="1" applyBorder="1" applyAlignment="1" applyProtection="1">
      <alignment horizontal="center" vertical="center"/>
      <protection hidden="1"/>
    </xf>
    <xf numFmtId="0" fontId="8" fillId="0" borderId="15" xfId="0" applyFont="1" applyBorder="1" applyAlignment="1" applyProtection="1">
      <alignment horizontal="center"/>
      <protection hidden="1"/>
    </xf>
    <xf numFmtId="0" fontId="8" fillId="0" borderId="11"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0" fillId="7" borderId="18" xfId="0" applyFill="1" applyBorder="1" applyAlignment="1" applyProtection="1">
      <alignment horizontal="center" vertical="center" wrapText="1"/>
      <protection hidden="1"/>
    </xf>
    <xf numFmtId="0" fontId="8" fillId="7" borderId="12" xfId="0" applyFont="1" applyFill="1" applyBorder="1" applyAlignment="1" applyProtection="1">
      <alignment horizontal="center" vertical="center"/>
      <protection hidden="1"/>
    </xf>
    <xf numFmtId="0" fontId="8" fillId="7" borderId="16" xfId="0" applyFont="1" applyFill="1" applyBorder="1" applyAlignment="1" applyProtection="1">
      <alignment horizontal="center" vertical="center"/>
      <protection hidden="1"/>
    </xf>
    <xf numFmtId="0" fontId="8" fillId="7" borderId="17" xfId="0" applyFont="1" applyFill="1" applyBorder="1" applyAlignment="1" applyProtection="1">
      <alignment horizontal="center" vertical="center"/>
      <protection hidden="1"/>
    </xf>
    <xf numFmtId="0" fontId="8" fillId="7" borderId="10" xfId="0" applyFont="1" applyFill="1" applyBorder="1" applyAlignment="1" applyProtection="1">
      <alignment horizontal="center" vertical="center"/>
      <protection hidden="1"/>
    </xf>
    <xf numFmtId="167" fontId="8" fillId="7" borderId="10" xfId="0" applyNumberFormat="1" applyFont="1" applyFill="1" applyBorder="1" applyAlignment="1" applyProtection="1">
      <alignment horizontal="center" vertical="center"/>
      <protection hidden="1"/>
    </xf>
    <xf numFmtId="167" fontId="8" fillId="7" borderId="12" xfId="0" applyNumberFormat="1" applyFont="1" applyFill="1" applyBorder="1" applyAlignment="1" applyProtection="1">
      <alignment horizontal="center" vertical="center"/>
      <protection hidden="1"/>
    </xf>
    <xf numFmtId="167" fontId="8" fillId="7" borderId="16" xfId="0" applyNumberFormat="1" applyFont="1" applyFill="1" applyBorder="1" applyAlignment="1" applyProtection="1">
      <alignment horizontal="center" vertical="center"/>
      <protection hidden="1"/>
    </xf>
    <xf numFmtId="167" fontId="8" fillId="7" borderId="17" xfId="0" applyNumberFormat="1" applyFont="1" applyFill="1" applyBorder="1" applyAlignment="1" applyProtection="1">
      <alignment horizontal="center" vertical="center"/>
      <protection hidden="1"/>
    </xf>
    <xf numFmtId="2" fontId="8" fillId="7" borderId="10" xfId="0" applyNumberFormat="1" applyFont="1" applyFill="1" applyBorder="1" applyAlignment="1" applyProtection="1">
      <alignment horizontal="center" vertical="center"/>
      <protection hidden="1"/>
    </xf>
    <xf numFmtId="0" fontId="26" fillId="7" borderId="1" xfId="0" applyFont="1" applyFill="1" applyBorder="1" applyAlignment="1" applyProtection="1">
      <alignment horizontal="center" wrapText="1"/>
      <protection hidden="1"/>
    </xf>
    <xf numFmtId="0" fontId="26" fillId="7" borderId="11" xfId="0" applyFont="1" applyFill="1" applyBorder="1" applyAlignment="1" applyProtection="1">
      <alignment horizontal="center"/>
      <protection hidden="1"/>
    </xf>
    <xf numFmtId="0" fontId="26" fillId="7" borderId="13" xfId="0" applyFont="1" applyFill="1" applyBorder="1" applyAlignment="1" applyProtection="1">
      <alignment horizontal="center"/>
      <protection hidden="1"/>
    </xf>
    <xf numFmtId="2" fontId="8" fillId="7" borderId="12" xfId="0" applyNumberFormat="1" applyFont="1" applyFill="1" applyBorder="1" applyAlignment="1" applyProtection="1">
      <alignment horizontal="center" vertical="center"/>
      <protection hidden="1"/>
    </xf>
    <xf numFmtId="2" fontId="8" fillId="7" borderId="16" xfId="0" applyNumberFormat="1" applyFont="1" applyFill="1" applyBorder="1" applyAlignment="1" applyProtection="1">
      <alignment horizontal="center" vertical="center"/>
      <protection hidden="1"/>
    </xf>
    <xf numFmtId="2" fontId="8" fillId="7" borderId="17" xfId="0" applyNumberFormat="1" applyFont="1" applyFill="1" applyBorder="1" applyAlignment="1" applyProtection="1">
      <alignment horizontal="center" vertical="center"/>
      <protection hidden="1"/>
    </xf>
    <xf numFmtId="0" fontId="32" fillId="7" borderId="1" xfId="0" applyFont="1" applyFill="1" applyBorder="1" applyAlignment="1" applyProtection="1">
      <alignment horizontal="center" wrapText="1"/>
      <protection hidden="1"/>
    </xf>
    <xf numFmtId="0" fontId="32" fillId="7" borderId="11" xfId="0" applyFont="1" applyFill="1" applyBorder="1" applyAlignment="1" applyProtection="1">
      <alignment horizontal="center" vertical="center"/>
      <protection hidden="1"/>
    </xf>
    <xf numFmtId="0" fontId="32" fillId="7" borderId="15" xfId="0" applyFont="1" applyFill="1" applyBorder="1" applyAlignment="1" applyProtection="1">
      <alignment horizontal="center" vertical="center"/>
      <protection hidden="1"/>
    </xf>
    <xf numFmtId="0" fontId="32" fillId="7" borderId="13" xfId="0" applyFont="1" applyFill="1" applyBorder="1" applyAlignment="1" applyProtection="1">
      <alignment horizontal="center" vertical="center"/>
      <protection hidden="1"/>
    </xf>
    <xf numFmtId="0" fontId="19" fillId="7" borderId="10" xfId="0" applyFont="1" applyFill="1" applyBorder="1" applyAlignment="1" applyProtection="1">
      <alignment horizontal="center" vertical="center"/>
      <protection hidden="1"/>
    </xf>
    <xf numFmtId="0" fontId="29" fillId="7" borderId="1" xfId="0" applyFont="1" applyFill="1" applyBorder="1" applyAlignment="1" applyProtection="1">
      <alignment horizontal="center" vertical="center" wrapText="1"/>
      <protection hidden="1"/>
    </xf>
    <xf numFmtId="0" fontId="26" fillId="7" borderId="11" xfId="0" applyFont="1" applyFill="1" applyBorder="1" applyAlignment="1" applyProtection="1">
      <alignment horizontal="center" vertical="center" wrapText="1"/>
      <protection hidden="1"/>
    </xf>
    <xf numFmtId="0" fontId="26" fillId="7" borderId="15" xfId="0" applyFont="1" applyFill="1" applyBorder="1" applyAlignment="1" applyProtection="1">
      <alignment horizontal="center" vertical="center" wrapText="1"/>
      <protection hidden="1"/>
    </xf>
    <xf numFmtId="0" fontId="26" fillId="7" borderId="13" xfId="0" applyFont="1" applyFill="1" applyBorder="1" applyAlignment="1" applyProtection="1">
      <alignment horizontal="center" vertical="center" wrapText="1"/>
      <protection hidden="1"/>
    </xf>
    <xf numFmtId="0" fontId="25" fillId="7" borderId="15" xfId="0" applyFont="1" applyFill="1" applyBorder="1" applyAlignment="1" applyProtection="1">
      <alignment horizontal="center" vertical="center" wrapText="1"/>
      <protection hidden="1"/>
    </xf>
    <xf numFmtId="0" fontId="25" fillId="7" borderId="13" xfId="0" applyFont="1" applyFill="1" applyBorder="1" applyAlignment="1" applyProtection="1">
      <alignment horizontal="center" vertical="center" wrapText="1"/>
      <protection hidden="1"/>
    </xf>
    <xf numFmtId="0" fontId="25" fillId="7" borderId="11" xfId="0" applyFont="1" applyFill="1" applyBorder="1" applyAlignment="1" applyProtection="1">
      <alignment horizontal="center" vertical="center" wrapText="1"/>
      <protection hidden="1"/>
    </xf>
    <xf numFmtId="0" fontId="9" fillId="0" borderId="10" xfId="0" applyFont="1" applyBorder="1" applyAlignment="1" applyProtection="1">
      <alignment horizontal="center" vertical="center" wrapText="1"/>
      <protection hidden="1"/>
    </xf>
    <xf numFmtId="0" fontId="6" fillId="6" borderId="11" xfId="0" applyFont="1" applyFill="1" applyBorder="1" applyAlignment="1" applyProtection="1">
      <alignment horizontal="center"/>
      <protection hidden="1"/>
    </xf>
    <xf numFmtId="0" fontId="6" fillId="6" borderId="13" xfId="0" applyFont="1" applyFill="1" applyBorder="1" applyAlignment="1" applyProtection="1">
      <alignment horizont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wrapText="1"/>
      <protection hidden="1"/>
    </xf>
    <xf numFmtId="0" fontId="15" fillId="0" borderId="11"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wrapText="1"/>
      <protection hidden="1"/>
    </xf>
    <xf numFmtId="0" fontId="0" fillId="2" borderId="0" xfId="0" applyFill="1" applyAlignment="1" applyProtection="1">
      <alignment horizontal="center"/>
      <protection hidden="1"/>
    </xf>
    <xf numFmtId="0" fontId="5" fillId="0" borderId="0" xfId="0" applyFont="1" applyAlignment="1" applyProtection="1">
      <alignment horizontal="center"/>
      <protection hidden="1"/>
    </xf>
    <xf numFmtId="0" fontId="13" fillId="0" borderId="10" xfId="3" applyFont="1" applyBorder="1" applyAlignment="1" applyProtection="1">
      <alignment horizontal="center" vertical="center" wrapText="1"/>
      <protection hidden="1"/>
    </xf>
    <xf numFmtId="0" fontId="13" fillId="0" borderId="10" xfId="3" applyFont="1" applyBorder="1" applyAlignment="1" applyProtection="1">
      <alignment horizontal="center" vertical="center"/>
      <protection hidden="1"/>
    </xf>
    <xf numFmtId="0" fontId="5" fillId="0" borderId="14" xfId="0" applyFont="1" applyBorder="1" applyAlignment="1" applyProtection="1">
      <alignment horizontal="center"/>
      <protection hidden="1"/>
    </xf>
    <xf numFmtId="0" fontId="6" fillId="7" borderId="0" xfId="0" applyFont="1" applyFill="1" applyAlignment="1" applyProtection="1">
      <alignment horizontal="center"/>
      <protection hidden="1"/>
    </xf>
    <xf numFmtId="0" fontId="6" fillId="7" borderId="14" xfId="0" applyFont="1" applyFill="1" applyBorder="1" applyAlignment="1" applyProtection="1">
      <alignment horizontal="center"/>
      <protection hidden="1"/>
    </xf>
    <xf numFmtId="0" fontId="15" fillId="0" borderId="15" xfId="0" applyFont="1" applyBorder="1" applyAlignment="1" applyProtection="1">
      <alignment horizontal="center" vertical="center" wrapText="1"/>
      <protection hidden="1"/>
    </xf>
    <xf numFmtId="4" fontId="0" fillId="0" borderId="10" xfId="0" applyNumberFormat="1" applyBorder="1" applyAlignment="1" applyProtection="1">
      <alignment horizontal="center"/>
      <protection hidden="1"/>
    </xf>
    <xf numFmtId="0" fontId="0" fillId="0" borderId="10" xfId="0" applyBorder="1" applyAlignment="1" applyProtection="1">
      <alignment horizontal="center"/>
      <protection hidden="1"/>
    </xf>
    <xf numFmtId="0" fontId="0" fillId="6" borderId="0" xfId="0" applyFill="1" applyAlignment="1" applyProtection="1">
      <alignment horizontal="center"/>
      <protection hidden="1"/>
    </xf>
    <xf numFmtId="0" fontId="9" fillId="0" borderId="10" xfId="3" applyFont="1" applyBorder="1" applyAlignment="1" applyProtection="1">
      <alignment horizontal="center" vertical="center"/>
      <protection hidden="1"/>
    </xf>
    <xf numFmtId="0" fontId="12" fillId="0" borderId="10" xfId="3" applyFont="1" applyBorder="1" applyAlignment="1" applyProtection="1">
      <alignment horizontal="center" vertical="center"/>
      <protection hidden="1"/>
    </xf>
    <xf numFmtId="0" fontId="0" fillId="0" borderId="10" xfId="0" applyBorder="1" applyAlignment="1" applyProtection="1">
      <alignment horizontal="left"/>
      <protection hidden="1"/>
    </xf>
    <xf numFmtId="0" fontId="0" fillId="0" borderId="10" xfId="0" applyBorder="1" applyAlignment="1" applyProtection="1">
      <alignment horizontal="right"/>
      <protection hidden="1"/>
    </xf>
    <xf numFmtId="0" fontId="17" fillId="5" borderId="0" xfId="0" applyFont="1" applyFill="1" applyAlignment="1" applyProtection="1">
      <alignment horizontal="center" wrapText="1"/>
      <protection hidden="1"/>
    </xf>
    <xf numFmtId="0" fontId="5" fillId="6" borderId="10" xfId="0" applyFont="1" applyFill="1" applyBorder="1" applyAlignment="1" applyProtection="1">
      <alignment horizontal="center"/>
      <protection hidden="1"/>
    </xf>
    <xf numFmtId="0" fontId="5" fillId="0" borderId="1" xfId="0" applyFont="1" applyBorder="1" applyAlignment="1" applyProtection="1">
      <alignment horizontal="center"/>
      <protection hidden="1"/>
    </xf>
    <xf numFmtId="0" fontId="8" fillId="0" borderId="10" xfId="0" applyFont="1" applyBorder="1" applyAlignment="1" applyProtection="1">
      <alignment horizontal="center"/>
      <protection hidden="1"/>
    </xf>
    <xf numFmtId="0" fontId="6" fillId="6" borderId="10" xfId="0" applyFont="1" applyFill="1" applyBorder="1" applyAlignment="1" applyProtection="1">
      <alignment horizontal="center"/>
      <protection hidden="1"/>
    </xf>
    <xf numFmtId="0" fontId="5" fillId="2" borderId="0" xfId="0" applyFont="1" applyFill="1" applyAlignment="1" applyProtection="1">
      <alignment horizontal="center" wrapText="1"/>
      <protection hidden="1"/>
    </xf>
    <xf numFmtId="0" fontId="8" fillId="0" borderId="2"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0" xfId="0" applyFont="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7"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5" fillId="0" borderId="0" xfId="0" applyFont="1" applyAlignment="1" applyProtection="1">
      <alignment horizontal="left"/>
      <protection hidden="1"/>
    </xf>
  </cellXfs>
  <cellStyles count="14">
    <cellStyle name="Comma" xfId="13" builtinId="3"/>
    <cellStyle name="Comma 2" xfId="4" xr:uid="{00000000-0005-0000-0000-000000000000}"/>
    <cellStyle name="Comma 3" xfId="12" xr:uid="{8F6770F3-BEC8-4C90-A881-AA296348DEEC}"/>
    <cellStyle name="Currency 2" xfId="7" xr:uid="{DA1F35AA-CAC0-43AA-AD4C-21A3A7692C38}"/>
    <cellStyle name="Hyperlink" xfId="1" builtinId="8"/>
    <cellStyle name="Hyperlink 2" xfId="5" xr:uid="{00000000-0005-0000-0000-000002000000}"/>
    <cellStyle name="Hyperlink 3" xfId="10" xr:uid="{595BD9C8-FA1E-43BF-AA02-13EA1A7E0CF7}"/>
    <cellStyle name="Normal" xfId="0" builtinId="0"/>
    <cellStyle name="Normal 12" xfId="11" xr:uid="{06AB1079-8D28-4D80-93BF-C055B3F6B330}"/>
    <cellStyle name="Normal 2" xfId="3" xr:uid="{00000000-0005-0000-0000-000004000000}"/>
    <cellStyle name="Normal 2 2" xfId="6" xr:uid="{09D1F1FE-C169-4CAA-89B5-F42FD4BDF913}"/>
    <cellStyle name="Normal 3" xfId="9" xr:uid="{CFE0EE4D-F08A-4B80-9FE5-AAD62C5DA6A2}"/>
    <cellStyle name="Normal 4" xfId="8" xr:uid="{3353E05B-A15A-4685-81C1-042ED145DCBC}"/>
    <cellStyle name="Normal_Price_Schedules for Insulator Package Rev-01" xfId="2" xr:uid="{00000000-0005-0000-0000-000007000000}"/>
  </cellStyles>
  <dxfs count="0"/>
  <tableStyles count="0" defaultTableStyle="TableStyleMedium9" defaultPivotStyle="PivotStyleLight16"/>
  <colors>
    <mruColors>
      <color rgb="FF339933"/>
      <color rgb="FF00CC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11</xdr:col>
      <xdr:colOff>605561</xdr:colOff>
      <xdr:row>16</xdr:row>
      <xdr:rowOff>191177</xdr:rowOff>
    </xdr:to>
    <xdr:pic>
      <xdr:nvPicPr>
        <xdr:cNvPr id="2" name="Picture 1" descr="Logo 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886325" y="3810000"/>
          <a:ext cx="2691536" cy="85792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
  <sheetViews>
    <sheetView workbookViewId="0">
      <selection activeCell="F15" sqref="F15"/>
    </sheetView>
  </sheetViews>
  <sheetFormatPr defaultRowHeight="15" x14ac:dyDescent="0.25"/>
  <cols>
    <col min="1" max="1" width="19.85546875" customWidth="1"/>
    <col min="11" max="11" width="53.28515625" customWidth="1"/>
  </cols>
  <sheetData>
    <row r="2" spans="1:11" x14ac:dyDescent="0.25">
      <c r="A2" t="s">
        <v>438</v>
      </c>
    </row>
    <row r="3" spans="1:11" ht="29.25" customHeight="1" x14ac:dyDescent="0.25">
      <c r="A3" t="s">
        <v>0</v>
      </c>
      <c r="B3" s="113" t="s">
        <v>272</v>
      </c>
      <c r="C3" s="114"/>
      <c r="D3" s="114"/>
      <c r="E3" s="114"/>
      <c r="F3" s="114"/>
      <c r="G3" s="114"/>
      <c r="H3" s="114"/>
      <c r="I3" s="114"/>
      <c r="J3" s="114"/>
      <c r="K3" s="114"/>
    </row>
  </sheetData>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showGridLines="0" workbookViewId="0">
      <selection activeCell="B8" sqref="B8:L8"/>
    </sheetView>
  </sheetViews>
  <sheetFormatPr defaultColWidth="8.7109375" defaultRowHeight="15" x14ac:dyDescent="0.25"/>
  <cols>
    <col min="1" max="9" width="8.7109375" style="2"/>
    <col min="10" max="10" width="13.140625" style="2" customWidth="1"/>
    <col min="11" max="16384" width="8.7109375" style="2"/>
  </cols>
  <sheetData>
    <row r="1" spans="1:12" ht="21.75" customHeight="1" x14ac:dyDescent="0.25">
      <c r="A1" s="18" t="str">
        <f>Sheet1!A2</f>
        <v>RFX. No. 5002003531 NIT-445</v>
      </c>
      <c r="B1" s="19"/>
      <c r="C1" s="19"/>
      <c r="D1" s="20"/>
      <c r="E1" s="20"/>
      <c r="F1" s="20"/>
      <c r="G1" s="20"/>
      <c r="H1" s="20"/>
      <c r="I1" s="20"/>
      <c r="J1" s="20"/>
      <c r="K1" s="20"/>
      <c r="L1" s="21"/>
    </row>
    <row r="2" spans="1:12" ht="34.5" customHeight="1" x14ac:dyDescent="0.25">
      <c r="A2" s="118" t="str">
        <f>Sheet1!B3</f>
        <v xml:space="preserve">Balance work of Construction of Transit Camp / field hostel at 400/220/132 KV Saharsa Substation
</v>
      </c>
      <c r="B2" s="119"/>
      <c r="C2" s="119"/>
      <c r="D2" s="119"/>
      <c r="E2" s="119"/>
      <c r="F2" s="119"/>
      <c r="G2" s="119"/>
      <c r="H2" s="119"/>
      <c r="I2" s="119"/>
      <c r="J2" s="119"/>
      <c r="K2" s="119"/>
      <c r="L2" s="120"/>
    </row>
    <row r="3" spans="1:12" ht="15" hidden="1" customHeight="1" x14ac:dyDescent="0.25">
      <c r="A3" s="118"/>
      <c r="B3" s="119"/>
      <c r="C3" s="119"/>
      <c r="D3" s="119"/>
      <c r="E3" s="119"/>
      <c r="F3" s="119"/>
      <c r="G3" s="119"/>
      <c r="H3" s="119"/>
      <c r="I3" s="119"/>
      <c r="J3" s="119"/>
      <c r="K3" s="119"/>
      <c r="L3" s="120"/>
    </row>
    <row r="4" spans="1:12" x14ac:dyDescent="0.25">
      <c r="A4" s="115" t="s">
        <v>1</v>
      </c>
      <c r="B4" s="116"/>
      <c r="C4" s="116"/>
      <c r="D4" s="116"/>
      <c r="E4" s="116"/>
      <c r="F4" s="116"/>
      <c r="G4" s="116"/>
      <c r="H4" s="116"/>
      <c r="I4" s="116"/>
      <c r="J4" s="116"/>
      <c r="K4" s="116"/>
      <c r="L4" s="117"/>
    </row>
    <row r="5" spans="1:12" x14ac:dyDescent="0.25">
      <c r="A5" s="22"/>
      <c r="L5" s="23"/>
    </row>
    <row r="6" spans="1:12" ht="44.25" customHeight="1" x14ac:dyDescent="0.25">
      <c r="A6" s="24">
        <v>1</v>
      </c>
      <c r="B6" s="128" t="s">
        <v>5</v>
      </c>
      <c r="C6" s="128"/>
      <c r="D6" s="128"/>
      <c r="E6" s="128"/>
      <c r="F6" s="128"/>
      <c r="G6" s="128"/>
      <c r="H6" s="128"/>
      <c r="I6" s="128"/>
      <c r="J6" s="128"/>
      <c r="K6" s="128"/>
      <c r="L6" s="129"/>
    </row>
    <row r="7" spans="1:12" ht="51" customHeight="1" x14ac:dyDescent="0.25">
      <c r="A7" s="24">
        <v>2</v>
      </c>
      <c r="B7" s="128" t="s">
        <v>2</v>
      </c>
      <c r="C7" s="128"/>
      <c r="D7" s="128"/>
      <c r="E7" s="128"/>
      <c r="F7" s="128"/>
      <c r="G7" s="128"/>
      <c r="H7" s="128"/>
      <c r="I7" s="128"/>
      <c r="J7" s="128"/>
      <c r="K7" s="128"/>
      <c r="L7" s="129"/>
    </row>
    <row r="8" spans="1:12" ht="48" customHeight="1" x14ac:dyDescent="0.25">
      <c r="A8" s="24">
        <v>3</v>
      </c>
      <c r="B8" s="128" t="s">
        <v>3</v>
      </c>
      <c r="C8" s="128"/>
      <c r="D8" s="128"/>
      <c r="E8" s="128"/>
      <c r="F8" s="128"/>
      <c r="G8" s="128"/>
      <c r="H8" s="128"/>
      <c r="I8" s="128"/>
      <c r="J8" s="128"/>
      <c r="K8" s="128"/>
      <c r="L8" s="129"/>
    </row>
    <row r="9" spans="1:12" x14ac:dyDescent="0.25">
      <c r="A9" s="22"/>
      <c r="L9" s="23"/>
    </row>
    <row r="10" spans="1:12" ht="12.75" customHeight="1" x14ac:dyDescent="0.25">
      <c r="A10" s="22"/>
      <c r="L10" s="23"/>
    </row>
    <row r="11" spans="1:12" x14ac:dyDescent="0.25">
      <c r="A11" s="22"/>
      <c r="L11" s="23"/>
    </row>
    <row r="12" spans="1:12" x14ac:dyDescent="0.25">
      <c r="A12" s="125" t="s">
        <v>4</v>
      </c>
      <c r="B12" s="126"/>
      <c r="C12" s="126"/>
      <c r="D12" s="126"/>
      <c r="E12" s="126"/>
      <c r="F12" s="126"/>
      <c r="G12" s="126"/>
      <c r="H12" s="126"/>
      <c r="I12" s="126"/>
      <c r="J12" s="126"/>
      <c r="K12" s="126"/>
      <c r="L12" s="127"/>
    </row>
    <row r="13" spans="1:12" x14ac:dyDescent="0.25">
      <c r="A13" s="22"/>
      <c r="L13" s="23"/>
    </row>
    <row r="14" spans="1:12" ht="20.25" x14ac:dyDescent="0.25">
      <c r="A14" s="121" t="s">
        <v>6</v>
      </c>
      <c r="B14" s="122"/>
      <c r="C14" s="122"/>
      <c r="D14" s="122"/>
      <c r="E14" s="122"/>
      <c r="F14" s="122"/>
      <c r="G14" s="122"/>
      <c r="H14" s="122"/>
      <c r="L14" s="23"/>
    </row>
    <row r="15" spans="1:12" ht="16.5" x14ac:dyDescent="0.25">
      <c r="A15" s="123" t="s">
        <v>7</v>
      </c>
      <c r="B15" s="124"/>
      <c r="C15" s="124"/>
      <c r="D15" s="124"/>
      <c r="E15" s="124"/>
      <c r="F15" s="124"/>
      <c r="G15" s="124"/>
      <c r="H15" s="124"/>
      <c r="L15" s="23"/>
    </row>
    <row r="16" spans="1:12" ht="20.25" x14ac:dyDescent="0.25">
      <c r="A16" s="121" t="s">
        <v>8</v>
      </c>
      <c r="B16" s="122"/>
      <c r="C16" s="122"/>
      <c r="D16" s="122"/>
      <c r="E16" s="122"/>
      <c r="F16" s="122"/>
      <c r="G16" s="122"/>
      <c r="H16" s="122"/>
      <c r="L16" s="23"/>
    </row>
    <row r="17" spans="1:12" ht="16.5" x14ac:dyDescent="0.25">
      <c r="A17" s="123" t="s">
        <v>9</v>
      </c>
      <c r="B17" s="124"/>
      <c r="C17" s="124"/>
      <c r="D17" s="124"/>
      <c r="E17" s="124"/>
      <c r="F17" s="124"/>
      <c r="G17" s="124"/>
      <c r="H17" s="124"/>
      <c r="L17" s="23"/>
    </row>
    <row r="18" spans="1:12" ht="15.75" thickBot="1" x14ac:dyDescent="0.3">
      <c r="A18" s="25"/>
      <c r="B18" s="26"/>
      <c r="C18" s="26"/>
      <c r="D18" s="26"/>
      <c r="E18" s="26"/>
      <c r="F18" s="26"/>
      <c r="G18" s="26"/>
      <c r="H18" s="26"/>
      <c r="I18" s="26"/>
      <c r="J18" s="26"/>
      <c r="K18" s="26"/>
      <c r="L18" s="27"/>
    </row>
  </sheetData>
  <sheetProtection algorithmName="SHA-512" hashValue="tNLemYCJhq2+1D/b/ToJWRwXHRNDgWSjDW6eCGPqfl1f+rwG4sxPcML/UcJ/n9Br1sVGVfkD07uNriu7gbrNtA==" saltValue="30aew9kGlFJKYag8fuOdag==" spinCount="100000" sheet="1" objects="1" scenarios="1"/>
  <mergeCells count="10">
    <mergeCell ref="A17:H17"/>
    <mergeCell ref="A12:L12"/>
    <mergeCell ref="B8:L8"/>
    <mergeCell ref="B7:L7"/>
    <mergeCell ref="B6:L6"/>
    <mergeCell ref="A4:L4"/>
    <mergeCell ref="A2:L3"/>
    <mergeCell ref="A14:H14"/>
    <mergeCell ref="A15:H15"/>
    <mergeCell ref="A16:H1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8"/>
  <sheetViews>
    <sheetView showGridLines="0" workbookViewId="0">
      <selection activeCell="E17" sqref="E17:I17"/>
    </sheetView>
  </sheetViews>
  <sheetFormatPr defaultRowHeight="15" x14ac:dyDescent="0.25"/>
  <cols>
    <col min="9" max="9" width="8.85546875" customWidth="1"/>
    <col min="10" max="10" width="9.140625" hidden="1" customWidth="1"/>
    <col min="11" max="11" width="0.140625" customWidth="1"/>
    <col min="12" max="12" width="9.140625" hidden="1" customWidth="1"/>
  </cols>
  <sheetData>
    <row r="1" spans="1:12" x14ac:dyDescent="0.25">
      <c r="A1" s="1" t="str">
        <f>Sheet1!A2</f>
        <v>RFX. No. 5002003531 NIT-445</v>
      </c>
      <c r="B1" s="1"/>
      <c r="C1" s="1"/>
    </row>
    <row r="2" spans="1:12" ht="39" customHeight="1" x14ac:dyDescent="0.25">
      <c r="A2" s="137" t="str">
        <f>Sheet1!B3</f>
        <v xml:space="preserve">Balance work of Construction of Transit Camp / field hostel at 400/220/132 KV Saharsa Substation
</v>
      </c>
      <c r="B2" s="137"/>
      <c r="C2" s="137"/>
      <c r="D2" s="137"/>
      <c r="E2" s="137"/>
      <c r="F2" s="137"/>
      <c r="G2" s="137"/>
      <c r="H2" s="137"/>
      <c r="I2" s="137"/>
      <c r="J2" s="137"/>
      <c r="K2" s="137"/>
      <c r="L2" s="137"/>
    </row>
    <row r="4" spans="1:12" x14ac:dyDescent="0.25">
      <c r="A4" s="138" t="s">
        <v>10</v>
      </c>
      <c r="B4" s="138"/>
      <c r="C4" s="138"/>
      <c r="D4" s="138"/>
      <c r="E4" s="138"/>
      <c r="F4" s="138"/>
      <c r="G4" s="138"/>
      <c r="H4" s="138"/>
      <c r="I4" s="138"/>
      <c r="J4" s="138"/>
      <c r="K4" s="138"/>
      <c r="L4" s="138"/>
    </row>
    <row r="6" spans="1:12" ht="47.25" customHeight="1" x14ac:dyDescent="0.25">
      <c r="A6" s="133" t="s">
        <v>11</v>
      </c>
      <c r="B6" s="133"/>
      <c r="C6" s="133"/>
      <c r="D6" s="133"/>
      <c r="E6" s="134"/>
      <c r="F6" s="134"/>
      <c r="G6" s="134"/>
      <c r="H6" s="134"/>
      <c r="I6" s="134"/>
      <c r="J6" s="9"/>
      <c r="K6" s="9"/>
    </row>
    <row r="7" spans="1:12" ht="45" customHeight="1" x14ac:dyDescent="0.25">
      <c r="A7" s="139" t="s">
        <v>12</v>
      </c>
      <c r="B7" s="139"/>
      <c r="C7" s="139"/>
      <c r="D7" s="140"/>
      <c r="E7" s="141"/>
      <c r="F7" s="141"/>
      <c r="G7" s="141"/>
      <c r="H7" s="141"/>
      <c r="I7" s="141"/>
      <c r="J7" s="9"/>
      <c r="K7" s="9"/>
    </row>
    <row r="8" spans="1:12" ht="42" customHeight="1" x14ac:dyDescent="0.25">
      <c r="E8" s="135"/>
      <c r="F8" s="135"/>
      <c r="G8" s="135"/>
      <c r="H8" s="135"/>
      <c r="I8" s="135"/>
      <c r="J8" s="9"/>
      <c r="K8" s="9"/>
    </row>
    <row r="9" spans="1:12" ht="46.5" customHeight="1" x14ac:dyDescent="0.25">
      <c r="E9" s="136"/>
      <c r="F9" s="136"/>
      <c r="G9" s="136"/>
      <c r="H9" s="136"/>
      <c r="I9" s="136"/>
      <c r="J9" s="9"/>
      <c r="K9" s="9"/>
    </row>
    <row r="10" spans="1:12" ht="30.75" customHeight="1" x14ac:dyDescent="0.25">
      <c r="A10" s="130" t="s">
        <v>13</v>
      </c>
      <c r="B10" s="130"/>
      <c r="C10" s="130"/>
      <c r="D10" s="130"/>
      <c r="E10" s="135"/>
      <c r="F10" s="135"/>
      <c r="G10" s="135"/>
      <c r="H10" s="135"/>
      <c r="I10" s="135"/>
      <c r="J10" s="9"/>
      <c r="K10" s="9"/>
    </row>
    <row r="11" spans="1:12" ht="29.25" customHeight="1" x14ac:dyDescent="0.25">
      <c r="A11" s="133" t="s">
        <v>14</v>
      </c>
      <c r="B11" s="133"/>
      <c r="C11" s="133"/>
      <c r="D11" s="133"/>
      <c r="E11" s="134"/>
      <c r="F11" s="134"/>
      <c r="G11" s="134"/>
      <c r="H11" s="134"/>
      <c r="I11" s="134"/>
      <c r="J11" s="9"/>
      <c r="K11" s="9"/>
    </row>
    <row r="12" spans="1:12" ht="29.25" customHeight="1" x14ac:dyDescent="0.25">
      <c r="A12" s="133" t="s">
        <v>15</v>
      </c>
      <c r="B12" s="133"/>
      <c r="C12" s="133"/>
      <c r="D12" s="133"/>
      <c r="E12" s="134"/>
      <c r="F12" s="134"/>
      <c r="G12" s="134"/>
      <c r="H12" s="134"/>
      <c r="I12" s="134"/>
      <c r="J12" s="9"/>
      <c r="K12" s="9"/>
    </row>
    <row r="13" spans="1:12" ht="29.25" customHeight="1" x14ac:dyDescent="0.25">
      <c r="A13" s="133" t="s">
        <v>16</v>
      </c>
      <c r="B13" s="133"/>
      <c r="C13" s="133"/>
      <c r="D13" s="133"/>
      <c r="E13" s="134"/>
      <c r="F13" s="134"/>
      <c r="G13" s="134"/>
      <c r="H13" s="134"/>
      <c r="I13" s="134"/>
      <c r="J13" s="9"/>
      <c r="K13" s="9"/>
    </row>
    <row r="14" spans="1:12" ht="31.5" customHeight="1" x14ac:dyDescent="0.25">
      <c r="A14" s="133" t="s">
        <v>17</v>
      </c>
      <c r="B14" s="133"/>
      <c r="C14" s="133"/>
      <c r="D14" s="133"/>
      <c r="E14" s="134"/>
      <c r="F14" s="134"/>
      <c r="G14" s="134"/>
      <c r="H14" s="134"/>
      <c r="I14" s="134"/>
      <c r="J14" s="9"/>
      <c r="K14" s="9"/>
    </row>
    <row r="15" spans="1:12" x14ac:dyDescent="0.25">
      <c r="E15" s="9"/>
      <c r="F15" s="9"/>
      <c r="G15" s="9"/>
      <c r="H15" s="9"/>
      <c r="I15" s="9"/>
      <c r="J15" s="9"/>
      <c r="K15" s="9"/>
    </row>
    <row r="16" spans="1:12" x14ac:dyDescent="0.25">
      <c r="E16" s="9"/>
      <c r="F16" s="9"/>
      <c r="G16" s="9"/>
      <c r="H16" s="9"/>
      <c r="I16" s="9"/>
      <c r="J16" s="9"/>
      <c r="K16" s="9"/>
    </row>
    <row r="17" spans="1:11" ht="25.5" customHeight="1" x14ac:dyDescent="0.25">
      <c r="A17" s="130" t="s">
        <v>18</v>
      </c>
      <c r="B17" s="130"/>
      <c r="C17" s="130"/>
      <c r="D17" s="130"/>
      <c r="E17" s="131"/>
      <c r="F17" s="131"/>
      <c r="G17" s="131"/>
      <c r="H17" s="131"/>
      <c r="I17" s="131"/>
      <c r="J17" s="10"/>
      <c r="K17" s="10"/>
    </row>
    <row r="18" spans="1:11" ht="25.5" customHeight="1" x14ac:dyDescent="0.25">
      <c r="A18" s="130" t="s">
        <v>19</v>
      </c>
      <c r="B18" s="130"/>
      <c r="C18" s="130"/>
      <c r="D18" s="130"/>
      <c r="E18" s="132"/>
      <c r="F18" s="132"/>
      <c r="G18" s="132"/>
      <c r="H18" s="132"/>
      <c r="I18" s="132"/>
      <c r="J18" s="132"/>
      <c r="K18" s="132"/>
    </row>
  </sheetData>
  <sheetProtection password="DC1A" sheet="1" objects="1" scenarios="1" selectLockedCells="1"/>
  <mergeCells count="22">
    <mergeCell ref="A2:L2"/>
    <mergeCell ref="A4:L4"/>
    <mergeCell ref="A6:D6"/>
    <mergeCell ref="E6:I6"/>
    <mergeCell ref="A7:D7"/>
    <mergeCell ref="E7:I7"/>
    <mergeCell ref="E8:I8"/>
    <mergeCell ref="E9:I9"/>
    <mergeCell ref="A10:D10"/>
    <mergeCell ref="E10:I10"/>
    <mergeCell ref="A11:D11"/>
    <mergeCell ref="E11:I11"/>
    <mergeCell ref="A17:D17"/>
    <mergeCell ref="A18:D18"/>
    <mergeCell ref="E17:I17"/>
    <mergeCell ref="E18:K18"/>
    <mergeCell ref="A12:D12"/>
    <mergeCell ref="E12:I12"/>
    <mergeCell ref="A13:D13"/>
    <mergeCell ref="A14:D14"/>
    <mergeCell ref="E13:I13"/>
    <mergeCell ref="E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7C7AA-2AFF-4FE4-AAE4-096856FC34B1}">
  <dimension ref="A1:I110"/>
  <sheetViews>
    <sheetView tabSelected="1" zoomScaleNormal="100" workbookViewId="0">
      <pane ySplit="2" topLeftCell="A101" activePane="bottomLeft" state="frozen"/>
      <selection pane="bottomLeft" activeCell="I7" sqref="I7"/>
    </sheetView>
  </sheetViews>
  <sheetFormatPr defaultRowHeight="15" x14ac:dyDescent="0.25"/>
  <cols>
    <col min="1" max="1" width="7.7109375" style="2" bestFit="1" customWidth="1"/>
    <col min="2" max="2" width="13.42578125" style="2" bestFit="1" customWidth="1"/>
    <col min="3" max="3" width="110" style="2" customWidth="1"/>
    <col min="4" max="4" width="8.42578125" style="2" bestFit="1" customWidth="1"/>
    <col min="5" max="5" width="9.5703125" style="2" bestFit="1" customWidth="1"/>
    <col min="6" max="6" width="18.28515625" style="2" hidden="1" customWidth="1"/>
    <col min="7" max="7" width="15.7109375" style="2" customWidth="1"/>
    <col min="8" max="8" width="18.85546875" style="2" customWidth="1"/>
    <col min="9" max="9" width="36.140625" style="2" bestFit="1" customWidth="1"/>
    <col min="10" max="13" width="9.140625" style="2"/>
    <col min="14" max="14" width="7" style="2" bestFit="1" customWidth="1"/>
    <col min="15" max="16384" width="9.140625" style="2"/>
  </cols>
  <sheetData>
    <row r="1" spans="1:9" ht="18.75" x14ac:dyDescent="0.3">
      <c r="A1" s="156" t="s">
        <v>61</v>
      </c>
      <c r="B1" s="156"/>
      <c r="C1" s="156"/>
      <c r="D1" s="156"/>
      <c r="E1" s="156"/>
      <c r="F1" s="156"/>
      <c r="G1" s="156"/>
      <c r="H1" s="156"/>
      <c r="I1" s="36"/>
    </row>
    <row r="2" spans="1:9" ht="18.75" x14ac:dyDescent="0.25">
      <c r="A2" s="49" t="s">
        <v>62</v>
      </c>
      <c r="B2" s="49" t="s">
        <v>274</v>
      </c>
      <c r="C2" s="49" t="s">
        <v>63</v>
      </c>
      <c r="D2" s="49" t="s">
        <v>47</v>
      </c>
      <c r="E2" s="49" t="s">
        <v>60</v>
      </c>
      <c r="F2" s="49" t="s">
        <v>53</v>
      </c>
      <c r="G2" s="50" t="s">
        <v>435</v>
      </c>
      <c r="H2" s="49" t="s">
        <v>64</v>
      </c>
      <c r="I2" s="36"/>
    </row>
    <row r="3" spans="1:9" ht="18.75" x14ac:dyDescent="0.25">
      <c r="A3" s="49">
        <v>1</v>
      </c>
      <c r="B3" s="49">
        <v>2</v>
      </c>
      <c r="C3" s="49">
        <v>3</v>
      </c>
      <c r="D3" s="49">
        <v>4</v>
      </c>
      <c r="E3" s="49">
        <v>5</v>
      </c>
      <c r="F3" s="49">
        <v>6</v>
      </c>
      <c r="G3" s="49"/>
      <c r="H3" s="49">
        <v>7</v>
      </c>
      <c r="I3" s="36"/>
    </row>
    <row r="4" spans="1:9" ht="18.75" x14ac:dyDescent="0.3">
      <c r="A4" s="157" t="s">
        <v>65</v>
      </c>
      <c r="B4" s="158"/>
      <c r="C4" s="51" t="s">
        <v>66</v>
      </c>
      <c r="D4" s="52"/>
      <c r="E4" s="52"/>
      <c r="F4" s="52"/>
      <c r="G4" s="52"/>
      <c r="H4" s="52"/>
      <c r="I4" s="36"/>
    </row>
    <row r="5" spans="1:9" ht="120" x14ac:dyDescent="0.25">
      <c r="A5" s="32">
        <v>1</v>
      </c>
      <c r="B5" s="32" t="s">
        <v>275</v>
      </c>
      <c r="C5" s="37" t="s">
        <v>67</v>
      </c>
      <c r="D5" s="32" t="s">
        <v>54</v>
      </c>
      <c r="E5" s="34">
        <f>752-720</f>
        <v>32</v>
      </c>
      <c r="F5" s="34">
        <v>2278.3000000000002</v>
      </c>
      <c r="G5" s="34">
        <f>F5*100/118</f>
        <v>1930.762711864407</v>
      </c>
      <c r="H5" s="35">
        <f>ROUND(G5*E5,2)</f>
        <v>61784.41</v>
      </c>
      <c r="I5" s="36"/>
    </row>
    <row r="6" spans="1:9" ht="18.75" x14ac:dyDescent="0.3">
      <c r="A6" s="52"/>
      <c r="B6" s="52"/>
      <c r="C6" s="51" t="s">
        <v>68</v>
      </c>
      <c r="D6" s="52"/>
      <c r="E6" s="53"/>
      <c r="F6" s="53"/>
      <c r="G6" s="34"/>
      <c r="H6" s="35">
        <f t="shared" ref="H6:H69" si="0">ROUND(G6*E6,2)</f>
        <v>0</v>
      </c>
      <c r="I6" s="36"/>
    </row>
    <row r="7" spans="1:9" ht="45" x14ac:dyDescent="0.25">
      <c r="A7" s="32">
        <v>2</v>
      </c>
      <c r="B7" s="32" t="s">
        <v>276</v>
      </c>
      <c r="C7" s="37" t="s">
        <v>69</v>
      </c>
      <c r="D7" s="32" t="s">
        <v>48</v>
      </c>
      <c r="E7" s="34">
        <f>910-750.63</f>
        <v>159.37</v>
      </c>
      <c r="F7" s="34">
        <v>177.5</v>
      </c>
      <c r="G7" s="34">
        <f t="shared" ref="G7:G51" si="1">F7*100/118</f>
        <v>150.42372881355934</v>
      </c>
      <c r="H7" s="35">
        <f t="shared" si="0"/>
        <v>23973.03</v>
      </c>
      <c r="I7" s="36"/>
    </row>
    <row r="8" spans="1:9" ht="30" x14ac:dyDescent="0.25">
      <c r="A8" s="32">
        <v>3</v>
      </c>
      <c r="B8" s="32">
        <v>2.25</v>
      </c>
      <c r="C8" s="37" t="s">
        <v>70</v>
      </c>
      <c r="D8" s="32" t="s">
        <v>48</v>
      </c>
      <c r="E8" s="34">
        <v>910</v>
      </c>
      <c r="F8" s="34">
        <v>196</v>
      </c>
      <c r="G8" s="34">
        <f t="shared" si="1"/>
        <v>166.10169491525423</v>
      </c>
      <c r="H8" s="35">
        <f t="shared" si="0"/>
        <v>151152.54</v>
      </c>
      <c r="I8" s="36"/>
    </row>
    <row r="9" spans="1:9" ht="30" x14ac:dyDescent="0.25">
      <c r="A9" s="32">
        <v>4</v>
      </c>
      <c r="B9" s="32" t="s">
        <v>277</v>
      </c>
      <c r="C9" s="37" t="s">
        <v>71</v>
      </c>
      <c r="D9" s="32" t="s">
        <v>48</v>
      </c>
      <c r="E9" s="34">
        <v>60</v>
      </c>
      <c r="F9" s="34">
        <v>700.5</v>
      </c>
      <c r="G9" s="34">
        <f t="shared" si="1"/>
        <v>593.64406779661022</v>
      </c>
      <c r="H9" s="35">
        <f t="shared" si="0"/>
        <v>35618.639999999999</v>
      </c>
      <c r="I9" s="36"/>
    </row>
    <row r="10" spans="1:9" ht="90" x14ac:dyDescent="0.25">
      <c r="A10" s="32">
        <v>5</v>
      </c>
      <c r="B10" s="32">
        <v>20.9</v>
      </c>
      <c r="C10" s="37" t="s">
        <v>72</v>
      </c>
      <c r="D10" s="32" t="s">
        <v>73</v>
      </c>
      <c r="E10" s="34">
        <v>94</v>
      </c>
      <c r="F10" s="34">
        <v>1153.2</v>
      </c>
      <c r="G10" s="34">
        <f t="shared" si="1"/>
        <v>977.28813559322032</v>
      </c>
      <c r="H10" s="35">
        <f t="shared" si="0"/>
        <v>91865.08</v>
      </c>
      <c r="I10" s="36"/>
    </row>
    <row r="11" spans="1:9" ht="30" x14ac:dyDescent="0.25">
      <c r="A11" s="32">
        <v>6</v>
      </c>
      <c r="B11" s="32" t="s">
        <v>278</v>
      </c>
      <c r="C11" s="37" t="s">
        <v>74</v>
      </c>
      <c r="D11" s="32" t="s">
        <v>75</v>
      </c>
      <c r="E11" s="34">
        <v>760</v>
      </c>
      <c r="F11" s="34">
        <v>234.75</v>
      </c>
      <c r="G11" s="34">
        <f t="shared" si="1"/>
        <v>198.9406779661017</v>
      </c>
      <c r="H11" s="35">
        <f t="shared" si="0"/>
        <v>151194.92000000001</v>
      </c>
      <c r="I11" s="36"/>
    </row>
    <row r="12" spans="1:9" ht="60" x14ac:dyDescent="0.25">
      <c r="A12" s="32">
        <v>7</v>
      </c>
      <c r="B12" s="32" t="s">
        <v>279</v>
      </c>
      <c r="C12" s="37" t="s">
        <v>76</v>
      </c>
      <c r="D12" s="32" t="s">
        <v>54</v>
      </c>
      <c r="E12" s="34">
        <v>90</v>
      </c>
      <c r="F12" s="34">
        <v>53.45</v>
      </c>
      <c r="G12" s="34">
        <f t="shared" si="1"/>
        <v>45.296610169491522</v>
      </c>
      <c r="H12" s="35">
        <f t="shared" si="0"/>
        <v>4076.69</v>
      </c>
      <c r="I12" s="36"/>
    </row>
    <row r="13" spans="1:9" ht="45" x14ac:dyDescent="0.25">
      <c r="A13" s="32">
        <v>8</v>
      </c>
      <c r="B13" s="32" t="s">
        <v>280</v>
      </c>
      <c r="C13" s="37" t="s">
        <v>77</v>
      </c>
      <c r="D13" s="32" t="s">
        <v>33</v>
      </c>
      <c r="E13" s="34">
        <v>360</v>
      </c>
      <c r="F13" s="34">
        <v>310.05</v>
      </c>
      <c r="G13" s="34">
        <f t="shared" si="1"/>
        <v>262.75423728813558</v>
      </c>
      <c r="H13" s="35">
        <f t="shared" si="0"/>
        <v>94591.53</v>
      </c>
      <c r="I13" s="36"/>
    </row>
    <row r="14" spans="1:9" ht="30" x14ac:dyDescent="0.25">
      <c r="A14" s="32">
        <v>9</v>
      </c>
      <c r="B14" s="32" t="s">
        <v>281</v>
      </c>
      <c r="C14" s="37" t="s">
        <v>78</v>
      </c>
      <c r="D14" s="32" t="s">
        <v>48</v>
      </c>
      <c r="E14" s="34">
        <f>30-26.16</f>
        <v>3.84</v>
      </c>
      <c r="F14" s="34">
        <v>6812</v>
      </c>
      <c r="G14" s="34">
        <f t="shared" si="1"/>
        <v>5772.8813559322034</v>
      </c>
      <c r="H14" s="35">
        <f t="shared" si="0"/>
        <v>22167.86</v>
      </c>
      <c r="I14" s="36"/>
    </row>
    <row r="15" spans="1:9" ht="30" x14ac:dyDescent="0.25">
      <c r="A15" s="32">
        <v>10</v>
      </c>
      <c r="B15" s="32" t="s">
        <v>282</v>
      </c>
      <c r="C15" s="37" t="s">
        <v>79</v>
      </c>
      <c r="D15" s="32" t="s">
        <v>48</v>
      </c>
      <c r="E15" s="34">
        <v>30</v>
      </c>
      <c r="F15" s="34">
        <v>7780.3</v>
      </c>
      <c r="G15" s="34">
        <f t="shared" si="1"/>
        <v>6593.4745762711864</v>
      </c>
      <c r="H15" s="35">
        <f t="shared" si="0"/>
        <v>197804.24</v>
      </c>
      <c r="I15" s="36"/>
    </row>
    <row r="16" spans="1:9" ht="165" x14ac:dyDescent="0.25">
      <c r="A16" s="32">
        <v>11</v>
      </c>
      <c r="B16" s="32" t="s">
        <v>283</v>
      </c>
      <c r="C16" s="37" t="s">
        <v>80</v>
      </c>
      <c r="D16" s="32" t="s">
        <v>48</v>
      </c>
      <c r="E16" s="34">
        <v>275</v>
      </c>
      <c r="F16" s="34">
        <v>9504.75</v>
      </c>
      <c r="G16" s="34">
        <f t="shared" si="1"/>
        <v>8054.8728813559319</v>
      </c>
      <c r="H16" s="35">
        <f t="shared" si="0"/>
        <v>2215090.04</v>
      </c>
      <c r="I16" s="36"/>
    </row>
    <row r="17" spans="1:9" ht="180" x14ac:dyDescent="0.25">
      <c r="A17" s="32">
        <v>12</v>
      </c>
      <c r="B17" s="32" t="s">
        <v>284</v>
      </c>
      <c r="C17" s="37" t="s">
        <v>81</v>
      </c>
      <c r="D17" s="32" t="s">
        <v>48</v>
      </c>
      <c r="E17" s="34">
        <v>150</v>
      </c>
      <c r="F17" s="34">
        <v>9860.4</v>
      </c>
      <c r="G17" s="34">
        <f t="shared" si="1"/>
        <v>8356.2711864406774</v>
      </c>
      <c r="H17" s="35">
        <f t="shared" si="0"/>
        <v>1253440.68</v>
      </c>
      <c r="I17" s="36"/>
    </row>
    <row r="18" spans="1:9" ht="30" x14ac:dyDescent="0.25">
      <c r="A18" s="32">
        <v>13</v>
      </c>
      <c r="B18" s="32" t="s">
        <v>285</v>
      </c>
      <c r="C18" s="37" t="s">
        <v>82</v>
      </c>
      <c r="D18" s="32" t="s">
        <v>49</v>
      </c>
      <c r="E18" s="34">
        <f>60100-15089.78</f>
        <v>45010.22</v>
      </c>
      <c r="F18" s="34">
        <v>107.85</v>
      </c>
      <c r="G18" s="34">
        <f t="shared" si="1"/>
        <v>91.398305084745758</v>
      </c>
      <c r="H18" s="35">
        <f t="shared" si="0"/>
        <v>4113857.82</v>
      </c>
      <c r="I18" s="36"/>
    </row>
    <row r="19" spans="1:9" ht="45" x14ac:dyDescent="0.25">
      <c r="A19" s="32">
        <v>14</v>
      </c>
      <c r="B19" s="32" t="s">
        <v>286</v>
      </c>
      <c r="C19" s="37" t="s">
        <v>83</v>
      </c>
      <c r="D19" s="32" t="s">
        <v>49</v>
      </c>
      <c r="E19" s="34">
        <v>75</v>
      </c>
      <c r="F19" s="34">
        <v>392.15</v>
      </c>
      <c r="G19" s="34">
        <f t="shared" si="1"/>
        <v>332.33050847457628</v>
      </c>
      <c r="H19" s="35">
        <f t="shared" si="0"/>
        <v>24924.79</v>
      </c>
      <c r="I19" s="36"/>
    </row>
    <row r="20" spans="1:9" ht="45" x14ac:dyDescent="0.25">
      <c r="A20" s="32">
        <v>15</v>
      </c>
      <c r="B20" s="32" t="s">
        <v>287</v>
      </c>
      <c r="C20" s="37" t="s">
        <v>84</v>
      </c>
      <c r="D20" s="32" t="s">
        <v>33</v>
      </c>
      <c r="E20" s="34">
        <v>575</v>
      </c>
      <c r="F20" s="34">
        <v>927.25</v>
      </c>
      <c r="G20" s="34">
        <f t="shared" si="1"/>
        <v>785.80508474576266</v>
      </c>
      <c r="H20" s="35">
        <f t="shared" si="0"/>
        <v>451837.92</v>
      </c>
      <c r="I20" s="36"/>
    </row>
    <row r="21" spans="1:9" ht="30" x14ac:dyDescent="0.25">
      <c r="A21" s="32">
        <v>16</v>
      </c>
      <c r="B21" s="32" t="s">
        <v>288</v>
      </c>
      <c r="C21" s="37" t="s">
        <v>85</v>
      </c>
      <c r="D21" s="32" t="s">
        <v>33</v>
      </c>
      <c r="E21" s="34">
        <v>850</v>
      </c>
      <c r="F21" s="34">
        <v>736.4</v>
      </c>
      <c r="G21" s="34">
        <f t="shared" si="1"/>
        <v>624.06779661016947</v>
      </c>
      <c r="H21" s="35">
        <f t="shared" si="0"/>
        <v>530457.63</v>
      </c>
      <c r="I21" s="36"/>
    </row>
    <row r="22" spans="1:9" ht="30" x14ac:dyDescent="0.25">
      <c r="A22" s="32">
        <v>17</v>
      </c>
      <c r="B22" s="32" t="s">
        <v>289</v>
      </c>
      <c r="C22" s="37" t="s">
        <v>86</v>
      </c>
      <c r="D22" s="32" t="s">
        <v>33</v>
      </c>
      <c r="E22" s="34">
        <v>550</v>
      </c>
      <c r="F22" s="34">
        <v>961.3</v>
      </c>
      <c r="G22" s="34">
        <f t="shared" si="1"/>
        <v>814.66101694915255</v>
      </c>
      <c r="H22" s="35">
        <f t="shared" si="0"/>
        <v>448063.56</v>
      </c>
      <c r="I22" s="36"/>
    </row>
    <row r="23" spans="1:9" ht="30" x14ac:dyDescent="0.25">
      <c r="A23" s="32">
        <v>18</v>
      </c>
      <c r="B23" s="32" t="s">
        <v>290</v>
      </c>
      <c r="C23" s="37" t="s">
        <v>87</v>
      </c>
      <c r="D23" s="32" t="s">
        <v>33</v>
      </c>
      <c r="E23" s="34">
        <v>30</v>
      </c>
      <c r="F23" s="34">
        <v>764.95</v>
      </c>
      <c r="G23" s="34">
        <f t="shared" si="1"/>
        <v>648.26271186440681</v>
      </c>
      <c r="H23" s="35">
        <f t="shared" si="0"/>
        <v>19447.88</v>
      </c>
      <c r="I23" s="36"/>
    </row>
    <row r="24" spans="1:9" ht="30" x14ac:dyDescent="0.25">
      <c r="A24" s="32">
        <v>19</v>
      </c>
      <c r="B24" s="32" t="s">
        <v>291</v>
      </c>
      <c r="C24" s="37" t="s">
        <v>88</v>
      </c>
      <c r="D24" s="32" t="s">
        <v>33</v>
      </c>
      <c r="E24" s="34">
        <v>2</v>
      </c>
      <c r="F24" s="34">
        <v>1296.7</v>
      </c>
      <c r="G24" s="34">
        <f t="shared" si="1"/>
        <v>1098.8983050847457</v>
      </c>
      <c r="H24" s="35">
        <f t="shared" si="0"/>
        <v>2197.8000000000002</v>
      </c>
      <c r="I24" s="36"/>
    </row>
    <row r="25" spans="1:9" x14ac:dyDescent="0.25">
      <c r="A25" s="32">
        <v>20</v>
      </c>
      <c r="B25" s="32" t="s">
        <v>292</v>
      </c>
      <c r="C25" s="37" t="s">
        <v>89</v>
      </c>
      <c r="D25" s="32" t="s">
        <v>33</v>
      </c>
      <c r="E25" s="34">
        <v>41</v>
      </c>
      <c r="F25" s="34">
        <v>927.25</v>
      </c>
      <c r="G25" s="34">
        <f t="shared" si="1"/>
        <v>785.80508474576266</v>
      </c>
      <c r="H25" s="35">
        <f t="shared" si="0"/>
        <v>32218.01</v>
      </c>
      <c r="I25" s="36"/>
    </row>
    <row r="26" spans="1:9" ht="30" x14ac:dyDescent="0.25">
      <c r="A26" s="32">
        <v>21</v>
      </c>
      <c r="B26" s="32" t="s">
        <v>293</v>
      </c>
      <c r="C26" s="37" t="s">
        <v>90</v>
      </c>
      <c r="D26" s="32" t="s">
        <v>33</v>
      </c>
      <c r="E26" s="34">
        <v>12</v>
      </c>
      <c r="F26" s="34">
        <v>951.1</v>
      </c>
      <c r="G26" s="34">
        <f t="shared" si="1"/>
        <v>806.01694915254234</v>
      </c>
      <c r="H26" s="35">
        <f t="shared" si="0"/>
        <v>9672.2000000000007</v>
      </c>
      <c r="I26" s="36"/>
    </row>
    <row r="27" spans="1:9" ht="30" x14ac:dyDescent="0.25">
      <c r="A27" s="32">
        <v>22</v>
      </c>
      <c r="B27" s="32">
        <v>4.1100000000000003</v>
      </c>
      <c r="C27" s="37" t="s">
        <v>91</v>
      </c>
      <c r="D27" s="32" t="s">
        <v>33</v>
      </c>
      <c r="E27" s="34">
        <v>65</v>
      </c>
      <c r="F27" s="34">
        <v>495.75</v>
      </c>
      <c r="G27" s="34">
        <f t="shared" si="1"/>
        <v>420.12711864406782</v>
      </c>
      <c r="H27" s="35">
        <f t="shared" si="0"/>
        <v>27308.26</v>
      </c>
      <c r="I27" s="36"/>
    </row>
    <row r="28" spans="1:9" ht="57" x14ac:dyDescent="0.25">
      <c r="A28" s="32">
        <v>23</v>
      </c>
      <c r="B28" s="54" t="s">
        <v>294</v>
      </c>
      <c r="C28" s="37" t="s">
        <v>92</v>
      </c>
      <c r="D28" s="54" t="s">
        <v>93</v>
      </c>
      <c r="E28" s="34">
        <v>14</v>
      </c>
      <c r="F28" s="34">
        <f>57.15+20%*57.15</f>
        <v>68.58</v>
      </c>
      <c r="G28" s="34">
        <f t="shared" si="1"/>
        <v>58.118644067796609</v>
      </c>
      <c r="H28" s="35">
        <f t="shared" si="0"/>
        <v>813.66</v>
      </c>
      <c r="I28" s="36"/>
    </row>
    <row r="29" spans="1:9" ht="45" x14ac:dyDescent="0.25">
      <c r="A29" s="32">
        <v>24</v>
      </c>
      <c r="B29" s="32">
        <v>4.13</v>
      </c>
      <c r="C29" s="37" t="s">
        <v>94</v>
      </c>
      <c r="D29" s="32" t="s">
        <v>33</v>
      </c>
      <c r="E29" s="34">
        <v>65</v>
      </c>
      <c r="F29" s="34">
        <v>146.15</v>
      </c>
      <c r="G29" s="34">
        <f t="shared" si="1"/>
        <v>123.85593220338983</v>
      </c>
      <c r="H29" s="35">
        <f t="shared" si="0"/>
        <v>8050.64</v>
      </c>
      <c r="I29" s="36"/>
    </row>
    <row r="30" spans="1:9" ht="30" x14ac:dyDescent="0.25">
      <c r="A30" s="32">
        <v>25</v>
      </c>
      <c r="B30" s="32" t="s">
        <v>295</v>
      </c>
      <c r="C30" s="37" t="s">
        <v>95</v>
      </c>
      <c r="D30" s="32" t="s">
        <v>33</v>
      </c>
      <c r="E30" s="34">
        <v>50</v>
      </c>
      <c r="F30" s="34">
        <v>7132.25</v>
      </c>
      <c r="G30" s="34">
        <f t="shared" si="1"/>
        <v>6044.2796610169489</v>
      </c>
      <c r="H30" s="35">
        <f t="shared" si="0"/>
        <v>302213.98</v>
      </c>
      <c r="I30" s="36"/>
    </row>
    <row r="31" spans="1:9" ht="30" x14ac:dyDescent="0.25">
      <c r="A31" s="32">
        <f>A30+1</f>
        <v>26</v>
      </c>
      <c r="B31" s="32" t="s">
        <v>296</v>
      </c>
      <c r="C31" s="37" t="s">
        <v>96</v>
      </c>
      <c r="D31" s="32" t="s">
        <v>48</v>
      </c>
      <c r="E31" s="34">
        <v>130</v>
      </c>
      <c r="F31" s="34">
        <v>9105.9500000000007</v>
      </c>
      <c r="G31" s="34">
        <f t="shared" si="1"/>
        <v>7716.9067796610179</v>
      </c>
      <c r="H31" s="35">
        <f t="shared" si="0"/>
        <v>1003197.88</v>
      </c>
      <c r="I31" s="36"/>
    </row>
    <row r="32" spans="1:9" ht="30" x14ac:dyDescent="0.25">
      <c r="A32" s="32">
        <f t="shared" ref="A32:A78" si="2">A31+1</f>
        <v>27</v>
      </c>
      <c r="B32" s="32">
        <v>6.15</v>
      </c>
      <c r="C32" s="37" t="s">
        <v>97</v>
      </c>
      <c r="D32" s="32" t="s">
        <v>33</v>
      </c>
      <c r="E32" s="34">
        <v>450</v>
      </c>
      <c r="F32" s="34">
        <v>104.8</v>
      </c>
      <c r="G32" s="34">
        <f t="shared" si="1"/>
        <v>88.813559322033896</v>
      </c>
      <c r="H32" s="35">
        <f t="shared" si="0"/>
        <v>39966.1</v>
      </c>
      <c r="I32" s="36"/>
    </row>
    <row r="33" spans="1:9" ht="75" x14ac:dyDescent="0.25">
      <c r="A33" s="32">
        <f t="shared" si="2"/>
        <v>28</v>
      </c>
      <c r="B33" s="32" t="s">
        <v>297</v>
      </c>
      <c r="C33" s="37" t="s">
        <v>98</v>
      </c>
      <c r="D33" s="32" t="s">
        <v>33</v>
      </c>
      <c r="E33" s="34">
        <v>310</v>
      </c>
      <c r="F33" s="34">
        <v>1553.45</v>
      </c>
      <c r="G33" s="34">
        <f t="shared" si="1"/>
        <v>1316.4830508474577</v>
      </c>
      <c r="H33" s="35">
        <f t="shared" si="0"/>
        <v>408109.75</v>
      </c>
      <c r="I33" s="36"/>
    </row>
    <row r="34" spans="1:9" ht="75" x14ac:dyDescent="0.25">
      <c r="A34" s="32">
        <f t="shared" si="2"/>
        <v>29</v>
      </c>
      <c r="B34" s="32" t="s">
        <v>298</v>
      </c>
      <c r="C34" s="37" t="s">
        <v>99</v>
      </c>
      <c r="D34" s="32" t="s">
        <v>33</v>
      </c>
      <c r="E34" s="34">
        <v>65</v>
      </c>
      <c r="F34" s="34">
        <v>1623.05</v>
      </c>
      <c r="G34" s="34">
        <f t="shared" si="1"/>
        <v>1375.4661016949153</v>
      </c>
      <c r="H34" s="35">
        <f t="shared" si="0"/>
        <v>89405.3</v>
      </c>
      <c r="I34" s="36"/>
    </row>
    <row r="35" spans="1:9" ht="75" x14ac:dyDescent="0.25">
      <c r="A35" s="32">
        <f t="shared" si="2"/>
        <v>30</v>
      </c>
      <c r="B35" s="35">
        <v>11.4</v>
      </c>
      <c r="C35" s="37" t="s">
        <v>100</v>
      </c>
      <c r="D35" s="32" t="s">
        <v>33</v>
      </c>
      <c r="E35" s="34">
        <v>50</v>
      </c>
      <c r="F35" s="34">
        <v>1439.4</v>
      </c>
      <c r="G35" s="34">
        <f t="shared" si="1"/>
        <v>1219.8305084745762</v>
      </c>
      <c r="H35" s="35">
        <f t="shared" si="0"/>
        <v>60991.53</v>
      </c>
      <c r="I35" s="55"/>
    </row>
    <row r="36" spans="1:9" ht="90" x14ac:dyDescent="0.25">
      <c r="A36" s="32">
        <f t="shared" si="2"/>
        <v>31</v>
      </c>
      <c r="B36" s="32">
        <v>8.31</v>
      </c>
      <c r="C36" s="37" t="s">
        <v>101</v>
      </c>
      <c r="D36" s="32" t="s">
        <v>33</v>
      </c>
      <c r="E36" s="34">
        <v>225</v>
      </c>
      <c r="F36" s="34">
        <v>1267.95</v>
      </c>
      <c r="G36" s="34">
        <f t="shared" si="1"/>
        <v>1074.5338983050847</v>
      </c>
      <c r="H36" s="35">
        <f t="shared" si="0"/>
        <v>241770.13</v>
      </c>
      <c r="I36" s="36"/>
    </row>
    <row r="37" spans="1:9" ht="45" x14ac:dyDescent="0.25">
      <c r="A37" s="32">
        <f t="shared" si="2"/>
        <v>32</v>
      </c>
      <c r="B37" s="32" t="s">
        <v>299</v>
      </c>
      <c r="C37" s="33" t="s">
        <v>102</v>
      </c>
      <c r="D37" s="32" t="s">
        <v>33</v>
      </c>
      <c r="E37" s="34">
        <v>140</v>
      </c>
      <c r="F37" s="34">
        <v>2428.6</v>
      </c>
      <c r="G37" s="34">
        <f t="shared" si="1"/>
        <v>2058.1355932203392</v>
      </c>
      <c r="H37" s="35">
        <f t="shared" si="0"/>
        <v>288138.98</v>
      </c>
      <c r="I37" s="36"/>
    </row>
    <row r="38" spans="1:9" x14ac:dyDescent="0.25">
      <c r="A38" s="32">
        <f t="shared" si="2"/>
        <v>33</v>
      </c>
      <c r="B38" s="32">
        <v>11.25</v>
      </c>
      <c r="C38" s="37" t="s">
        <v>103</v>
      </c>
      <c r="D38" s="32" t="s">
        <v>33</v>
      </c>
      <c r="E38" s="34">
        <v>55</v>
      </c>
      <c r="F38" s="34">
        <v>851.8</v>
      </c>
      <c r="G38" s="34">
        <f t="shared" si="1"/>
        <v>721.86440677966107</v>
      </c>
      <c r="H38" s="35">
        <f t="shared" si="0"/>
        <v>39702.54</v>
      </c>
      <c r="I38" s="36"/>
    </row>
    <row r="39" spans="1:9" x14ac:dyDescent="0.25">
      <c r="A39" s="32">
        <f t="shared" si="2"/>
        <v>34</v>
      </c>
      <c r="B39" s="32">
        <v>11.24</v>
      </c>
      <c r="C39" s="37" t="s">
        <v>104</v>
      </c>
      <c r="D39" s="32" t="s">
        <v>54</v>
      </c>
      <c r="E39" s="34">
        <v>15</v>
      </c>
      <c r="F39" s="34">
        <v>719.9</v>
      </c>
      <c r="G39" s="34">
        <f t="shared" si="1"/>
        <v>610.08474576271192</v>
      </c>
      <c r="H39" s="35">
        <f>ROUND(G39*E39,2)</f>
        <v>9151.27</v>
      </c>
      <c r="I39" s="36"/>
    </row>
    <row r="40" spans="1:9" ht="75" x14ac:dyDescent="0.25">
      <c r="A40" s="32">
        <f t="shared" si="2"/>
        <v>35</v>
      </c>
      <c r="B40" s="32" t="s">
        <v>300</v>
      </c>
      <c r="C40" s="33" t="s">
        <v>105</v>
      </c>
      <c r="D40" s="32" t="s">
        <v>33</v>
      </c>
      <c r="E40" s="34">
        <v>20</v>
      </c>
      <c r="F40" s="34">
        <v>5136.3</v>
      </c>
      <c r="G40" s="34">
        <f t="shared" si="1"/>
        <v>4352.7966101694919</v>
      </c>
      <c r="H40" s="35">
        <f t="shared" si="0"/>
        <v>87055.93</v>
      </c>
      <c r="I40" s="36"/>
    </row>
    <row r="41" spans="1:9" ht="45" x14ac:dyDescent="0.25">
      <c r="A41" s="32">
        <f t="shared" si="2"/>
        <v>36</v>
      </c>
      <c r="B41" s="32" t="s">
        <v>301</v>
      </c>
      <c r="C41" s="37" t="s">
        <v>106</v>
      </c>
      <c r="D41" s="32" t="s">
        <v>33</v>
      </c>
      <c r="E41" s="34">
        <v>450</v>
      </c>
      <c r="F41" s="34">
        <v>1123.8</v>
      </c>
      <c r="G41" s="34">
        <f t="shared" si="1"/>
        <v>952.37288135593224</v>
      </c>
      <c r="H41" s="35">
        <f t="shared" si="0"/>
        <v>428567.8</v>
      </c>
      <c r="I41" s="36"/>
    </row>
    <row r="42" spans="1:9" ht="45" x14ac:dyDescent="0.25">
      <c r="A42" s="32">
        <f t="shared" si="2"/>
        <v>37</v>
      </c>
      <c r="B42" s="32" t="s">
        <v>302</v>
      </c>
      <c r="C42" s="33" t="s">
        <v>107</v>
      </c>
      <c r="D42" s="32" t="s">
        <v>54</v>
      </c>
      <c r="E42" s="34">
        <v>105</v>
      </c>
      <c r="F42" s="34">
        <v>298.60000000000002</v>
      </c>
      <c r="G42" s="34">
        <f t="shared" si="1"/>
        <v>253.05084745762716</v>
      </c>
      <c r="H42" s="35">
        <f t="shared" si="0"/>
        <v>26570.34</v>
      </c>
      <c r="I42" s="36"/>
    </row>
    <row r="43" spans="1:9" ht="45" x14ac:dyDescent="0.25">
      <c r="A43" s="32">
        <f t="shared" si="2"/>
        <v>38</v>
      </c>
      <c r="B43" s="32" t="s">
        <v>303</v>
      </c>
      <c r="C43" s="33" t="s">
        <v>108</v>
      </c>
      <c r="D43" s="32" t="s">
        <v>54</v>
      </c>
      <c r="E43" s="34">
        <v>30</v>
      </c>
      <c r="F43" s="34">
        <v>510.95</v>
      </c>
      <c r="G43" s="34">
        <f t="shared" si="1"/>
        <v>433.00847457627117</v>
      </c>
      <c r="H43" s="35">
        <f t="shared" si="0"/>
        <v>12990.25</v>
      </c>
      <c r="I43" s="36"/>
    </row>
    <row r="44" spans="1:9" ht="30" x14ac:dyDescent="0.25">
      <c r="A44" s="32">
        <f t="shared" si="2"/>
        <v>39</v>
      </c>
      <c r="B44" s="32">
        <v>8.4</v>
      </c>
      <c r="C44" s="33" t="s">
        <v>109</v>
      </c>
      <c r="D44" s="32" t="s">
        <v>54</v>
      </c>
      <c r="E44" s="34">
        <v>50</v>
      </c>
      <c r="F44" s="34">
        <v>568.54999999999995</v>
      </c>
      <c r="G44" s="34">
        <f t="shared" si="1"/>
        <v>481.82203389830505</v>
      </c>
      <c r="H44" s="35">
        <f t="shared" si="0"/>
        <v>24091.1</v>
      </c>
      <c r="I44" s="36"/>
    </row>
    <row r="45" spans="1:9" ht="45" x14ac:dyDescent="0.25">
      <c r="A45" s="32">
        <f t="shared" si="2"/>
        <v>40</v>
      </c>
      <c r="B45" s="32">
        <v>8.5</v>
      </c>
      <c r="C45" s="33" t="s">
        <v>110</v>
      </c>
      <c r="D45" s="32" t="s">
        <v>40</v>
      </c>
      <c r="E45" s="34">
        <v>14</v>
      </c>
      <c r="F45" s="34">
        <v>978.7</v>
      </c>
      <c r="G45" s="34">
        <f t="shared" si="1"/>
        <v>829.40677966101691</v>
      </c>
      <c r="H45" s="35">
        <f t="shared" si="0"/>
        <v>11611.69</v>
      </c>
      <c r="I45" s="36"/>
    </row>
    <row r="46" spans="1:9" ht="60" x14ac:dyDescent="0.25">
      <c r="A46" s="32">
        <f t="shared" si="2"/>
        <v>41</v>
      </c>
      <c r="B46" s="32" t="s">
        <v>304</v>
      </c>
      <c r="C46" s="33" t="s">
        <v>111</v>
      </c>
      <c r="D46" s="32" t="s">
        <v>33</v>
      </c>
      <c r="E46" s="34">
        <v>40.950000000000003</v>
      </c>
      <c r="F46" s="34">
        <v>2392.65</v>
      </c>
      <c r="G46" s="34">
        <f t="shared" si="1"/>
        <v>2027.6694915254238</v>
      </c>
      <c r="H46" s="35">
        <f t="shared" si="0"/>
        <v>83033.070000000007</v>
      </c>
      <c r="I46" s="36"/>
    </row>
    <row r="47" spans="1:9" ht="60" x14ac:dyDescent="0.25">
      <c r="A47" s="32">
        <f t="shared" si="2"/>
        <v>42</v>
      </c>
      <c r="B47" s="32" t="s">
        <v>305</v>
      </c>
      <c r="C47" s="33" t="s">
        <v>112</v>
      </c>
      <c r="D47" s="32" t="s">
        <v>33</v>
      </c>
      <c r="E47" s="34">
        <v>42</v>
      </c>
      <c r="F47" s="34">
        <v>2093.6999999999998</v>
      </c>
      <c r="G47" s="34">
        <f t="shared" si="1"/>
        <v>1774.3220338983049</v>
      </c>
      <c r="H47" s="35">
        <f t="shared" si="0"/>
        <v>74521.53</v>
      </c>
      <c r="I47" s="36"/>
    </row>
    <row r="48" spans="1:9" ht="30" x14ac:dyDescent="0.25">
      <c r="A48" s="32">
        <f t="shared" si="2"/>
        <v>43</v>
      </c>
      <c r="B48" s="32">
        <v>9.23</v>
      </c>
      <c r="C48" s="33" t="s">
        <v>113</v>
      </c>
      <c r="D48" s="32" t="s">
        <v>33</v>
      </c>
      <c r="E48" s="34">
        <v>2</v>
      </c>
      <c r="F48" s="34">
        <v>462.35</v>
      </c>
      <c r="G48" s="34">
        <f t="shared" si="1"/>
        <v>391.82203389830511</v>
      </c>
      <c r="H48" s="35">
        <f t="shared" si="0"/>
        <v>783.64</v>
      </c>
      <c r="I48" s="36"/>
    </row>
    <row r="49" spans="1:9" x14ac:dyDescent="0.25">
      <c r="A49" s="32">
        <f t="shared" si="2"/>
        <v>44</v>
      </c>
      <c r="B49" s="32" t="s">
        <v>306</v>
      </c>
      <c r="C49" s="33" t="s">
        <v>114</v>
      </c>
      <c r="D49" s="32" t="s">
        <v>40</v>
      </c>
      <c r="E49" s="34">
        <v>108</v>
      </c>
      <c r="F49" s="34">
        <v>118.2</v>
      </c>
      <c r="G49" s="34">
        <f t="shared" si="1"/>
        <v>100.16949152542372</v>
      </c>
      <c r="H49" s="35">
        <f t="shared" si="0"/>
        <v>10818.31</v>
      </c>
      <c r="I49" s="36"/>
    </row>
    <row r="50" spans="1:9" x14ac:dyDescent="0.25">
      <c r="A50" s="32">
        <f t="shared" si="2"/>
        <v>45</v>
      </c>
      <c r="B50" s="32" t="s">
        <v>307</v>
      </c>
      <c r="C50" s="33" t="s">
        <v>115</v>
      </c>
      <c r="D50" s="32" t="s">
        <v>40</v>
      </c>
      <c r="E50" s="34">
        <v>18</v>
      </c>
      <c r="F50" s="34">
        <v>80.05</v>
      </c>
      <c r="G50" s="34">
        <f t="shared" si="1"/>
        <v>67.83898305084746</v>
      </c>
      <c r="H50" s="35">
        <f t="shared" si="0"/>
        <v>1221.0999999999999</v>
      </c>
      <c r="I50" s="36"/>
    </row>
    <row r="51" spans="1:9" ht="45" x14ac:dyDescent="0.25">
      <c r="A51" s="32">
        <f t="shared" si="2"/>
        <v>46</v>
      </c>
      <c r="B51" s="32" t="s">
        <v>308</v>
      </c>
      <c r="C51" s="33" t="s">
        <v>116</v>
      </c>
      <c r="D51" s="32" t="s">
        <v>40</v>
      </c>
      <c r="E51" s="34">
        <v>83</v>
      </c>
      <c r="F51" s="34">
        <v>260.60000000000002</v>
      </c>
      <c r="G51" s="34">
        <f t="shared" si="1"/>
        <v>220.84745762711867</v>
      </c>
      <c r="H51" s="35">
        <f t="shared" si="0"/>
        <v>18330.34</v>
      </c>
      <c r="I51" s="36"/>
    </row>
    <row r="52" spans="1:9" ht="30" x14ac:dyDescent="0.25">
      <c r="A52" s="32">
        <f t="shared" si="2"/>
        <v>47</v>
      </c>
      <c r="B52" s="32">
        <v>9.9700000000000006</v>
      </c>
      <c r="C52" s="33" t="s">
        <v>117</v>
      </c>
      <c r="D52" s="32"/>
      <c r="E52" s="34"/>
      <c r="F52" s="34"/>
      <c r="G52" s="34">
        <f t="shared" ref="G52" si="3">F52*100/112</f>
        <v>0</v>
      </c>
      <c r="H52" s="35">
        <f t="shared" si="0"/>
        <v>0</v>
      </c>
      <c r="I52" s="36"/>
    </row>
    <row r="53" spans="1:9" x14ac:dyDescent="0.25">
      <c r="A53" s="32">
        <f t="shared" si="2"/>
        <v>48</v>
      </c>
      <c r="B53" s="32" t="s">
        <v>309</v>
      </c>
      <c r="C53" s="33" t="s">
        <v>118</v>
      </c>
      <c r="D53" s="32" t="s">
        <v>40</v>
      </c>
      <c r="E53" s="34">
        <v>12</v>
      </c>
      <c r="F53" s="34">
        <v>130.1</v>
      </c>
      <c r="G53" s="34">
        <f t="shared" ref="G53:G77" si="4">F53*100/118</f>
        <v>110.2542372881356</v>
      </c>
      <c r="H53" s="35">
        <f t="shared" si="0"/>
        <v>1323.05</v>
      </c>
      <c r="I53" s="36"/>
    </row>
    <row r="54" spans="1:9" x14ac:dyDescent="0.25">
      <c r="A54" s="32">
        <f t="shared" si="2"/>
        <v>49</v>
      </c>
      <c r="B54" s="32" t="s">
        <v>310</v>
      </c>
      <c r="C54" s="33" t="s">
        <v>119</v>
      </c>
      <c r="D54" s="32" t="s">
        <v>40</v>
      </c>
      <c r="E54" s="34">
        <v>12</v>
      </c>
      <c r="F54" s="34">
        <v>99.7</v>
      </c>
      <c r="G54" s="34">
        <f t="shared" si="4"/>
        <v>84.491525423728817</v>
      </c>
      <c r="H54" s="35">
        <f t="shared" si="0"/>
        <v>1013.9</v>
      </c>
      <c r="I54" s="36"/>
    </row>
    <row r="55" spans="1:9" x14ac:dyDescent="0.25">
      <c r="A55" s="32">
        <f t="shared" si="2"/>
        <v>50</v>
      </c>
      <c r="B55" s="32" t="s">
        <v>311</v>
      </c>
      <c r="C55" s="33" t="s">
        <v>120</v>
      </c>
      <c r="D55" s="32" t="s">
        <v>40</v>
      </c>
      <c r="E55" s="34">
        <v>12</v>
      </c>
      <c r="F55" s="34">
        <v>82.55</v>
      </c>
      <c r="G55" s="34">
        <f t="shared" si="4"/>
        <v>69.957627118644069</v>
      </c>
      <c r="H55" s="35">
        <f t="shared" si="0"/>
        <v>839.49</v>
      </c>
      <c r="I55" s="36"/>
    </row>
    <row r="56" spans="1:9" x14ac:dyDescent="0.25">
      <c r="A56" s="38">
        <f t="shared" si="2"/>
        <v>51</v>
      </c>
      <c r="B56" s="38" t="s">
        <v>312</v>
      </c>
      <c r="C56" s="39" t="s">
        <v>121</v>
      </c>
      <c r="D56" s="38" t="s">
        <v>40</v>
      </c>
      <c r="E56" s="40">
        <v>9</v>
      </c>
      <c r="F56" s="40">
        <v>64.7</v>
      </c>
      <c r="G56" s="34">
        <f t="shared" si="4"/>
        <v>54.83050847457627</v>
      </c>
      <c r="H56" s="35">
        <f t="shared" si="0"/>
        <v>493.47</v>
      </c>
      <c r="I56" s="36"/>
    </row>
    <row r="57" spans="1:9" ht="30" x14ac:dyDescent="0.25">
      <c r="A57" s="32">
        <f t="shared" si="2"/>
        <v>52</v>
      </c>
      <c r="B57" s="32">
        <v>21.13</v>
      </c>
      <c r="C57" s="33" t="s">
        <v>122</v>
      </c>
      <c r="D57" s="32" t="s">
        <v>40</v>
      </c>
      <c r="E57" s="34">
        <v>36</v>
      </c>
      <c r="F57" s="34">
        <v>528.85</v>
      </c>
      <c r="G57" s="34">
        <f t="shared" si="4"/>
        <v>448.17796610169489</v>
      </c>
      <c r="H57" s="35">
        <f t="shared" si="0"/>
        <v>16134.41</v>
      </c>
      <c r="I57" s="36"/>
    </row>
    <row r="58" spans="1:9" ht="120" x14ac:dyDescent="0.25">
      <c r="A58" s="32">
        <f t="shared" si="2"/>
        <v>53</v>
      </c>
      <c r="B58" s="32" t="s">
        <v>313</v>
      </c>
      <c r="C58" s="33" t="s">
        <v>123</v>
      </c>
      <c r="D58" s="32" t="s">
        <v>54</v>
      </c>
      <c r="E58" s="34">
        <v>132</v>
      </c>
      <c r="F58" s="34">
        <v>583.29999999999995</v>
      </c>
      <c r="G58" s="34">
        <f t="shared" si="4"/>
        <v>494.32203389830505</v>
      </c>
      <c r="H58" s="35">
        <f t="shared" si="0"/>
        <v>65250.51</v>
      </c>
      <c r="I58" s="36"/>
    </row>
    <row r="59" spans="1:9" x14ac:dyDescent="0.25">
      <c r="A59" s="32">
        <f t="shared" si="2"/>
        <v>54</v>
      </c>
      <c r="B59" s="32" t="s">
        <v>314</v>
      </c>
      <c r="C59" s="33" t="s">
        <v>124</v>
      </c>
      <c r="D59" s="32" t="s">
        <v>33</v>
      </c>
      <c r="E59" s="34">
        <v>1153</v>
      </c>
      <c r="F59" s="34">
        <v>357.35</v>
      </c>
      <c r="G59" s="34">
        <f t="shared" si="4"/>
        <v>302.83898305084745</v>
      </c>
      <c r="H59" s="35">
        <f>ROUND(G59*E59,2)</f>
        <v>349173.35</v>
      </c>
      <c r="I59" s="36"/>
    </row>
    <row r="60" spans="1:9" ht="30" x14ac:dyDescent="0.25">
      <c r="A60" s="32">
        <f t="shared" si="2"/>
        <v>55</v>
      </c>
      <c r="B60" s="32">
        <v>13.11</v>
      </c>
      <c r="C60" s="37" t="s">
        <v>125</v>
      </c>
      <c r="D60" s="32" t="s">
        <v>33</v>
      </c>
      <c r="E60" s="34">
        <v>626</v>
      </c>
      <c r="F60" s="34">
        <v>518.54999999999995</v>
      </c>
      <c r="G60" s="34">
        <f t="shared" si="4"/>
        <v>439.44915254237281</v>
      </c>
      <c r="H60" s="35">
        <f t="shared" si="0"/>
        <v>275095.17</v>
      </c>
      <c r="I60" s="36"/>
    </row>
    <row r="61" spans="1:9" x14ac:dyDescent="0.25">
      <c r="A61" s="32">
        <f t="shared" si="2"/>
        <v>56</v>
      </c>
      <c r="B61" s="32" t="s">
        <v>315</v>
      </c>
      <c r="C61" s="33" t="s">
        <v>126</v>
      </c>
      <c r="D61" s="32" t="s">
        <v>33</v>
      </c>
      <c r="E61" s="34">
        <v>550</v>
      </c>
      <c r="F61" s="34">
        <v>300.45</v>
      </c>
      <c r="G61" s="34">
        <f t="shared" si="4"/>
        <v>254.61864406779662</v>
      </c>
      <c r="H61" s="35">
        <f t="shared" si="0"/>
        <v>140040.25</v>
      </c>
      <c r="I61" s="36"/>
    </row>
    <row r="62" spans="1:9" ht="75" x14ac:dyDescent="0.25">
      <c r="A62" s="32">
        <f t="shared" si="2"/>
        <v>57</v>
      </c>
      <c r="B62" s="32" t="s">
        <v>316</v>
      </c>
      <c r="C62" s="37" t="s">
        <v>127</v>
      </c>
      <c r="D62" s="32" t="s">
        <v>33</v>
      </c>
      <c r="E62" s="34">
        <v>138</v>
      </c>
      <c r="F62" s="34">
        <v>176.25</v>
      </c>
      <c r="G62" s="34">
        <f t="shared" si="4"/>
        <v>149.36440677966101</v>
      </c>
      <c r="H62" s="35">
        <f t="shared" si="0"/>
        <v>20612.29</v>
      </c>
      <c r="I62" s="36"/>
    </row>
    <row r="63" spans="1:9" ht="75" x14ac:dyDescent="0.25">
      <c r="A63" s="32">
        <f t="shared" si="2"/>
        <v>58</v>
      </c>
      <c r="B63" s="32" t="s">
        <v>317</v>
      </c>
      <c r="C63" s="37" t="s">
        <v>128</v>
      </c>
      <c r="D63" s="32" t="s">
        <v>33</v>
      </c>
      <c r="E63" s="34">
        <v>281</v>
      </c>
      <c r="F63" s="34">
        <v>170.7</v>
      </c>
      <c r="G63" s="34">
        <f t="shared" si="4"/>
        <v>144.66101694915255</v>
      </c>
      <c r="H63" s="35">
        <f t="shared" si="0"/>
        <v>40649.75</v>
      </c>
      <c r="I63" s="36"/>
    </row>
    <row r="64" spans="1:9" ht="30" x14ac:dyDescent="0.25">
      <c r="A64" s="32">
        <f t="shared" si="2"/>
        <v>59</v>
      </c>
      <c r="B64" s="35">
        <v>13.8</v>
      </c>
      <c r="C64" s="37" t="s">
        <v>129</v>
      </c>
      <c r="D64" s="32" t="s">
        <v>33</v>
      </c>
      <c r="E64" s="34">
        <v>313</v>
      </c>
      <c r="F64" s="34">
        <v>156.05000000000001</v>
      </c>
      <c r="G64" s="34">
        <f t="shared" si="4"/>
        <v>132.24576271186442</v>
      </c>
      <c r="H64" s="35">
        <f t="shared" si="0"/>
        <v>41392.92</v>
      </c>
      <c r="I64" s="55"/>
    </row>
    <row r="65" spans="1:9" ht="30" x14ac:dyDescent="0.25">
      <c r="A65" s="32">
        <f t="shared" si="2"/>
        <v>60</v>
      </c>
      <c r="B65" s="32">
        <v>13.26</v>
      </c>
      <c r="C65" s="37" t="s">
        <v>130</v>
      </c>
      <c r="D65" s="32" t="s">
        <v>33</v>
      </c>
      <c r="E65" s="34">
        <v>1153</v>
      </c>
      <c r="F65" s="34">
        <v>262.7</v>
      </c>
      <c r="G65" s="34">
        <f t="shared" si="4"/>
        <v>222.62711864406779</v>
      </c>
      <c r="H65" s="35">
        <f t="shared" si="0"/>
        <v>256689.07</v>
      </c>
      <c r="I65" s="36"/>
    </row>
    <row r="66" spans="1:9" ht="60" x14ac:dyDescent="0.25">
      <c r="A66" s="32">
        <f t="shared" si="2"/>
        <v>61</v>
      </c>
      <c r="B66" s="32" t="s">
        <v>318</v>
      </c>
      <c r="C66" s="42" t="s">
        <v>131</v>
      </c>
      <c r="D66" s="32" t="s">
        <v>33</v>
      </c>
      <c r="E66" s="34">
        <v>41</v>
      </c>
      <c r="F66" s="34">
        <v>3473.85</v>
      </c>
      <c r="G66" s="34">
        <f t="shared" si="4"/>
        <v>2943.9406779661017</v>
      </c>
      <c r="H66" s="35">
        <f t="shared" si="0"/>
        <v>120701.57</v>
      </c>
      <c r="I66" s="36"/>
    </row>
    <row r="67" spans="1:9" ht="45" x14ac:dyDescent="0.25">
      <c r="A67" s="32">
        <f t="shared" si="2"/>
        <v>62</v>
      </c>
      <c r="B67" s="32" t="s">
        <v>319</v>
      </c>
      <c r="C67" s="37" t="s">
        <v>132</v>
      </c>
      <c r="D67" s="32" t="s">
        <v>33</v>
      </c>
      <c r="E67" s="34">
        <v>313</v>
      </c>
      <c r="F67" s="34">
        <v>185.65</v>
      </c>
      <c r="G67" s="34">
        <f t="shared" si="4"/>
        <v>157.33050847457628</v>
      </c>
      <c r="H67" s="35">
        <f t="shared" si="0"/>
        <v>49244.45</v>
      </c>
      <c r="I67" s="36"/>
    </row>
    <row r="68" spans="1:9" ht="45" x14ac:dyDescent="0.25">
      <c r="A68" s="32">
        <f t="shared" si="2"/>
        <v>63</v>
      </c>
      <c r="B68" s="32" t="s">
        <v>320</v>
      </c>
      <c r="C68" s="37" t="s">
        <v>133</v>
      </c>
      <c r="D68" s="32" t="s">
        <v>33</v>
      </c>
      <c r="E68" s="34">
        <v>1153</v>
      </c>
      <c r="F68" s="34">
        <v>181.25</v>
      </c>
      <c r="G68" s="34">
        <f t="shared" si="4"/>
        <v>153.60169491525423</v>
      </c>
      <c r="H68" s="35">
        <f t="shared" si="0"/>
        <v>177102.75</v>
      </c>
      <c r="I68" s="36"/>
    </row>
    <row r="69" spans="1:9" ht="60" x14ac:dyDescent="0.25">
      <c r="A69" s="32">
        <f t="shared" si="2"/>
        <v>64</v>
      </c>
      <c r="B69" s="32">
        <v>10.18</v>
      </c>
      <c r="C69" s="37" t="s">
        <v>134</v>
      </c>
      <c r="D69" s="32" t="s">
        <v>40</v>
      </c>
      <c r="E69" s="34">
        <v>20</v>
      </c>
      <c r="F69" s="34">
        <v>220.65</v>
      </c>
      <c r="G69" s="34">
        <f t="shared" si="4"/>
        <v>186.9915254237288</v>
      </c>
      <c r="H69" s="35">
        <f t="shared" si="0"/>
        <v>3739.83</v>
      </c>
      <c r="I69" s="36"/>
    </row>
    <row r="70" spans="1:9" ht="60" x14ac:dyDescent="0.25">
      <c r="A70" s="32">
        <f t="shared" si="2"/>
        <v>65</v>
      </c>
      <c r="B70" s="32" t="s">
        <v>321</v>
      </c>
      <c r="C70" s="37" t="s">
        <v>135</v>
      </c>
      <c r="D70" s="32" t="s">
        <v>49</v>
      </c>
      <c r="E70" s="34">
        <v>1600</v>
      </c>
      <c r="F70" s="34">
        <v>172.6</v>
      </c>
      <c r="G70" s="34">
        <f t="shared" si="4"/>
        <v>146.27118644067798</v>
      </c>
      <c r="H70" s="35">
        <f t="shared" ref="H70:H77" si="5">ROUND(G70*E70,2)</f>
        <v>234033.9</v>
      </c>
      <c r="I70" s="36"/>
    </row>
    <row r="71" spans="1:9" ht="45" x14ac:dyDescent="0.25">
      <c r="A71" s="32">
        <f t="shared" si="2"/>
        <v>66</v>
      </c>
      <c r="B71" s="32" t="s">
        <v>322</v>
      </c>
      <c r="C71" s="37" t="s">
        <v>136</v>
      </c>
      <c r="D71" s="32" t="s">
        <v>54</v>
      </c>
      <c r="E71" s="34">
        <v>40</v>
      </c>
      <c r="F71" s="34">
        <v>377.4</v>
      </c>
      <c r="G71" s="34">
        <f t="shared" si="4"/>
        <v>319.83050847457628</v>
      </c>
      <c r="H71" s="35">
        <f t="shared" si="5"/>
        <v>12793.22</v>
      </c>
      <c r="I71" s="36"/>
    </row>
    <row r="72" spans="1:9" ht="60" x14ac:dyDescent="0.25">
      <c r="A72" s="32">
        <f t="shared" si="2"/>
        <v>67</v>
      </c>
      <c r="B72" s="32" t="s">
        <v>323</v>
      </c>
      <c r="C72" s="37" t="s">
        <v>137</v>
      </c>
      <c r="D72" s="32" t="s">
        <v>40</v>
      </c>
      <c r="E72" s="34">
        <v>10</v>
      </c>
      <c r="F72" s="34">
        <v>164.2</v>
      </c>
      <c r="G72" s="34">
        <f t="shared" si="4"/>
        <v>139.15254237288136</v>
      </c>
      <c r="H72" s="35">
        <f t="shared" si="5"/>
        <v>1391.53</v>
      </c>
      <c r="I72" s="36"/>
    </row>
    <row r="73" spans="1:9" ht="45" x14ac:dyDescent="0.25">
      <c r="A73" s="32">
        <f t="shared" si="2"/>
        <v>68</v>
      </c>
      <c r="B73" s="32" t="s">
        <v>324</v>
      </c>
      <c r="C73" s="37" t="s">
        <v>138</v>
      </c>
      <c r="D73" s="32" t="s">
        <v>40</v>
      </c>
      <c r="E73" s="34">
        <v>10</v>
      </c>
      <c r="F73" s="34">
        <v>150.35</v>
      </c>
      <c r="G73" s="34">
        <f t="shared" si="4"/>
        <v>127.41525423728814</v>
      </c>
      <c r="H73" s="35">
        <f t="shared" si="5"/>
        <v>1274.1500000000001</v>
      </c>
      <c r="I73" s="36"/>
    </row>
    <row r="74" spans="1:9" ht="45" x14ac:dyDescent="0.25">
      <c r="A74" s="32">
        <f t="shared" si="2"/>
        <v>69</v>
      </c>
      <c r="B74" s="32" t="s">
        <v>325</v>
      </c>
      <c r="C74" s="37" t="s">
        <v>139</v>
      </c>
      <c r="D74" s="32" t="s">
        <v>40</v>
      </c>
      <c r="E74" s="34">
        <v>10</v>
      </c>
      <c r="F74" s="34">
        <v>131.85</v>
      </c>
      <c r="G74" s="34">
        <f t="shared" si="4"/>
        <v>111.73728813559322</v>
      </c>
      <c r="H74" s="35">
        <f t="shared" si="5"/>
        <v>1117.3699999999999</v>
      </c>
      <c r="I74" s="36"/>
    </row>
    <row r="75" spans="1:9" ht="60" x14ac:dyDescent="0.25">
      <c r="A75" s="32">
        <f t="shared" si="2"/>
        <v>70</v>
      </c>
      <c r="B75" s="32" t="s">
        <v>326</v>
      </c>
      <c r="C75" s="37" t="s">
        <v>140</v>
      </c>
      <c r="D75" s="32" t="s">
        <v>40</v>
      </c>
      <c r="E75" s="34">
        <v>20</v>
      </c>
      <c r="F75" s="34">
        <v>371.3</v>
      </c>
      <c r="G75" s="34">
        <f t="shared" si="4"/>
        <v>314.66101694915255</v>
      </c>
      <c r="H75" s="35">
        <f t="shared" si="5"/>
        <v>6293.22</v>
      </c>
      <c r="I75" s="36"/>
    </row>
    <row r="76" spans="1:9" ht="30" x14ac:dyDescent="0.25">
      <c r="A76" s="32">
        <f t="shared" si="2"/>
        <v>71</v>
      </c>
      <c r="B76" s="32">
        <v>12.44</v>
      </c>
      <c r="C76" s="37" t="s">
        <v>141</v>
      </c>
      <c r="D76" s="32" t="s">
        <v>40</v>
      </c>
      <c r="E76" s="34">
        <v>6</v>
      </c>
      <c r="F76" s="34">
        <v>54.7</v>
      </c>
      <c r="G76" s="34">
        <f t="shared" si="4"/>
        <v>46.355932203389834</v>
      </c>
      <c r="H76" s="35">
        <f t="shared" si="5"/>
        <v>278.14</v>
      </c>
      <c r="I76" s="36"/>
    </row>
    <row r="77" spans="1:9" ht="60" x14ac:dyDescent="0.25">
      <c r="A77" s="32">
        <f>A76+1</f>
        <v>72</v>
      </c>
      <c r="B77" s="32">
        <v>4.17</v>
      </c>
      <c r="C77" s="37" t="s">
        <v>142</v>
      </c>
      <c r="D77" s="32" t="s">
        <v>33</v>
      </c>
      <c r="E77" s="34">
        <v>75</v>
      </c>
      <c r="F77" s="34">
        <v>749.3</v>
      </c>
      <c r="G77" s="34">
        <f t="shared" si="4"/>
        <v>635</v>
      </c>
      <c r="H77" s="35">
        <f t="shared" si="5"/>
        <v>47625</v>
      </c>
      <c r="I77" s="36"/>
    </row>
    <row r="78" spans="1:9" ht="30" x14ac:dyDescent="0.25">
      <c r="A78" s="147">
        <f t="shared" si="2"/>
        <v>73</v>
      </c>
      <c r="B78" s="32">
        <v>22.3</v>
      </c>
      <c r="C78" s="37" t="s">
        <v>143</v>
      </c>
      <c r="D78" s="147" t="s">
        <v>33</v>
      </c>
      <c r="E78" s="152">
        <v>75</v>
      </c>
      <c r="F78" s="152">
        <v>769.6</v>
      </c>
      <c r="G78" s="152">
        <f>F78*100/118</f>
        <v>652.20338983050851</v>
      </c>
      <c r="H78" s="159">
        <f>E78*G78</f>
        <v>48915.254237288136</v>
      </c>
      <c r="I78" s="146"/>
    </row>
    <row r="79" spans="1:9" ht="30" x14ac:dyDescent="0.25">
      <c r="A79" s="148"/>
      <c r="B79" s="32" t="s">
        <v>56</v>
      </c>
      <c r="C79" s="33" t="s">
        <v>144</v>
      </c>
      <c r="D79" s="148"/>
      <c r="E79" s="153"/>
      <c r="F79" s="153"/>
      <c r="G79" s="153"/>
      <c r="H79" s="160"/>
      <c r="I79" s="146"/>
    </row>
    <row r="80" spans="1:9" ht="30" x14ac:dyDescent="0.25">
      <c r="A80" s="148"/>
      <c r="B80" s="32" t="s">
        <v>57</v>
      </c>
      <c r="C80" s="37" t="s">
        <v>145</v>
      </c>
      <c r="D80" s="148"/>
      <c r="E80" s="153"/>
      <c r="F80" s="153"/>
      <c r="G80" s="153"/>
      <c r="H80" s="160"/>
      <c r="I80" s="146"/>
    </row>
    <row r="81" spans="1:9" x14ac:dyDescent="0.25">
      <c r="A81" s="148"/>
      <c r="B81" s="32" t="s">
        <v>58</v>
      </c>
      <c r="C81" s="37" t="s">
        <v>146</v>
      </c>
      <c r="D81" s="148"/>
      <c r="E81" s="153"/>
      <c r="F81" s="153"/>
      <c r="G81" s="153"/>
      <c r="H81" s="160"/>
      <c r="I81" s="146"/>
    </row>
    <row r="82" spans="1:9" ht="30" x14ac:dyDescent="0.25">
      <c r="A82" s="149"/>
      <c r="B82" s="32" t="s">
        <v>59</v>
      </c>
      <c r="C82" s="37" t="s">
        <v>147</v>
      </c>
      <c r="D82" s="149"/>
      <c r="E82" s="154"/>
      <c r="F82" s="154"/>
      <c r="G82" s="154"/>
      <c r="H82" s="161"/>
      <c r="I82" s="146"/>
    </row>
    <row r="83" spans="1:9" ht="30" x14ac:dyDescent="0.25">
      <c r="A83" s="147">
        <v>74</v>
      </c>
      <c r="B83" s="32">
        <v>22.7</v>
      </c>
      <c r="C83" s="33" t="s">
        <v>148</v>
      </c>
      <c r="D83" s="150" t="s">
        <v>33</v>
      </c>
      <c r="E83" s="151">
        <v>320</v>
      </c>
      <c r="F83" s="151">
        <v>1684.6</v>
      </c>
      <c r="G83" s="152">
        <f>F83*100/118</f>
        <v>1427.6271186440679</v>
      </c>
      <c r="H83" s="155">
        <f>E83*G83</f>
        <v>456840.67796610174</v>
      </c>
      <c r="I83" s="146"/>
    </row>
    <row r="84" spans="1:9" ht="45" x14ac:dyDescent="0.25">
      <c r="A84" s="148"/>
      <c r="B84" s="32" t="s">
        <v>41</v>
      </c>
      <c r="C84" s="33" t="s">
        <v>149</v>
      </c>
      <c r="D84" s="150"/>
      <c r="E84" s="151"/>
      <c r="F84" s="151"/>
      <c r="G84" s="153"/>
      <c r="H84" s="155"/>
      <c r="I84" s="146"/>
    </row>
    <row r="85" spans="1:9" ht="75" x14ac:dyDescent="0.25">
      <c r="A85" s="148"/>
      <c r="B85" s="32" t="s">
        <v>42</v>
      </c>
      <c r="C85" s="37" t="s">
        <v>150</v>
      </c>
      <c r="D85" s="150"/>
      <c r="E85" s="151"/>
      <c r="F85" s="151"/>
      <c r="G85" s="153"/>
      <c r="H85" s="155"/>
      <c r="I85" s="146"/>
    </row>
    <row r="86" spans="1:9" ht="30" x14ac:dyDescent="0.25">
      <c r="A86" s="148"/>
      <c r="B86" s="32" t="s">
        <v>43</v>
      </c>
      <c r="C86" s="37" t="s">
        <v>151</v>
      </c>
      <c r="D86" s="150"/>
      <c r="E86" s="151"/>
      <c r="F86" s="151"/>
      <c r="G86" s="153"/>
      <c r="H86" s="155"/>
      <c r="I86" s="146"/>
    </row>
    <row r="87" spans="1:9" ht="60" x14ac:dyDescent="0.25">
      <c r="A87" s="148"/>
      <c r="B87" s="32" t="s">
        <v>327</v>
      </c>
      <c r="C87" s="33" t="s">
        <v>152</v>
      </c>
      <c r="D87" s="150"/>
      <c r="E87" s="151"/>
      <c r="F87" s="151"/>
      <c r="G87" s="153"/>
      <c r="H87" s="155"/>
      <c r="I87" s="146"/>
    </row>
    <row r="88" spans="1:9" ht="30" x14ac:dyDescent="0.25">
      <c r="A88" s="148"/>
      <c r="B88" s="32" t="s">
        <v>328</v>
      </c>
      <c r="C88" s="37" t="s">
        <v>153</v>
      </c>
      <c r="D88" s="150"/>
      <c r="E88" s="151"/>
      <c r="F88" s="151"/>
      <c r="G88" s="153"/>
      <c r="H88" s="155"/>
      <c r="I88" s="146"/>
    </row>
    <row r="89" spans="1:9" ht="30" x14ac:dyDescent="0.25">
      <c r="A89" s="149"/>
      <c r="B89" s="32" t="s">
        <v>329</v>
      </c>
      <c r="C89" s="33" t="s">
        <v>122</v>
      </c>
      <c r="D89" s="150"/>
      <c r="E89" s="151"/>
      <c r="F89" s="151"/>
      <c r="G89" s="154"/>
      <c r="H89" s="155"/>
      <c r="I89" s="146"/>
    </row>
    <row r="90" spans="1:9" ht="42.75" x14ac:dyDescent="0.25">
      <c r="A90" s="32">
        <v>75</v>
      </c>
      <c r="B90" s="54" t="s">
        <v>330</v>
      </c>
      <c r="C90" s="37" t="s">
        <v>154</v>
      </c>
      <c r="D90" s="32" t="s">
        <v>48</v>
      </c>
      <c r="E90" s="34">
        <v>23</v>
      </c>
      <c r="F90" s="34">
        <f>515.6*1.15</f>
        <v>592.93999999999994</v>
      </c>
      <c r="G90" s="34">
        <f>F90</f>
        <v>592.93999999999994</v>
      </c>
      <c r="H90" s="35">
        <f>E90*G90</f>
        <v>13637.619999999999</v>
      </c>
      <c r="I90" s="36"/>
    </row>
    <row r="91" spans="1:9" ht="42.75" x14ac:dyDescent="0.25">
      <c r="A91" s="32">
        <f>A90+1</f>
        <v>76</v>
      </c>
      <c r="B91" s="54" t="s">
        <v>331</v>
      </c>
      <c r="C91" s="37" t="s">
        <v>155</v>
      </c>
      <c r="D91" s="32" t="s">
        <v>48</v>
      </c>
      <c r="E91" s="34">
        <v>8</v>
      </c>
      <c r="F91" s="34">
        <f>294*1.15</f>
        <v>338.09999999999997</v>
      </c>
      <c r="G91" s="34">
        <f>F91</f>
        <v>338.09999999999997</v>
      </c>
      <c r="H91" s="35">
        <f t="shared" ref="H91:H106" si="6">E91*G91</f>
        <v>2704.7999999999997</v>
      </c>
      <c r="I91" s="36"/>
    </row>
    <row r="92" spans="1:9" ht="45" x14ac:dyDescent="0.25">
      <c r="A92" s="32">
        <f t="shared" ref="A92:A99" si="7">A91+1</f>
        <v>77</v>
      </c>
      <c r="B92" s="54" t="s">
        <v>332</v>
      </c>
      <c r="C92" s="37" t="s">
        <v>156</v>
      </c>
      <c r="D92" s="32" t="s">
        <v>33</v>
      </c>
      <c r="E92" s="34">
        <v>67.959999999999994</v>
      </c>
      <c r="F92" s="34">
        <f>13.3*1.15</f>
        <v>15.295</v>
      </c>
      <c r="G92" s="34">
        <f>F92</f>
        <v>15.295</v>
      </c>
      <c r="H92" s="35">
        <f t="shared" si="6"/>
        <v>1039.4481999999998</v>
      </c>
      <c r="I92" s="36"/>
    </row>
    <row r="93" spans="1:9" ht="42.75" x14ac:dyDescent="0.25">
      <c r="A93" s="32">
        <f t="shared" si="7"/>
        <v>78</v>
      </c>
      <c r="B93" s="54" t="s">
        <v>333</v>
      </c>
      <c r="C93" s="58" t="s">
        <v>157</v>
      </c>
      <c r="D93" s="32" t="s">
        <v>33</v>
      </c>
      <c r="E93" s="34">
        <v>67.959999999999994</v>
      </c>
      <c r="F93" s="34">
        <f>50.8*1.15</f>
        <v>58.419999999999995</v>
      </c>
      <c r="G93" s="34">
        <f>F93</f>
        <v>58.419999999999995</v>
      </c>
      <c r="H93" s="35">
        <f t="shared" si="6"/>
        <v>3970.2231999999995</v>
      </c>
      <c r="I93" s="36"/>
    </row>
    <row r="94" spans="1:9" ht="42.75" x14ac:dyDescent="0.25">
      <c r="A94" s="32">
        <f t="shared" si="7"/>
        <v>79</v>
      </c>
      <c r="B94" s="54" t="s">
        <v>334</v>
      </c>
      <c r="C94" s="58" t="s">
        <v>158</v>
      </c>
      <c r="D94" s="32" t="s">
        <v>48</v>
      </c>
      <c r="E94" s="34">
        <v>25</v>
      </c>
      <c r="F94" s="34">
        <f>52.35*1.15</f>
        <v>60.202499999999993</v>
      </c>
      <c r="G94" s="34">
        <f>F94</f>
        <v>60.202499999999993</v>
      </c>
      <c r="H94" s="35">
        <f t="shared" si="6"/>
        <v>1505.0624999999998</v>
      </c>
      <c r="I94" s="36"/>
    </row>
    <row r="95" spans="1:9" ht="165.75" x14ac:dyDescent="0.25">
      <c r="A95" s="38">
        <f t="shared" si="7"/>
        <v>80</v>
      </c>
      <c r="B95" s="59" t="s">
        <v>335</v>
      </c>
      <c r="C95" s="60" t="s">
        <v>159</v>
      </c>
      <c r="D95" s="38" t="s">
        <v>33</v>
      </c>
      <c r="E95" s="40">
        <v>29.7</v>
      </c>
      <c r="F95" s="40">
        <v>10284.700000000001</v>
      </c>
      <c r="G95" s="40">
        <f>F95*100/112</f>
        <v>9182.7678571428587</v>
      </c>
      <c r="H95" s="35">
        <f t="shared" si="6"/>
        <v>272728.2053571429</v>
      </c>
      <c r="I95" s="36" t="s">
        <v>336</v>
      </c>
    </row>
    <row r="96" spans="1:9" ht="178.5" x14ac:dyDescent="0.25">
      <c r="A96" s="32">
        <f t="shared" si="7"/>
        <v>81</v>
      </c>
      <c r="B96" s="54" t="s">
        <v>337</v>
      </c>
      <c r="C96" s="61" t="s">
        <v>160</v>
      </c>
      <c r="D96" s="32" t="s">
        <v>33</v>
      </c>
      <c r="E96" s="34">
        <v>92</v>
      </c>
      <c r="F96" s="34">
        <v>13201.2</v>
      </c>
      <c r="G96" s="34">
        <f t="shared" ref="G96:G106" si="8">F96*100/118</f>
        <v>11187.457627118643</v>
      </c>
      <c r="H96" s="35">
        <f t="shared" si="6"/>
        <v>1029246.1016949152</v>
      </c>
      <c r="I96" s="36"/>
    </row>
    <row r="97" spans="1:9" ht="153" x14ac:dyDescent="0.25">
      <c r="A97" s="32">
        <f>A96+1</f>
        <v>82</v>
      </c>
      <c r="B97" s="54" t="s">
        <v>338</v>
      </c>
      <c r="C97" s="61" t="s">
        <v>161</v>
      </c>
      <c r="D97" s="32" t="s">
        <v>33</v>
      </c>
      <c r="E97" s="34">
        <v>56.42</v>
      </c>
      <c r="F97" s="34">
        <v>8106.3</v>
      </c>
      <c r="G97" s="34">
        <f t="shared" si="8"/>
        <v>6869.7457627118647</v>
      </c>
      <c r="H97" s="35">
        <f t="shared" si="6"/>
        <v>387591.05593220342</v>
      </c>
      <c r="I97" s="36"/>
    </row>
    <row r="98" spans="1:9" ht="178.5" x14ac:dyDescent="0.25">
      <c r="A98" s="32">
        <f>A97+1</f>
        <v>83</v>
      </c>
      <c r="B98" s="62"/>
      <c r="C98" s="61" t="s">
        <v>160</v>
      </c>
      <c r="D98" s="32" t="s">
        <v>33</v>
      </c>
      <c r="E98" s="34">
        <v>35</v>
      </c>
      <c r="F98" s="34">
        <f>13201.2*1.3</f>
        <v>17161.560000000001</v>
      </c>
      <c r="G98" s="34">
        <f t="shared" si="8"/>
        <v>14543.694915254238</v>
      </c>
      <c r="H98" s="35">
        <f t="shared" si="6"/>
        <v>509029.32203389832</v>
      </c>
      <c r="I98" s="36"/>
    </row>
    <row r="99" spans="1:9" x14ac:dyDescent="0.25">
      <c r="A99" s="32">
        <f t="shared" si="7"/>
        <v>84</v>
      </c>
      <c r="B99" s="62"/>
      <c r="C99" s="61" t="s">
        <v>339</v>
      </c>
      <c r="D99" s="32" t="s">
        <v>33</v>
      </c>
      <c r="E99" s="34">
        <v>100</v>
      </c>
      <c r="F99" s="34">
        <f>297.92*1.15</f>
        <v>342.608</v>
      </c>
      <c r="G99" s="34">
        <f>F99</f>
        <v>342.608</v>
      </c>
      <c r="H99" s="35">
        <f t="shared" si="6"/>
        <v>34260.800000000003</v>
      </c>
      <c r="I99" s="36"/>
    </row>
    <row r="100" spans="1:9" x14ac:dyDescent="0.25">
      <c r="A100" s="32">
        <f>A99+1</f>
        <v>85</v>
      </c>
      <c r="B100" s="62"/>
      <c r="C100" s="61" t="s">
        <v>340</v>
      </c>
      <c r="D100" s="32" t="s">
        <v>33</v>
      </c>
      <c r="E100" s="34">
        <v>55</v>
      </c>
      <c r="F100" s="34">
        <f>3057.88*1.15</f>
        <v>3516.5619999999999</v>
      </c>
      <c r="G100" s="34">
        <f>F100</f>
        <v>3516.5619999999999</v>
      </c>
      <c r="H100" s="35">
        <f t="shared" si="6"/>
        <v>193410.91</v>
      </c>
      <c r="I100" s="36"/>
    </row>
    <row r="101" spans="1:9" ht="255" x14ac:dyDescent="0.25">
      <c r="A101" s="56"/>
      <c r="B101" s="63">
        <v>12.45</v>
      </c>
      <c r="C101" s="64" t="s">
        <v>341</v>
      </c>
      <c r="D101" s="56" t="s">
        <v>33</v>
      </c>
      <c r="E101" s="57"/>
      <c r="F101" s="57"/>
      <c r="G101" s="57"/>
      <c r="H101" s="35">
        <f t="shared" si="6"/>
        <v>0</v>
      </c>
      <c r="I101" s="36"/>
    </row>
    <row r="102" spans="1:9" x14ac:dyDescent="0.25">
      <c r="A102" s="65"/>
      <c r="B102" s="62" t="s">
        <v>342</v>
      </c>
      <c r="C102" s="66" t="s">
        <v>343</v>
      </c>
      <c r="D102" s="32" t="s">
        <v>33</v>
      </c>
      <c r="E102" s="44">
        <v>580</v>
      </c>
      <c r="F102" s="67">
        <v>1529.1</v>
      </c>
      <c r="G102" s="34">
        <f t="shared" si="8"/>
        <v>1295.8474576271187</v>
      </c>
      <c r="H102" s="35">
        <f t="shared" si="6"/>
        <v>751591.52542372886</v>
      </c>
      <c r="I102" s="36"/>
    </row>
    <row r="103" spans="1:9" ht="90" x14ac:dyDescent="0.25">
      <c r="A103" s="65"/>
      <c r="B103" s="62" t="s">
        <v>344</v>
      </c>
      <c r="C103" s="68" t="s">
        <v>345</v>
      </c>
      <c r="D103" s="32" t="s">
        <v>33</v>
      </c>
      <c r="E103" s="44">
        <v>176.68</v>
      </c>
      <c r="F103" s="69">
        <v>1430.2</v>
      </c>
      <c r="G103" s="34">
        <f t="shared" si="8"/>
        <v>1212.0338983050847</v>
      </c>
      <c r="H103" s="35">
        <f t="shared" si="6"/>
        <v>214142.14915254238</v>
      </c>
      <c r="I103" s="36"/>
    </row>
    <row r="104" spans="1:9" ht="60" x14ac:dyDescent="0.25">
      <c r="A104" s="65"/>
      <c r="B104" s="62" t="s">
        <v>346</v>
      </c>
      <c r="C104" s="68" t="s">
        <v>347</v>
      </c>
      <c r="D104" s="32" t="s">
        <v>33</v>
      </c>
      <c r="E104" s="44">
        <v>90</v>
      </c>
      <c r="F104" s="69">
        <v>1946.25</v>
      </c>
      <c r="G104" s="34">
        <f t="shared" si="8"/>
        <v>1649.3644067796611</v>
      </c>
      <c r="H104" s="35">
        <f t="shared" si="6"/>
        <v>148442.79661016949</v>
      </c>
      <c r="I104" s="36"/>
    </row>
    <row r="105" spans="1:9" ht="60" x14ac:dyDescent="0.25">
      <c r="A105" s="65"/>
      <c r="B105" s="62" t="s">
        <v>348</v>
      </c>
      <c r="C105" s="68" t="s">
        <v>349</v>
      </c>
      <c r="D105" s="32" t="s">
        <v>33</v>
      </c>
      <c r="E105" s="44">
        <v>200</v>
      </c>
      <c r="F105" s="69">
        <v>1723.05</v>
      </c>
      <c r="G105" s="34">
        <f t="shared" si="8"/>
        <v>1460.2118644067796</v>
      </c>
      <c r="H105" s="35">
        <f t="shared" si="6"/>
        <v>292042.37288135593</v>
      </c>
      <c r="I105" s="36"/>
    </row>
    <row r="106" spans="1:9" ht="270" x14ac:dyDescent="0.25">
      <c r="A106" s="65"/>
      <c r="B106" s="62" t="s">
        <v>350</v>
      </c>
      <c r="C106" s="68" t="s">
        <v>351</v>
      </c>
      <c r="D106" s="32" t="s">
        <v>33</v>
      </c>
      <c r="E106" s="44">
        <v>55</v>
      </c>
      <c r="F106" s="69">
        <v>1902.95</v>
      </c>
      <c r="G106" s="34">
        <f t="shared" si="8"/>
        <v>1612.6694915254238</v>
      </c>
      <c r="H106" s="35">
        <f t="shared" si="6"/>
        <v>88696.822033898308</v>
      </c>
      <c r="I106" s="36"/>
    </row>
    <row r="107" spans="1:9" x14ac:dyDescent="0.25">
      <c r="A107" s="70"/>
      <c r="B107" s="71"/>
      <c r="C107" s="72"/>
      <c r="D107" s="73"/>
      <c r="E107" s="70"/>
      <c r="F107" s="74"/>
      <c r="G107" s="75"/>
      <c r="H107" s="12"/>
    </row>
    <row r="108" spans="1:9" x14ac:dyDescent="0.25">
      <c r="A108" s="142" t="s">
        <v>352</v>
      </c>
      <c r="B108" s="142"/>
      <c r="C108" s="142"/>
      <c r="D108" s="142"/>
      <c r="E108" s="142"/>
      <c r="F108" s="142"/>
      <c r="G108" s="43"/>
      <c r="H108" s="31">
        <f>SUM(H5:H107)</f>
        <v>19547950.297223251</v>
      </c>
    </row>
    <row r="109" spans="1:9" x14ac:dyDescent="0.25">
      <c r="A109" s="143" t="s">
        <v>353</v>
      </c>
      <c r="B109" s="143"/>
      <c r="C109" s="143"/>
      <c r="D109" s="143"/>
      <c r="E109" s="143"/>
      <c r="F109" s="143"/>
      <c r="G109" s="76"/>
      <c r="H109" s="31">
        <f>H108-H110</f>
        <v>19320278.58722325</v>
      </c>
    </row>
    <row r="110" spans="1:9" x14ac:dyDescent="0.25">
      <c r="A110" s="144" t="s">
        <v>354</v>
      </c>
      <c r="B110" s="143"/>
      <c r="C110" s="143"/>
      <c r="D110" s="143"/>
      <c r="E110" s="143"/>
      <c r="F110" s="145"/>
      <c r="G110" s="30"/>
      <c r="H110" s="31">
        <f>H99+H100</f>
        <v>227671.71000000002</v>
      </c>
    </row>
  </sheetData>
  <sheetProtection algorithmName="SHA-512" hashValue="Nx2n+zYdpOw1WPyngwsCvQSHnTfdLHJB2ce/c9QGh+LDhFWEvoevHq98xF8D9f1ktPsriS9l4qSbAyLsBbGtww==" saltValue="oOif2csckfja+juow6CjqQ==" spinCount="100000" sheet="1" objects="1" scenarios="1" selectLockedCells="1" selectUnlockedCells="1"/>
  <mergeCells count="19">
    <mergeCell ref="A1:H1"/>
    <mergeCell ref="A4:B4"/>
    <mergeCell ref="A78:A82"/>
    <mergeCell ref="D78:D82"/>
    <mergeCell ref="E78:E82"/>
    <mergeCell ref="F78:F82"/>
    <mergeCell ref="G78:G82"/>
    <mergeCell ref="H78:H82"/>
    <mergeCell ref="A108:F108"/>
    <mergeCell ref="A109:F109"/>
    <mergeCell ref="A110:F110"/>
    <mergeCell ref="I78:I82"/>
    <mergeCell ref="A83:A89"/>
    <mergeCell ref="D83:D89"/>
    <mergeCell ref="E83:E89"/>
    <mergeCell ref="F83:F89"/>
    <mergeCell ref="G83:G89"/>
    <mergeCell ref="H83:H89"/>
    <mergeCell ref="I83:I8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D8F07-ADA3-496B-BB5B-3997B34875F4}">
  <sheetPr>
    <tabColor rgb="FFFFFF00"/>
  </sheetPr>
  <dimension ref="A1:L1048530"/>
  <sheetViews>
    <sheetView workbookViewId="0">
      <pane ySplit="2" topLeftCell="A59" activePane="bottomLeft" state="frozen"/>
      <selection activeCell="H111" sqref="H111"/>
      <selection pane="bottomLeft" activeCell="H46257" sqref="H46257"/>
    </sheetView>
  </sheetViews>
  <sheetFormatPr defaultRowHeight="15" x14ac:dyDescent="0.25"/>
  <cols>
    <col min="1" max="1" width="7.7109375" style="77" bestFit="1" customWidth="1"/>
    <col min="2" max="2" width="15.28515625" style="77" bestFit="1" customWidth="1"/>
    <col min="3" max="3" width="56.42578125" style="77" customWidth="1"/>
    <col min="4" max="5" width="9.140625" style="77" customWidth="1"/>
    <col min="6" max="6" width="9.140625" style="77" hidden="1" customWidth="1"/>
    <col min="7" max="7" width="14.85546875" style="77" customWidth="1"/>
    <col min="8" max="8" width="15.140625" style="77" customWidth="1"/>
    <col min="9" max="16384" width="9.140625" style="77"/>
  </cols>
  <sheetData>
    <row r="1" spans="1:12" ht="28.5" customHeight="1" x14ac:dyDescent="0.3">
      <c r="A1" s="162" t="s">
        <v>437</v>
      </c>
      <c r="B1" s="162"/>
      <c r="C1" s="162"/>
      <c r="D1" s="162"/>
      <c r="E1" s="162"/>
      <c r="F1" s="162"/>
      <c r="G1" s="162"/>
      <c r="H1" s="162"/>
    </row>
    <row r="2" spans="1:12" s="80" customFormat="1" ht="24" customHeight="1" x14ac:dyDescent="0.25">
      <c r="A2" s="78" t="s">
        <v>62</v>
      </c>
      <c r="B2" s="79" t="s">
        <v>274</v>
      </c>
      <c r="C2" s="78" t="s">
        <v>63</v>
      </c>
      <c r="D2" s="78" t="s">
        <v>47</v>
      </c>
      <c r="E2" s="78" t="s">
        <v>60</v>
      </c>
      <c r="F2" s="78" t="s">
        <v>53</v>
      </c>
      <c r="G2" s="79" t="s">
        <v>436</v>
      </c>
      <c r="H2" s="78" t="s">
        <v>64</v>
      </c>
    </row>
    <row r="3" spans="1:12" s="80" customFormat="1" ht="24" customHeight="1" x14ac:dyDescent="0.25">
      <c r="A3" s="163" t="s">
        <v>162</v>
      </c>
      <c r="B3" s="164"/>
      <c r="C3" s="164"/>
      <c r="D3" s="164"/>
      <c r="E3" s="164"/>
      <c r="F3" s="164"/>
      <c r="G3" s="164"/>
      <c r="H3" s="165"/>
    </row>
    <row r="4" spans="1:12" ht="18.75" x14ac:dyDescent="0.25">
      <c r="A4" s="81">
        <v>1</v>
      </c>
      <c r="B4" s="81">
        <v>2</v>
      </c>
      <c r="C4" s="81">
        <v>3</v>
      </c>
      <c r="D4" s="81">
        <v>4</v>
      </c>
      <c r="E4" s="81">
        <v>5</v>
      </c>
      <c r="F4" s="81">
        <v>6</v>
      </c>
      <c r="G4" s="81">
        <v>7</v>
      </c>
      <c r="H4" s="81">
        <v>8</v>
      </c>
    </row>
    <row r="5" spans="1:12" ht="108.75" customHeight="1" x14ac:dyDescent="0.25">
      <c r="A5" s="45">
        <v>1</v>
      </c>
      <c r="B5" s="45" t="s">
        <v>355</v>
      </c>
      <c r="C5" s="82" t="s">
        <v>163</v>
      </c>
      <c r="D5" s="45" t="s">
        <v>40</v>
      </c>
      <c r="E5" s="46">
        <v>12</v>
      </c>
      <c r="F5" s="46">
        <v>6515.55</v>
      </c>
      <c r="G5" s="46">
        <f t="shared" ref="G5:G59" si="0">F5*100/118</f>
        <v>5521.6525423728817</v>
      </c>
      <c r="H5" s="83">
        <f>G5*E5</f>
        <v>66259.830508474581</v>
      </c>
      <c r="L5" s="84"/>
    </row>
    <row r="6" spans="1:12" ht="93.75" customHeight="1" x14ac:dyDescent="0.25">
      <c r="A6" s="45">
        <v>2</v>
      </c>
      <c r="B6" s="45" t="s">
        <v>356</v>
      </c>
      <c r="C6" s="82" t="s">
        <v>164</v>
      </c>
      <c r="D6" s="45" t="s">
        <v>40</v>
      </c>
      <c r="E6" s="46">
        <v>13</v>
      </c>
      <c r="F6" s="46">
        <v>2301.75</v>
      </c>
      <c r="G6" s="46">
        <f t="shared" si="0"/>
        <v>1950.6355932203389</v>
      </c>
      <c r="H6" s="83">
        <f t="shared" ref="H6:H59" si="1">G6*E6</f>
        <v>25358.262711864405</v>
      </c>
    </row>
    <row r="7" spans="1:12" ht="75" x14ac:dyDescent="0.25">
      <c r="A7" s="45">
        <v>3</v>
      </c>
      <c r="B7" s="45" t="s">
        <v>357</v>
      </c>
      <c r="C7" s="85" t="s">
        <v>165</v>
      </c>
      <c r="D7" s="45" t="s">
        <v>40</v>
      </c>
      <c r="E7" s="46">
        <v>1</v>
      </c>
      <c r="F7" s="46">
        <v>6945.6</v>
      </c>
      <c r="G7" s="46">
        <f t="shared" si="0"/>
        <v>5886.1016949152545</v>
      </c>
      <c r="H7" s="83">
        <f t="shared" si="1"/>
        <v>5886.1016949152545</v>
      </c>
    </row>
    <row r="8" spans="1:12" ht="75" x14ac:dyDescent="0.25">
      <c r="A8" s="45">
        <v>4</v>
      </c>
      <c r="B8" s="45" t="s">
        <v>358</v>
      </c>
      <c r="C8" s="85" t="s">
        <v>166</v>
      </c>
      <c r="D8" s="45" t="s">
        <v>40</v>
      </c>
      <c r="E8" s="46">
        <v>8</v>
      </c>
      <c r="F8" s="46">
        <v>6917.2</v>
      </c>
      <c r="G8" s="46">
        <f t="shared" si="0"/>
        <v>5862.0338983050851</v>
      </c>
      <c r="H8" s="83">
        <f t="shared" si="1"/>
        <v>46896.271186440681</v>
      </c>
    </row>
    <row r="9" spans="1:12" ht="45" x14ac:dyDescent="0.25">
      <c r="A9" s="45">
        <v>5</v>
      </c>
      <c r="B9" s="45" t="s">
        <v>359</v>
      </c>
      <c r="C9" s="82" t="s">
        <v>167</v>
      </c>
      <c r="D9" s="45" t="s">
        <v>40</v>
      </c>
      <c r="E9" s="46">
        <v>22</v>
      </c>
      <c r="F9" s="46">
        <v>116.7</v>
      </c>
      <c r="G9" s="46">
        <f t="shared" si="0"/>
        <v>98.898305084745758</v>
      </c>
      <c r="H9" s="83">
        <f t="shared" si="1"/>
        <v>2175.7627118644068</v>
      </c>
    </row>
    <row r="10" spans="1:12" ht="60" x14ac:dyDescent="0.25">
      <c r="A10" s="45">
        <v>6</v>
      </c>
      <c r="B10" s="45">
        <v>17.309999999999999</v>
      </c>
      <c r="C10" s="82" t="s">
        <v>168</v>
      </c>
      <c r="D10" s="45" t="s">
        <v>40</v>
      </c>
      <c r="E10" s="46">
        <v>12</v>
      </c>
      <c r="F10" s="46">
        <v>1607.95</v>
      </c>
      <c r="G10" s="46">
        <f t="shared" si="0"/>
        <v>1362.6694915254238</v>
      </c>
      <c r="H10" s="83">
        <f t="shared" si="1"/>
        <v>16352.033898305086</v>
      </c>
    </row>
    <row r="11" spans="1:12" ht="64.5" customHeight="1" x14ac:dyDescent="0.25">
      <c r="A11" s="45">
        <v>7</v>
      </c>
      <c r="B11" s="45">
        <v>17.329999999999998</v>
      </c>
      <c r="C11" s="82" t="s">
        <v>169</v>
      </c>
      <c r="D11" s="45" t="s">
        <v>40</v>
      </c>
      <c r="E11" s="46">
        <v>12</v>
      </c>
      <c r="F11" s="46">
        <v>1083.5</v>
      </c>
      <c r="G11" s="46">
        <f t="shared" si="0"/>
        <v>918.22033898305085</v>
      </c>
      <c r="H11" s="83">
        <f t="shared" si="1"/>
        <v>11018.644067796609</v>
      </c>
    </row>
    <row r="12" spans="1:12" ht="60" x14ac:dyDescent="0.25">
      <c r="A12" s="45">
        <v>8</v>
      </c>
      <c r="B12" s="45" t="s">
        <v>360</v>
      </c>
      <c r="C12" s="82" t="s">
        <v>170</v>
      </c>
      <c r="D12" s="45" t="s">
        <v>40</v>
      </c>
      <c r="E12" s="46">
        <v>22</v>
      </c>
      <c r="F12" s="46">
        <v>122.4</v>
      </c>
      <c r="G12" s="46">
        <f t="shared" si="0"/>
        <v>103.72881355932203</v>
      </c>
      <c r="H12" s="83">
        <f t="shared" si="1"/>
        <v>2282.0338983050847</v>
      </c>
    </row>
    <row r="13" spans="1:12" ht="78" customHeight="1" x14ac:dyDescent="0.25">
      <c r="A13" s="45">
        <v>9</v>
      </c>
      <c r="B13" s="45" t="s">
        <v>361</v>
      </c>
      <c r="C13" s="82" t="s">
        <v>171</v>
      </c>
      <c r="D13" s="45" t="s">
        <v>40</v>
      </c>
      <c r="E13" s="46">
        <v>21</v>
      </c>
      <c r="F13" s="46">
        <v>375.65</v>
      </c>
      <c r="G13" s="46">
        <f t="shared" si="0"/>
        <v>318.34745762711867</v>
      </c>
      <c r="H13" s="83">
        <f t="shared" si="1"/>
        <v>6685.2966101694919</v>
      </c>
    </row>
    <row r="14" spans="1:12" ht="74.25" customHeight="1" x14ac:dyDescent="0.25">
      <c r="A14" s="45">
        <v>10</v>
      </c>
      <c r="B14" s="45" t="s">
        <v>362</v>
      </c>
      <c r="C14" s="82" t="s">
        <v>172</v>
      </c>
      <c r="D14" s="45" t="s">
        <v>40</v>
      </c>
      <c r="E14" s="46">
        <v>13</v>
      </c>
      <c r="F14" s="46">
        <v>708.95</v>
      </c>
      <c r="G14" s="46">
        <f t="shared" si="0"/>
        <v>600.80508474576266</v>
      </c>
      <c r="H14" s="83">
        <f t="shared" si="1"/>
        <v>7810.4661016949149</v>
      </c>
    </row>
    <row r="15" spans="1:12" ht="60" x14ac:dyDescent="0.25">
      <c r="A15" s="45">
        <v>11</v>
      </c>
      <c r="B15" s="45" t="s">
        <v>363</v>
      </c>
      <c r="C15" s="82" t="s">
        <v>173</v>
      </c>
      <c r="D15" s="45" t="s">
        <v>40</v>
      </c>
      <c r="E15" s="46">
        <v>31</v>
      </c>
      <c r="F15" s="46">
        <v>97.75</v>
      </c>
      <c r="G15" s="46">
        <f t="shared" si="0"/>
        <v>82.83898305084746</v>
      </c>
      <c r="H15" s="83">
        <f t="shared" si="1"/>
        <v>2568.0084745762711</v>
      </c>
    </row>
    <row r="16" spans="1:12" ht="45" x14ac:dyDescent="0.25">
      <c r="A16" s="45">
        <v>12</v>
      </c>
      <c r="B16" s="45" t="s">
        <v>364</v>
      </c>
      <c r="C16" s="82" t="s">
        <v>174</v>
      </c>
      <c r="D16" s="45" t="s">
        <v>40</v>
      </c>
      <c r="E16" s="46">
        <v>28</v>
      </c>
      <c r="F16" s="46">
        <v>506.8</v>
      </c>
      <c r="G16" s="46">
        <f t="shared" si="0"/>
        <v>429.49152542372883</v>
      </c>
      <c r="H16" s="83">
        <f t="shared" si="1"/>
        <v>12025.762711864407</v>
      </c>
    </row>
    <row r="17" spans="1:8" ht="48" customHeight="1" x14ac:dyDescent="0.25">
      <c r="A17" s="45">
        <v>13</v>
      </c>
      <c r="B17" s="45" t="s">
        <v>365</v>
      </c>
      <c r="C17" s="82" t="s">
        <v>175</v>
      </c>
      <c r="D17" s="45" t="s">
        <v>40</v>
      </c>
      <c r="E17" s="46">
        <v>27</v>
      </c>
      <c r="F17" s="46">
        <v>670.45</v>
      </c>
      <c r="G17" s="46">
        <f t="shared" si="0"/>
        <v>568.17796610169489</v>
      </c>
      <c r="H17" s="83">
        <f t="shared" si="1"/>
        <v>15340.805084745762</v>
      </c>
    </row>
    <row r="18" spans="1:8" ht="45" x14ac:dyDescent="0.25">
      <c r="A18" s="45">
        <v>14</v>
      </c>
      <c r="B18" s="45" t="s">
        <v>366</v>
      </c>
      <c r="C18" s="82" t="s">
        <v>176</v>
      </c>
      <c r="D18" s="45" t="s">
        <v>40</v>
      </c>
      <c r="E18" s="46">
        <v>25</v>
      </c>
      <c r="F18" s="46">
        <v>574.29999999999995</v>
      </c>
      <c r="G18" s="46">
        <f t="shared" si="0"/>
        <v>486.69491525423723</v>
      </c>
      <c r="H18" s="83">
        <f t="shared" si="1"/>
        <v>12167.37288135593</v>
      </c>
    </row>
    <row r="19" spans="1:8" ht="30" x14ac:dyDescent="0.25">
      <c r="A19" s="45">
        <v>15</v>
      </c>
      <c r="B19" s="45" t="s">
        <v>367</v>
      </c>
      <c r="C19" s="82" t="s">
        <v>177</v>
      </c>
      <c r="D19" s="45" t="s">
        <v>40</v>
      </c>
      <c r="E19" s="46">
        <v>9</v>
      </c>
      <c r="F19" s="46">
        <f>4800*1.15</f>
        <v>5520</v>
      </c>
      <c r="G19" s="46">
        <f t="shared" si="0"/>
        <v>4677.9661016949149</v>
      </c>
      <c r="H19" s="83">
        <f t="shared" si="1"/>
        <v>42101.694915254237</v>
      </c>
    </row>
    <row r="20" spans="1:8" ht="30" x14ac:dyDescent="0.25">
      <c r="A20" s="45">
        <v>16</v>
      </c>
      <c r="B20" s="86" t="s">
        <v>368</v>
      </c>
      <c r="C20" s="82" t="s">
        <v>178</v>
      </c>
      <c r="D20" s="45" t="s">
        <v>40</v>
      </c>
      <c r="E20" s="46">
        <v>22</v>
      </c>
      <c r="F20" s="46">
        <v>37.6</v>
      </c>
      <c r="G20" s="46">
        <f t="shared" si="0"/>
        <v>31.864406779661017</v>
      </c>
      <c r="H20" s="83">
        <f t="shared" si="1"/>
        <v>701.01694915254234</v>
      </c>
    </row>
    <row r="21" spans="1:8" ht="30" x14ac:dyDescent="0.25">
      <c r="A21" s="45">
        <v>17</v>
      </c>
      <c r="B21" s="45" t="s">
        <v>369</v>
      </c>
      <c r="C21" s="87" t="s">
        <v>179</v>
      </c>
      <c r="D21" s="45" t="s">
        <v>33</v>
      </c>
      <c r="E21" s="46">
        <v>550</v>
      </c>
      <c r="F21" s="46">
        <v>803.7</v>
      </c>
      <c r="G21" s="46">
        <f t="shared" si="0"/>
        <v>681.10169491525426</v>
      </c>
      <c r="H21" s="83">
        <f t="shared" si="1"/>
        <v>374605.93220338982</v>
      </c>
    </row>
    <row r="22" spans="1:8" ht="60" x14ac:dyDescent="0.25">
      <c r="A22" s="45">
        <v>18</v>
      </c>
      <c r="B22" s="45" t="s">
        <v>322</v>
      </c>
      <c r="C22" s="88" t="s">
        <v>180</v>
      </c>
      <c r="D22" s="45"/>
      <c r="E22" s="46"/>
      <c r="F22" s="46"/>
      <c r="G22" s="46">
        <f t="shared" si="0"/>
        <v>0</v>
      </c>
      <c r="H22" s="83">
        <f t="shared" si="1"/>
        <v>0</v>
      </c>
    </row>
    <row r="23" spans="1:8" x14ac:dyDescent="0.25">
      <c r="A23" s="45">
        <v>19</v>
      </c>
      <c r="B23" s="45" t="s">
        <v>322</v>
      </c>
      <c r="C23" s="82" t="s">
        <v>181</v>
      </c>
      <c r="D23" s="45" t="s">
        <v>54</v>
      </c>
      <c r="E23" s="46">
        <v>80.599999999999994</v>
      </c>
      <c r="F23" s="46">
        <v>377.4</v>
      </c>
      <c r="G23" s="46">
        <f t="shared" si="0"/>
        <v>319.83050847457628</v>
      </c>
      <c r="H23" s="83">
        <f t="shared" si="1"/>
        <v>25778.338983050846</v>
      </c>
    </row>
    <row r="24" spans="1:8" x14ac:dyDescent="0.25">
      <c r="A24" s="45">
        <v>20</v>
      </c>
      <c r="B24" s="45" t="s">
        <v>322</v>
      </c>
      <c r="C24" s="82" t="s">
        <v>182</v>
      </c>
      <c r="D24" s="45" t="s">
        <v>54</v>
      </c>
      <c r="E24" s="46">
        <v>49.4</v>
      </c>
      <c r="F24" s="46">
        <v>377.4</v>
      </c>
      <c r="G24" s="46">
        <f t="shared" si="0"/>
        <v>319.83050847457628</v>
      </c>
      <c r="H24" s="83">
        <f t="shared" si="1"/>
        <v>15799.627118644068</v>
      </c>
    </row>
    <row r="25" spans="1:8" x14ac:dyDescent="0.25">
      <c r="A25" s="45">
        <v>21</v>
      </c>
      <c r="B25" s="45" t="s">
        <v>322</v>
      </c>
      <c r="C25" s="82" t="s">
        <v>183</v>
      </c>
      <c r="D25" s="45" t="s">
        <v>54</v>
      </c>
      <c r="E25" s="46">
        <v>29.9</v>
      </c>
      <c r="F25" s="46">
        <v>377.4</v>
      </c>
      <c r="G25" s="46">
        <f t="shared" si="0"/>
        <v>319.83050847457628</v>
      </c>
      <c r="H25" s="83">
        <f t="shared" si="1"/>
        <v>9562.9322033898297</v>
      </c>
    </row>
    <row r="26" spans="1:8" x14ac:dyDescent="0.25">
      <c r="A26" s="45">
        <v>22</v>
      </c>
      <c r="B26" s="45" t="s">
        <v>370</v>
      </c>
      <c r="C26" s="82" t="s">
        <v>184</v>
      </c>
      <c r="D26" s="45" t="s">
        <v>54</v>
      </c>
      <c r="E26" s="46">
        <v>70.2</v>
      </c>
      <c r="F26" s="46">
        <v>248.8</v>
      </c>
      <c r="G26" s="46">
        <f t="shared" si="0"/>
        <v>210.84745762711864</v>
      </c>
      <c r="H26" s="83">
        <f t="shared" si="1"/>
        <v>14801.491525423729</v>
      </c>
    </row>
    <row r="27" spans="1:8" x14ac:dyDescent="0.25">
      <c r="A27" s="45">
        <v>23</v>
      </c>
      <c r="B27" s="45" t="s">
        <v>324</v>
      </c>
      <c r="C27" s="82" t="s">
        <v>185</v>
      </c>
      <c r="D27" s="45" t="s">
        <v>54</v>
      </c>
      <c r="E27" s="46">
        <v>13</v>
      </c>
      <c r="F27" s="46">
        <v>150.35</v>
      </c>
      <c r="G27" s="46">
        <f t="shared" si="0"/>
        <v>127.41525423728814</v>
      </c>
      <c r="H27" s="83">
        <f t="shared" si="1"/>
        <v>1656.3983050847457</v>
      </c>
    </row>
    <row r="28" spans="1:8" x14ac:dyDescent="0.25">
      <c r="A28" s="45">
        <v>25</v>
      </c>
      <c r="B28" s="45" t="s">
        <v>371</v>
      </c>
      <c r="C28" s="89" t="s">
        <v>186</v>
      </c>
      <c r="D28" s="45" t="s">
        <v>54</v>
      </c>
      <c r="E28" s="46">
        <v>25</v>
      </c>
      <c r="F28" s="46">
        <f>280*1.25</f>
        <v>350</v>
      </c>
      <c r="G28" s="46">
        <f t="shared" si="0"/>
        <v>296.61016949152543</v>
      </c>
      <c r="H28" s="83">
        <f t="shared" si="1"/>
        <v>7415.2542372881353</v>
      </c>
    </row>
    <row r="29" spans="1:8" ht="105" x14ac:dyDescent="0.25">
      <c r="A29" s="45">
        <f>A28+1</f>
        <v>26</v>
      </c>
      <c r="B29" s="45" t="s">
        <v>326</v>
      </c>
      <c r="C29" s="82" t="s">
        <v>187</v>
      </c>
      <c r="D29" s="45" t="s">
        <v>48</v>
      </c>
      <c r="E29" s="46">
        <v>130</v>
      </c>
      <c r="F29" s="46">
        <v>371.3</v>
      </c>
      <c r="G29" s="46">
        <f t="shared" si="0"/>
        <v>314.66101694915255</v>
      </c>
      <c r="H29" s="83">
        <f t="shared" si="1"/>
        <v>40905.932203389835</v>
      </c>
    </row>
    <row r="30" spans="1:8" ht="22.5" customHeight="1" x14ac:dyDescent="0.25">
      <c r="A30" s="45">
        <f t="shared" ref="A30:A59" si="2">A29+1</f>
        <v>27</v>
      </c>
      <c r="B30" s="86" t="s">
        <v>372</v>
      </c>
      <c r="C30" s="82" t="s">
        <v>188</v>
      </c>
      <c r="D30" s="45" t="s">
        <v>33</v>
      </c>
      <c r="E30" s="46">
        <v>450</v>
      </c>
      <c r="F30" s="46">
        <f>355*1.2</f>
        <v>426</v>
      </c>
      <c r="G30" s="46">
        <f t="shared" si="0"/>
        <v>361.0169491525424</v>
      </c>
      <c r="H30" s="83">
        <f t="shared" si="1"/>
        <v>162457.62711864407</v>
      </c>
    </row>
    <row r="31" spans="1:8" ht="93" customHeight="1" x14ac:dyDescent="0.25">
      <c r="A31" s="45">
        <f t="shared" si="2"/>
        <v>28</v>
      </c>
      <c r="B31" s="45">
        <v>17.61</v>
      </c>
      <c r="C31" s="82" t="s">
        <v>189</v>
      </c>
      <c r="D31" s="45"/>
      <c r="E31" s="46"/>
      <c r="F31" s="46"/>
      <c r="G31" s="46">
        <f t="shared" si="0"/>
        <v>0</v>
      </c>
      <c r="H31" s="83">
        <f t="shared" si="1"/>
        <v>0</v>
      </c>
    </row>
    <row r="32" spans="1:8" x14ac:dyDescent="0.25">
      <c r="A32" s="45">
        <f t="shared" si="2"/>
        <v>29</v>
      </c>
      <c r="B32" s="45" t="s">
        <v>373</v>
      </c>
      <c r="C32" s="89" t="s">
        <v>55</v>
      </c>
      <c r="D32" s="45" t="s">
        <v>54</v>
      </c>
      <c r="E32" s="46">
        <v>11.7</v>
      </c>
      <c r="F32" s="46">
        <v>713.2</v>
      </c>
      <c r="G32" s="46">
        <f t="shared" si="0"/>
        <v>604.40677966101691</v>
      </c>
      <c r="H32" s="83">
        <f t="shared" si="1"/>
        <v>7071.5593220338978</v>
      </c>
    </row>
    <row r="33" spans="1:8" x14ac:dyDescent="0.25">
      <c r="A33" s="45">
        <f t="shared" si="2"/>
        <v>30</v>
      </c>
      <c r="B33" s="45" t="s">
        <v>374</v>
      </c>
      <c r="C33" s="89" t="s">
        <v>190</v>
      </c>
      <c r="D33" s="45" t="s">
        <v>54</v>
      </c>
      <c r="E33" s="46">
        <v>6.5</v>
      </c>
      <c r="F33" s="46">
        <v>513.25</v>
      </c>
      <c r="G33" s="46">
        <f t="shared" si="0"/>
        <v>434.95762711864404</v>
      </c>
      <c r="H33" s="83">
        <f t="shared" si="1"/>
        <v>2827.2245762711864</v>
      </c>
    </row>
    <row r="34" spans="1:8" x14ac:dyDescent="0.25">
      <c r="A34" s="45">
        <f t="shared" si="2"/>
        <v>31</v>
      </c>
      <c r="B34" s="45" t="s">
        <v>375</v>
      </c>
      <c r="C34" s="89" t="s">
        <v>191</v>
      </c>
      <c r="D34" s="45" t="s">
        <v>54</v>
      </c>
      <c r="E34" s="46">
        <v>2.6</v>
      </c>
      <c r="F34" s="46">
        <v>336</v>
      </c>
      <c r="G34" s="46">
        <f t="shared" si="0"/>
        <v>284.74576271186442</v>
      </c>
      <c r="H34" s="83">
        <f t="shared" si="1"/>
        <v>740.33898305084756</v>
      </c>
    </row>
    <row r="35" spans="1:8" ht="109.5" customHeight="1" x14ac:dyDescent="0.25">
      <c r="A35" s="45">
        <f t="shared" si="2"/>
        <v>32</v>
      </c>
      <c r="B35" s="45" t="s">
        <v>376</v>
      </c>
      <c r="C35" s="82" t="s">
        <v>192</v>
      </c>
      <c r="D35" s="45" t="s">
        <v>40</v>
      </c>
      <c r="E35" s="46">
        <v>12</v>
      </c>
      <c r="F35" s="46">
        <v>2707.65</v>
      </c>
      <c r="G35" s="46">
        <f t="shared" si="0"/>
        <v>2294.6186440677966</v>
      </c>
      <c r="H35" s="83">
        <f t="shared" si="1"/>
        <v>27535.423728813559</v>
      </c>
    </row>
    <row r="36" spans="1:8" ht="75" x14ac:dyDescent="0.25">
      <c r="A36" s="45">
        <f t="shared" si="2"/>
        <v>33</v>
      </c>
      <c r="B36" s="45" t="s">
        <v>377</v>
      </c>
      <c r="C36" s="82" t="s">
        <v>193</v>
      </c>
      <c r="D36" s="45" t="s">
        <v>54</v>
      </c>
      <c r="E36" s="46">
        <v>195</v>
      </c>
      <c r="F36" s="46">
        <v>556.45000000000005</v>
      </c>
      <c r="G36" s="46">
        <f t="shared" si="0"/>
        <v>471.56779661016958</v>
      </c>
      <c r="H36" s="83">
        <f t="shared" si="1"/>
        <v>91955.720338983068</v>
      </c>
    </row>
    <row r="37" spans="1:8" ht="245.25" customHeight="1" x14ac:dyDescent="0.25">
      <c r="A37" s="45">
        <f t="shared" si="2"/>
        <v>34</v>
      </c>
      <c r="B37" s="45" t="s">
        <v>378</v>
      </c>
      <c r="C37" s="82" t="s">
        <v>194</v>
      </c>
      <c r="D37" s="45" t="s">
        <v>40</v>
      </c>
      <c r="E37" s="46">
        <v>13</v>
      </c>
      <c r="F37" s="46">
        <v>12770.55</v>
      </c>
      <c r="G37" s="46">
        <f t="shared" si="0"/>
        <v>10822.5</v>
      </c>
      <c r="H37" s="83">
        <f t="shared" si="1"/>
        <v>140692.5</v>
      </c>
    </row>
    <row r="38" spans="1:8" ht="45" x14ac:dyDescent="0.25">
      <c r="A38" s="45">
        <f t="shared" si="2"/>
        <v>35</v>
      </c>
      <c r="B38" s="45" t="s">
        <v>379</v>
      </c>
      <c r="C38" s="82" t="s">
        <v>195</v>
      </c>
      <c r="D38" s="45" t="s">
        <v>54</v>
      </c>
      <c r="E38" s="46">
        <v>7.8</v>
      </c>
      <c r="F38" s="46">
        <v>8825.4</v>
      </c>
      <c r="G38" s="46">
        <f t="shared" si="0"/>
        <v>7479.1525423728817</v>
      </c>
      <c r="H38" s="83">
        <f t="shared" si="1"/>
        <v>58337.389830508473</v>
      </c>
    </row>
    <row r="39" spans="1:8" x14ac:dyDescent="0.25">
      <c r="A39" s="45">
        <f t="shared" si="2"/>
        <v>36</v>
      </c>
      <c r="B39" s="45" t="s">
        <v>380</v>
      </c>
      <c r="C39" s="89" t="s">
        <v>196</v>
      </c>
      <c r="D39" s="45" t="s">
        <v>54</v>
      </c>
      <c r="E39" s="46">
        <v>22.1</v>
      </c>
      <c r="F39" s="46">
        <v>551.70000000000005</v>
      </c>
      <c r="G39" s="46">
        <f t="shared" si="0"/>
        <v>467.54237288135602</v>
      </c>
      <c r="H39" s="83">
        <f t="shared" si="1"/>
        <v>10332.686440677968</v>
      </c>
    </row>
    <row r="40" spans="1:8" x14ac:dyDescent="0.25">
      <c r="A40" s="45">
        <f t="shared" si="2"/>
        <v>37</v>
      </c>
      <c r="B40" s="45" t="s">
        <v>381</v>
      </c>
      <c r="C40" s="89" t="s">
        <v>197</v>
      </c>
      <c r="D40" s="45" t="s">
        <v>54</v>
      </c>
      <c r="E40" s="46">
        <v>24.7</v>
      </c>
      <c r="F40" s="46">
        <v>811.9</v>
      </c>
      <c r="G40" s="46">
        <f t="shared" si="0"/>
        <v>688.05084745762713</v>
      </c>
      <c r="H40" s="83">
        <f t="shared" si="1"/>
        <v>16994.855932203391</v>
      </c>
    </row>
    <row r="41" spans="1:8" x14ac:dyDescent="0.25">
      <c r="A41" s="45">
        <f t="shared" si="2"/>
        <v>38</v>
      </c>
      <c r="B41" s="45" t="s">
        <v>382</v>
      </c>
      <c r="C41" s="89" t="s">
        <v>198</v>
      </c>
      <c r="D41" s="45" t="s">
        <v>54</v>
      </c>
      <c r="E41" s="46">
        <v>26</v>
      </c>
      <c r="F41" s="46">
        <v>1048.3499999999999</v>
      </c>
      <c r="G41" s="46">
        <f t="shared" si="0"/>
        <v>888.43220338983042</v>
      </c>
      <c r="H41" s="83">
        <f t="shared" si="1"/>
        <v>23099.237288135591</v>
      </c>
    </row>
    <row r="42" spans="1:8" ht="60" x14ac:dyDescent="0.25">
      <c r="A42" s="45">
        <f t="shared" si="2"/>
        <v>39</v>
      </c>
      <c r="B42" s="45">
        <v>18.11</v>
      </c>
      <c r="C42" s="82" t="s">
        <v>199</v>
      </c>
      <c r="D42" s="45"/>
      <c r="E42" s="46"/>
      <c r="F42" s="46"/>
      <c r="G42" s="46">
        <f t="shared" si="0"/>
        <v>0</v>
      </c>
      <c r="H42" s="83">
        <f t="shared" si="1"/>
        <v>0</v>
      </c>
    </row>
    <row r="43" spans="1:8" x14ac:dyDescent="0.25">
      <c r="A43" s="45" t="s">
        <v>56</v>
      </c>
      <c r="B43" s="45" t="s">
        <v>383</v>
      </c>
      <c r="C43" s="89" t="s">
        <v>200</v>
      </c>
      <c r="D43" s="45" t="s">
        <v>54</v>
      </c>
      <c r="E43" s="46">
        <v>104.4</v>
      </c>
      <c r="F43" s="46">
        <v>580.45000000000005</v>
      </c>
      <c r="G43" s="46">
        <f t="shared" si="0"/>
        <v>491.90677966101703</v>
      </c>
      <c r="H43" s="83">
        <f t="shared" si="1"/>
        <v>51355.067796610179</v>
      </c>
    </row>
    <row r="44" spans="1:8" x14ac:dyDescent="0.25">
      <c r="A44" s="45" t="s">
        <v>57</v>
      </c>
      <c r="B44" s="45" t="s">
        <v>384</v>
      </c>
      <c r="C44" s="89" t="s">
        <v>201</v>
      </c>
      <c r="D44" s="45" t="s">
        <v>54</v>
      </c>
      <c r="E44" s="46">
        <v>9.1</v>
      </c>
      <c r="F44" s="46">
        <v>635.20000000000005</v>
      </c>
      <c r="G44" s="46">
        <f t="shared" si="0"/>
        <v>538.30508474576277</v>
      </c>
      <c r="H44" s="83">
        <f t="shared" si="1"/>
        <v>4898.5762711864409</v>
      </c>
    </row>
    <row r="45" spans="1:8" ht="45" x14ac:dyDescent="0.25">
      <c r="A45" s="45">
        <v>40</v>
      </c>
      <c r="B45" s="45" t="s">
        <v>385</v>
      </c>
      <c r="C45" s="82" t="s">
        <v>202</v>
      </c>
      <c r="D45" s="45" t="s">
        <v>54</v>
      </c>
      <c r="E45" s="46">
        <v>45.5</v>
      </c>
      <c r="F45" s="46">
        <v>762.15</v>
      </c>
      <c r="G45" s="46">
        <f t="shared" si="0"/>
        <v>645.88983050847457</v>
      </c>
      <c r="H45" s="83">
        <f t="shared" si="1"/>
        <v>29387.987288135591</v>
      </c>
    </row>
    <row r="46" spans="1:8" ht="60" x14ac:dyDescent="0.25">
      <c r="A46" s="45">
        <f t="shared" si="2"/>
        <v>41</v>
      </c>
      <c r="B46" s="45" t="s">
        <v>386</v>
      </c>
      <c r="C46" s="82" t="s">
        <v>203</v>
      </c>
      <c r="D46" s="45" t="s">
        <v>40</v>
      </c>
      <c r="E46" s="46">
        <v>2</v>
      </c>
      <c r="F46" s="46">
        <v>911.9</v>
      </c>
      <c r="G46" s="46">
        <f t="shared" si="0"/>
        <v>772.79661016949149</v>
      </c>
      <c r="H46" s="83">
        <f t="shared" si="1"/>
        <v>1545.593220338983</v>
      </c>
    </row>
    <row r="47" spans="1:8" ht="30" x14ac:dyDescent="0.25">
      <c r="A47" s="45">
        <f t="shared" si="2"/>
        <v>42</v>
      </c>
      <c r="B47" s="45">
        <v>18.170000000000002</v>
      </c>
      <c r="C47" s="82" t="s">
        <v>204</v>
      </c>
      <c r="D47" s="45"/>
      <c r="E47" s="46"/>
      <c r="F47" s="46"/>
      <c r="G47" s="46">
        <f t="shared" si="0"/>
        <v>0</v>
      </c>
      <c r="H47" s="83">
        <f t="shared" si="1"/>
        <v>0</v>
      </c>
    </row>
    <row r="48" spans="1:8" x14ac:dyDescent="0.25">
      <c r="A48" s="45" t="s">
        <v>56</v>
      </c>
      <c r="B48" s="45" t="s">
        <v>387</v>
      </c>
      <c r="C48" s="89" t="s">
        <v>205</v>
      </c>
      <c r="D48" s="45" t="s">
        <v>40</v>
      </c>
      <c r="E48" s="46">
        <v>20</v>
      </c>
      <c r="F48" s="46">
        <v>622.4</v>
      </c>
      <c r="G48" s="46">
        <f t="shared" si="0"/>
        <v>527.45762711864404</v>
      </c>
      <c r="H48" s="83">
        <f t="shared" si="1"/>
        <v>10549.152542372882</v>
      </c>
    </row>
    <row r="49" spans="1:8" x14ac:dyDescent="0.25">
      <c r="A49" s="45" t="s">
        <v>57</v>
      </c>
      <c r="B49" s="45" t="s">
        <v>388</v>
      </c>
      <c r="C49" s="89" t="s">
        <v>206</v>
      </c>
      <c r="D49" s="45" t="s">
        <v>40</v>
      </c>
      <c r="E49" s="46">
        <v>1</v>
      </c>
      <c r="F49" s="46">
        <v>1026.6500000000001</v>
      </c>
      <c r="G49" s="46">
        <f t="shared" si="0"/>
        <v>870.04237288135607</v>
      </c>
      <c r="H49" s="83">
        <f t="shared" si="1"/>
        <v>870.04237288135607</v>
      </c>
    </row>
    <row r="50" spans="1:8" ht="45" x14ac:dyDescent="0.25">
      <c r="A50" s="45">
        <v>43</v>
      </c>
      <c r="B50" s="45" t="s">
        <v>389</v>
      </c>
      <c r="C50" s="82" t="s">
        <v>207</v>
      </c>
      <c r="D50" s="45" t="s">
        <v>40</v>
      </c>
      <c r="E50" s="46">
        <v>2</v>
      </c>
      <c r="F50" s="46">
        <v>464.05</v>
      </c>
      <c r="G50" s="46">
        <f t="shared" si="0"/>
        <v>393.26271186440675</v>
      </c>
      <c r="H50" s="83">
        <f t="shared" si="1"/>
        <v>786.52542372881351</v>
      </c>
    </row>
    <row r="51" spans="1:8" ht="65.25" customHeight="1" x14ac:dyDescent="0.25">
      <c r="A51" s="45">
        <v>44</v>
      </c>
      <c r="B51" s="45">
        <v>18.47</v>
      </c>
      <c r="C51" s="82" t="s">
        <v>208</v>
      </c>
      <c r="D51" s="45"/>
      <c r="E51" s="46"/>
      <c r="F51" s="46"/>
      <c r="G51" s="46">
        <f t="shared" si="0"/>
        <v>0</v>
      </c>
      <c r="H51" s="83">
        <f t="shared" si="1"/>
        <v>0</v>
      </c>
    </row>
    <row r="52" spans="1:8" x14ac:dyDescent="0.25">
      <c r="A52" s="45" t="s">
        <v>56</v>
      </c>
      <c r="B52" s="45" t="s">
        <v>390</v>
      </c>
      <c r="C52" s="89" t="s">
        <v>209</v>
      </c>
      <c r="D52" s="45" t="s">
        <v>40</v>
      </c>
      <c r="E52" s="46">
        <v>6</v>
      </c>
      <c r="F52" s="46">
        <v>829.45</v>
      </c>
      <c r="G52" s="46">
        <f t="shared" si="0"/>
        <v>702.92372881355936</v>
      </c>
      <c r="H52" s="83">
        <f t="shared" si="1"/>
        <v>4217.5423728813566</v>
      </c>
    </row>
    <row r="53" spans="1:8" x14ac:dyDescent="0.25">
      <c r="A53" s="45" t="s">
        <v>57</v>
      </c>
      <c r="B53" s="45" t="s">
        <v>391</v>
      </c>
      <c r="C53" s="89" t="s">
        <v>210</v>
      </c>
      <c r="D53" s="45" t="s">
        <v>40</v>
      </c>
      <c r="E53" s="46">
        <v>3</v>
      </c>
      <c r="F53" s="46">
        <v>857.85</v>
      </c>
      <c r="G53" s="46">
        <f t="shared" si="0"/>
        <v>726.99152542372883</v>
      </c>
      <c r="H53" s="83">
        <f t="shared" si="1"/>
        <v>2180.9745762711864</v>
      </c>
    </row>
    <row r="54" spans="1:8" x14ac:dyDescent="0.25">
      <c r="A54" s="45" t="s">
        <v>58</v>
      </c>
      <c r="B54" s="45" t="s">
        <v>392</v>
      </c>
      <c r="C54" s="89" t="s">
        <v>205</v>
      </c>
      <c r="D54" s="45" t="s">
        <v>40</v>
      </c>
      <c r="E54" s="46">
        <v>3</v>
      </c>
      <c r="F54" s="46">
        <v>950.35</v>
      </c>
      <c r="G54" s="46">
        <f t="shared" si="0"/>
        <v>805.38135593220341</v>
      </c>
      <c r="H54" s="83">
        <f t="shared" si="1"/>
        <v>2416.1440677966102</v>
      </c>
    </row>
    <row r="55" spans="1:8" x14ac:dyDescent="0.25">
      <c r="A55" s="45" t="s">
        <v>59</v>
      </c>
      <c r="B55" s="45" t="s">
        <v>393</v>
      </c>
      <c r="C55" s="89" t="s">
        <v>206</v>
      </c>
      <c r="D55" s="45" t="s">
        <v>40</v>
      </c>
      <c r="E55" s="46">
        <v>3</v>
      </c>
      <c r="F55" s="46">
        <v>1520.8</v>
      </c>
      <c r="G55" s="46">
        <f t="shared" si="0"/>
        <v>1288.8135593220338</v>
      </c>
      <c r="H55" s="83">
        <f t="shared" si="1"/>
        <v>3866.4406779661012</v>
      </c>
    </row>
    <row r="56" spans="1:8" ht="75" x14ac:dyDescent="0.25">
      <c r="A56" s="45">
        <v>45</v>
      </c>
      <c r="B56" s="45">
        <v>18.48</v>
      </c>
      <c r="C56" s="82" t="s">
        <v>211</v>
      </c>
      <c r="D56" s="45" t="s">
        <v>212</v>
      </c>
      <c r="E56" s="46">
        <v>5000</v>
      </c>
      <c r="F56" s="46">
        <v>11</v>
      </c>
      <c r="G56" s="46">
        <f t="shared" si="0"/>
        <v>9.3220338983050848</v>
      </c>
      <c r="H56" s="83">
        <f t="shared" si="1"/>
        <v>46610.169491525427</v>
      </c>
    </row>
    <row r="57" spans="1:8" ht="45" x14ac:dyDescent="0.25">
      <c r="A57" s="45">
        <f t="shared" si="2"/>
        <v>46</v>
      </c>
      <c r="B57" s="45" t="s">
        <v>394</v>
      </c>
      <c r="C57" s="82" t="s">
        <v>213</v>
      </c>
      <c r="D57" s="45" t="s">
        <v>40</v>
      </c>
      <c r="E57" s="46">
        <v>11</v>
      </c>
      <c r="F57" s="46">
        <v>222.35</v>
      </c>
      <c r="G57" s="46">
        <f t="shared" si="0"/>
        <v>188.43220338983051</v>
      </c>
      <c r="H57" s="83">
        <f t="shared" si="1"/>
        <v>2072.7542372881358</v>
      </c>
    </row>
    <row r="58" spans="1:8" ht="45" x14ac:dyDescent="0.25">
      <c r="A58" s="45">
        <f t="shared" si="2"/>
        <v>47</v>
      </c>
      <c r="B58" s="45" t="s">
        <v>395</v>
      </c>
      <c r="C58" s="82" t="s">
        <v>214</v>
      </c>
      <c r="D58" s="45" t="s">
        <v>40</v>
      </c>
      <c r="E58" s="46">
        <v>8</v>
      </c>
      <c r="F58" s="46">
        <v>113.35</v>
      </c>
      <c r="G58" s="46">
        <f t="shared" si="0"/>
        <v>96.059322033898312</v>
      </c>
      <c r="H58" s="83">
        <f t="shared" si="1"/>
        <v>768.47457627118649</v>
      </c>
    </row>
    <row r="59" spans="1:8" ht="258" customHeight="1" x14ac:dyDescent="0.25">
      <c r="A59" s="45">
        <f t="shared" si="2"/>
        <v>48</v>
      </c>
      <c r="B59" s="45" t="s">
        <v>378</v>
      </c>
      <c r="C59" s="82" t="s">
        <v>215</v>
      </c>
      <c r="D59" s="45" t="s">
        <v>40</v>
      </c>
      <c r="E59" s="46">
        <v>10</v>
      </c>
      <c r="F59" s="46">
        <v>12770.55</v>
      </c>
      <c r="G59" s="46">
        <f t="shared" si="0"/>
        <v>10822.5</v>
      </c>
      <c r="H59" s="83">
        <f t="shared" si="1"/>
        <v>108225</v>
      </c>
    </row>
    <row r="60" spans="1:8" x14ac:dyDescent="0.25">
      <c r="A60" s="166" t="s">
        <v>216</v>
      </c>
      <c r="B60" s="166"/>
      <c r="C60" s="166"/>
      <c r="D60" s="166"/>
      <c r="E60" s="166"/>
      <c r="F60" s="166"/>
      <c r="G60" s="38"/>
      <c r="H60" s="41">
        <f>SUM(H5:H59)</f>
        <v>1577950.2796610168</v>
      </c>
    </row>
    <row r="1048530" spans="1:8" ht="75" x14ac:dyDescent="0.25">
      <c r="A1048530" s="90">
        <v>24</v>
      </c>
      <c r="B1048530" s="90">
        <v>4.13</v>
      </c>
      <c r="C1048530" s="91" t="s">
        <v>94</v>
      </c>
      <c r="D1048530" s="90" t="s">
        <v>33</v>
      </c>
      <c r="E1048530" s="90">
        <v>65</v>
      </c>
      <c r="F1048530" s="90">
        <v>113.85</v>
      </c>
      <c r="G1048530" s="90"/>
      <c r="H1048530" s="92">
        <f>ROUND(E1048530*F1048530,2)</f>
        <v>7400.25</v>
      </c>
    </row>
  </sheetData>
  <sheetProtection algorithmName="SHA-512" hashValue="ddzk4DUetDRsK5Sjfp0GCRx9jufLl7kyiVtCr/3MalLtCEaZZUG3RSc/2stm0Dvh/N0YZyoKFk+c966/s1lP0g==" saltValue="VHMaPyTG3WtupjK03Hj/AQ==" spinCount="100000" sheet="1" objects="1" scenarios="1" selectLockedCells="1" selectUnlockedCells="1"/>
  <mergeCells count="3">
    <mergeCell ref="A1:H1"/>
    <mergeCell ref="A3:H3"/>
    <mergeCell ref="A60:F60"/>
  </mergeCells>
  <pageMargins left="0.7" right="0.7" top="0.75" bottom="0.75" header="0.3" footer="0.3"/>
  <pageSetup scale="77"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59356-73A8-4BC3-B33E-5663FD585E16}">
  <sheetPr>
    <tabColor rgb="FF92D050"/>
  </sheetPr>
  <dimension ref="A1:K1048535"/>
  <sheetViews>
    <sheetView zoomScale="90" zoomScaleNormal="90" workbookViewId="0">
      <pane ySplit="2" topLeftCell="A3" activePane="bottomLeft" state="frozen"/>
      <selection activeCell="H111" sqref="H111"/>
      <selection pane="bottomLeft" activeCell="U2" sqref="U2"/>
    </sheetView>
  </sheetViews>
  <sheetFormatPr defaultRowHeight="15" x14ac:dyDescent="0.25"/>
  <cols>
    <col min="1" max="1" width="9.140625" style="93"/>
    <col min="2" max="2" width="14.85546875" style="93" bestFit="1" customWidth="1"/>
    <col min="3" max="3" width="52.140625" style="93" customWidth="1"/>
    <col min="4" max="4" width="9.85546875" style="93" customWidth="1"/>
    <col min="5" max="5" width="9.140625" style="93"/>
    <col min="6" max="6" width="0" style="93" hidden="1" customWidth="1"/>
    <col min="7" max="7" width="17.85546875" style="93" bestFit="1" customWidth="1"/>
    <col min="8" max="8" width="18" style="93" customWidth="1"/>
    <col min="9" max="9" width="26" style="93" hidden="1" customWidth="1"/>
    <col min="10" max="10" width="0" style="93" hidden="1" customWidth="1"/>
    <col min="11" max="11" width="10.140625" style="94" hidden="1" customWidth="1"/>
    <col min="12" max="13" width="0" style="93" hidden="1" customWidth="1"/>
    <col min="14" max="16384" width="9.140625" style="93"/>
  </cols>
  <sheetData>
    <row r="1" spans="1:11" ht="66" customHeight="1" x14ac:dyDescent="0.25">
      <c r="A1" s="167" t="s">
        <v>61</v>
      </c>
      <c r="B1" s="167"/>
      <c r="C1" s="167"/>
      <c r="D1" s="167"/>
      <c r="E1" s="167"/>
      <c r="F1" s="167"/>
      <c r="G1" s="167"/>
      <c r="H1" s="167"/>
    </row>
    <row r="2" spans="1:11" s="95" customFormat="1" ht="24" customHeight="1" x14ac:dyDescent="0.25">
      <c r="A2" s="50" t="s">
        <v>62</v>
      </c>
      <c r="B2" s="50" t="s">
        <v>396</v>
      </c>
      <c r="C2" s="50" t="s">
        <v>63</v>
      </c>
      <c r="D2" s="50" t="s">
        <v>47</v>
      </c>
      <c r="E2" s="50" t="s">
        <v>60</v>
      </c>
      <c r="F2" s="50" t="s">
        <v>53</v>
      </c>
      <c r="G2" s="50" t="s">
        <v>436</v>
      </c>
      <c r="H2" s="50" t="s">
        <v>64</v>
      </c>
      <c r="K2" s="96"/>
    </row>
    <row r="3" spans="1:11" s="95" customFormat="1" ht="24" customHeight="1" x14ac:dyDescent="0.25">
      <c r="A3" s="168" t="s">
        <v>397</v>
      </c>
      <c r="B3" s="169"/>
      <c r="C3" s="169"/>
      <c r="D3" s="169"/>
      <c r="E3" s="169"/>
      <c r="F3" s="169"/>
      <c r="G3" s="169"/>
      <c r="H3" s="170"/>
      <c r="K3" s="96"/>
    </row>
    <row r="4" spans="1:11" ht="18.75" x14ac:dyDescent="0.25">
      <c r="A4" s="97">
        <v>1</v>
      </c>
      <c r="B4" s="97">
        <v>2</v>
      </c>
      <c r="C4" s="97">
        <v>3</v>
      </c>
      <c r="D4" s="97">
        <v>4</v>
      </c>
      <c r="E4" s="97">
        <v>5</v>
      </c>
      <c r="F4" s="97">
        <v>6</v>
      </c>
      <c r="G4" s="97"/>
      <c r="H4" s="97">
        <v>7</v>
      </c>
      <c r="K4" s="98"/>
    </row>
    <row r="5" spans="1:11" ht="135" x14ac:dyDescent="0.25">
      <c r="A5" s="99">
        <v>1</v>
      </c>
      <c r="B5" s="99">
        <v>1.5</v>
      </c>
      <c r="C5" s="93" t="s">
        <v>217</v>
      </c>
      <c r="D5" s="99" t="s">
        <v>54</v>
      </c>
      <c r="E5" s="99">
        <v>350</v>
      </c>
      <c r="F5" s="99">
        <v>433</v>
      </c>
      <c r="G5" s="100">
        <f t="shared" ref="G5:G33" si="0">F5*100/112</f>
        <v>386.60714285714283</v>
      </c>
      <c r="H5" s="100">
        <f>G5*E5</f>
        <v>135312.5</v>
      </c>
      <c r="K5" s="98"/>
    </row>
    <row r="6" spans="1:11" ht="60" x14ac:dyDescent="0.25">
      <c r="A6" s="99">
        <v>2</v>
      </c>
      <c r="B6" s="99">
        <v>1.1200000000000001</v>
      </c>
      <c r="C6" s="101" t="s">
        <v>218</v>
      </c>
      <c r="D6" s="99" t="s">
        <v>54</v>
      </c>
      <c r="E6" s="99">
        <v>500</v>
      </c>
      <c r="F6" s="99">
        <v>334</v>
      </c>
      <c r="G6" s="100">
        <f t="shared" si="0"/>
        <v>298.21428571428572</v>
      </c>
      <c r="H6" s="100">
        <f t="shared" ref="H6:H61" si="1">G6*E6</f>
        <v>149107.14285714287</v>
      </c>
      <c r="K6" s="98"/>
    </row>
    <row r="7" spans="1:11" ht="75" x14ac:dyDescent="0.25">
      <c r="A7" s="99">
        <v>3</v>
      </c>
      <c r="B7" s="99" t="s">
        <v>398</v>
      </c>
      <c r="C7" s="101" t="s">
        <v>219</v>
      </c>
      <c r="D7" s="99" t="s">
        <v>54</v>
      </c>
      <c r="E7" s="99">
        <v>550</v>
      </c>
      <c r="F7" s="99">
        <v>233</v>
      </c>
      <c r="G7" s="100">
        <f t="shared" si="0"/>
        <v>208.03571428571428</v>
      </c>
      <c r="H7" s="100">
        <f t="shared" si="1"/>
        <v>114419.64285714286</v>
      </c>
      <c r="K7" s="98"/>
    </row>
    <row r="8" spans="1:11" ht="60" x14ac:dyDescent="0.25">
      <c r="A8" s="99">
        <v>4</v>
      </c>
      <c r="B8" s="99" t="s">
        <v>399</v>
      </c>
      <c r="C8" s="101" t="s">
        <v>220</v>
      </c>
      <c r="D8" s="99" t="s">
        <v>54</v>
      </c>
      <c r="E8" s="99">
        <v>100</v>
      </c>
      <c r="F8" s="99">
        <v>754</v>
      </c>
      <c r="G8" s="100">
        <f t="shared" si="0"/>
        <v>673.21428571428567</v>
      </c>
      <c r="H8" s="100">
        <f t="shared" si="1"/>
        <v>67321.428571428565</v>
      </c>
      <c r="K8" s="98"/>
    </row>
    <row r="9" spans="1:11" ht="61.5" customHeight="1" x14ac:dyDescent="0.25">
      <c r="A9" s="99">
        <v>5</v>
      </c>
      <c r="B9" s="99">
        <v>1.21</v>
      </c>
      <c r="C9" s="101" t="s">
        <v>221</v>
      </c>
      <c r="D9" s="99"/>
      <c r="E9" s="99"/>
      <c r="F9" s="99"/>
      <c r="G9" s="100">
        <f t="shared" si="0"/>
        <v>0</v>
      </c>
      <c r="H9" s="100">
        <f t="shared" si="1"/>
        <v>0</v>
      </c>
      <c r="K9" s="98"/>
    </row>
    <row r="10" spans="1:11" x14ac:dyDescent="0.25">
      <c r="A10" s="99" t="s">
        <v>56</v>
      </c>
      <c r="B10" s="99" t="s">
        <v>400</v>
      </c>
      <c r="C10" s="101" t="s">
        <v>222</v>
      </c>
      <c r="D10" s="99" t="s">
        <v>54</v>
      </c>
      <c r="E10" s="99">
        <v>300</v>
      </c>
      <c r="F10" s="99">
        <v>128</v>
      </c>
      <c r="G10" s="100">
        <f t="shared" si="0"/>
        <v>114.28571428571429</v>
      </c>
      <c r="H10" s="100">
        <f t="shared" si="1"/>
        <v>34285.71428571429</v>
      </c>
      <c r="K10" s="98"/>
    </row>
    <row r="11" spans="1:11" x14ac:dyDescent="0.25">
      <c r="A11" s="99" t="s">
        <v>57</v>
      </c>
      <c r="B11" s="99" t="s">
        <v>401</v>
      </c>
      <c r="C11" s="101" t="s">
        <v>223</v>
      </c>
      <c r="D11" s="99" t="s">
        <v>54</v>
      </c>
      <c r="E11" s="99">
        <v>160</v>
      </c>
      <c r="F11" s="99">
        <v>145</v>
      </c>
      <c r="G11" s="100">
        <f t="shared" si="0"/>
        <v>129.46428571428572</v>
      </c>
      <c r="H11" s="100">
        <f t="shared" si="1"/>
        <v>20714.285714285717</v>
      </c>
      <c r="K11" s="98"/>
    </row>
    <row r="12" spans="1:11" ht="62.25" customHeight="1" x14ac:dyDescent="0.25">
      <c r="A12" s="99">
        <v>6</v>
      </c>
      <c r="B12" s="99">
        <v>1.22</v>
      </c>
      <c r="C12" s="101" t="s">
        <v>224</v>
      </c>
      <c r="D12" s="99"/>
      <c r="E12" s="99"/>
      <c r="F12" s="99"/>
      <c r="G12" s="100">
        <f t="shared" si="0"/>
        <v>0</v>
      </c>
      <c r="H12" s="100">
        <f t="shared" si="1"/>
        <v>0</v>
      </c>
      <c r="K12" s="98"/>
    </row>
    <row r="13" spans="1:11" x14ac:dyDescent="0.25">
      <c r="A13" s="99" t="s">
        <v>56</v>
      </c>
      <c r="B13" s="99" t="s">
        <v>402</v>
      </c>
      <c r="C13" s="101" t="s">
        <v>225</v>
      </c>
      <c r="D13" s="99" t="s">
        <v>40</v>
      </c>
      <c r="E13" s="100">
        <v>5</v>
      </c>
      <c r="F13" s="99">
        <v>178</v>
      </c>
      <c r="G13" s="100">
        <f t="shared" si="0"/>
        <v>158.92857142857142</v>
      </c>
      <c r="H13" s="100">
        <f t="shared" si="1"/>
        <v>794.64285714285711</v>
      </c>
      <c r="K13" s="98"/>
    </row>
    <row r="14" spans="1:11" x14ac:dyDescent="0.25">
      <c r="A14" s="99" t="s">
        <v>57</v>
      </c>
      <c r="B14" s="99" t="s">
        <v>403</v>
      </c>
      <c r="C14" s="101" t="s">
        <v>226</v>
      </c>
      <c r="D14" s="99" t="s">
        <v>40</v>
      </c>
      <c r="E14" s="100">
        <v>2</v>
      </c>
      <c r="F14" s="99">
        <v>311</v>
      </c>
      <c r="G14" s="100">
        <f t="shared" si="0"/>
        <v>277.67857142857144</v>
      </c>
      <c r="H14" s="100">
        <f t="shared" si="1"/>
        <v>555.35714285714289</v>
      </c>
      <c r="K14" s="98"/>
    </row>
    <row r="15" spans="1:11" ht="45" x14ac:dyDescent="0.25">
      <c r="A15" s="99">
        <v>7</v>
      </c>
      <c r="B15" s="99" t="s">
        <v>404</v>
      </c>
      <c r="C15" s="101" t="s">
        <v>227</v>
      </c>
      <c r="D15" s="99" t="s">
        <v>40</v>
      </c>
      <c r="E15" s="100">
        <v>23</v>
      </c>
      <c r="F15" s="99">
        <v>298</v>
      </c>
      <c r="G15" s="100">
        <f t="shared" si="0"/>
        <v>266.07142857142856</v>
      </c>
      <c r="H15" s="100">
        <f t="shared" si="1"/>
        <v>6119.6428571428569</v>
      </c>
      <c r="K15" s="98"/>
    </row>
    <row r="16" spans="1:11" ht="110.25" customHeight="1" x14ac:dyDescent="0.25">
      <c r="A16" s="99">
        <f>A15+1</f>
        <v>8</v>
      </c>
      <c r="B16" s="99" t="s">
        <v>405</v>
      </c>
      <c r="C16" s="101" t="s">
        <v>228</v>
      </c>
      <c r="D16" s="99" t="s">
        <v>40</v>
      </c>
      <c r="E16" s="100">
        <v>160</v>
      </c>
      <c r="F16" s="99">
        <v>993</v>
      </c>
      <c r="G16" s="100">
        <f t="shared" si="0"/>
        <v>886.60714285714289</v>
      </c>
      <c r="H16" s="100">
        <f t="shared" si="1"/>
        <v>141857.14285714287</v>
      </c>
      <c r="K16" s="98"/>
    </row>
    <row r="17" spans="1:11" ht="77.25" customHeight="1" x14ac:dyDescent="0.25">
      <c r="A17" s="99">
        <f t="shared" ref="A17:A22" si="2">A16+1</f>
        <v>9</v>
      </c>
      <c r="B17" s="99" t="s">
        <v>406</v>
      </c>
      <c r="C17" s="101" t="s">
        <v>229</v>
      </c>
      <c r="D17" s="99" t="s">
        <v>40</v>
      </c>
      <c r="E17" s="100">
        <v>30</v>
      </c>
      <c r="F17" s="99">
        <v>122</v>
      </c>
      <c r="G17" s="100">
        <f t="shared" si="0"/>
        <v>108.92857142857143</v>
      </c>
      <c r="H17" s="100">
        <f t="shared" si="1"/>
        <v>3267.8571428571431</v>
      </c>
      <c r="K17" s="98"/>
    </row>
    <row r="18" spans="1:11" ht="60" x14ac:dyDescent="0.25">
      <c r="A18" s="99">
        <f t="shared" si="2"/>
        <v>10</v>
      </c>
      <c r="B18" s="99">
        <v>1.31</v>
      </c>
      <c r="C18" s="101" t="s">
        <v>230</v>
      </c>
      <c r="D18" s="99" t="s">
        <v>231</v>
      </c>
      <c r="E18" s="100">
        <v>19</v>
      </c>
      <c r="F18" s="99">
        <v>477</v>
      </c>
      <c r="G18" s="100">
        <f t="shared" si="0"/>
        <v>425.89285714285717</v>
      </c>
      <c r="H18" s="100">
        <f t="shared" si="1"/>
        <v>8091.9642857142862</v>
      </c>
      <c r="K18" s="98"/>
    </row>
    <row r="19" spans="1:11" ht="75" x14ac:dyDescent="0.25">
      <c r="A19" s="99">
        <f t="shared" si="2"/>
        <v>11</v>
      </c>
      <c r="B19" s="99">
        <v>1.32</v>
      </c>
      <c r="C19" s="101" t="s">
        <v>232</v>
      </c>
      <c r="D19" s="99" t="s">
        <v>51</v>
      </c>
      <c r="E19" s="100">
        <v>25</v>
      </c>
      <c r="F19" s="102">
        <v>586</v>
      </c>
      <c r="G19" s="100">
        <f t="shared" si="0"/>
        <v>523.21428571428567</v>
      </c>
      <c r="H19" s="100">
        <f t="shared" si="1"/>
        <v>13080.357142857141</v>
      </c>
      <c r="K19" s="98"/>
    </row>
    <row r="20" spans="1:11" ht="45" x14ac:dyDescent="0.25">
      <c r="A20" s="99">
        <f t="shared" si="2"/>
        <v>12</v>
      </c>
      <c r="B20" s="99" t="s">
        <v>407</v>
      </c>
      <c r="C20" s="101" t="s">
        <v>233</v>
      </c>
      <c r="D20" s="99" t="s">
        <v>54</v>
      </c>
      <c r="E20" s="100">
        <v>250</v>
      </c>
      <c r="F20" s="102">
        <v>38</v>
      </c>
      <c r="G20" s="100">
        <f t="shared" si="0"/>
        <v>33.928571428571431</v>
      </c>
      <c r="H20" s="100">
        <f t="shared" si="1"/>
        <v>8482.1428571428569</v>
      </c>
      <c r="K20" s="98"/>
    </row>
    <row r="21" spans="1:11" ht="50.25" customHeight="1" x14ac:dyDescent="0.25">
      <c r="A21" s="99">
        <f t="shared" si="2"/>
        <v>13</v>
      </c>
      <c r="B21" s="99" t="s">
        <v>408</v>
      </c>
      <c r="C21" s="101" t="s">
        <v>234</v>
      </c>
      <c r="D21" s="99" t="s">
        <v>40</v>
      </c>
      <c r="E21" s="100">
        <v>13</v>
      </c>
      <c r="F21" s="102">
        <v>156</v>
      </c>
      <c r="G21" s="100">
        <f t="shared" si="0"/>
        <v>139.28571428571428</v>
      </c>
      <c r="H21" s="100">
        <f t="shared" si="1"/>
        <v>1810.7142857142856</v>
      </c>
      <c r="K21" s="98"/>
    </row>
    <row r="22" spans="1:11" ht="60" x14ac:dyDescent="0.25">
      <c r="A22" s="99">
        <f t="shared" si="2"/>
        <v>14</v>
      </c>
      <c r="B22" s="99">
        <v>1.19</v>
      </c>
      <c r="C22" s="103" t="s">
        <v>235</v>
      </c>
      <c r="D22" s="99" t="s">
        <v>54</v>
      </c>
      <c r="E22" s="100">
        <v>180</v>
      </c>
      <c r="F22" s="102">
        <v>47</v>
      </c>
      <c r="G22" s="100">
        <f t="shared" si="0"/>
        <v>41.964285714285715</v>
      </c>
      <c r="H22" s="100">
        <f t="shared" si="1"/>
        <v>7553.5714285714284</v>
      </c>
      <c r="K22" s="98"/>
    </row>
    <row r="23" spans="1:11" ht="45" x14ac:dyDescent="0.25">
      <c r="A23" s="99">
        <v>19</v>
      </c>
      <c r="B23" s="99" t="s">
        <v>409</v>
      </c>
      <c r="C23" s="101" t="s">
        <v>236</v>
      </c>
      <c r="D23" s="99" t="s">
        <v>40</v>
      </c>
      <c r="E23" s="100">
        <v>12</v>
      </c>
      <c r="F23" s="102">
        <v>148</v>
      </c>
      <c r="G23" s="100">
        <f t="shared" si="0"/>
        <v>132.14285714285714</v>
      </c>
      <c r="H23" s="100">
        <f t="shared" si="1"/>
        <v>1585.7142857142858</v>
      </c>
      <c r="K23" s="98"/>
    </row>
    <row r="24" spans="1:11" ht="60" x14ac:dyDescent="0.25">
      <c r="A24" s="99">
        <v>20</v>
      </c>
      <c r="B24" s="99">
        <v>1.25</v>
      </c>
      <c r="C24" s="101" t="s">
        <v>237</v>
      </c>
      <c r="D24" s="99" t="s">
        <v>40</v>
      </c>
      <c r="E24" s="100">
        <v>35</v>
      </c>
      <c r="F24" s="102">
        <v>369</v>
      </c>
      <c r="G24" s="100">
        <f t="shared" si="0"/>
        <v>329.46428571428572</v>
      </c>
      <c r="H24" s="100">
        <f t="shared" si="1"/>
        <v>11531.25</v>
      </c>
      <c r="K24" s="98"/>
    </row>
    <row r="25" spans="1:11" ht="45" x14ac:dyDescent="0.25">
      <c r="A25" s="99">
        <v>21</v>
      </c>
      <c r="B25" s="99">
        <v>1.26</v>
      </c>
      <c r="C25" s="101" t="s">
        <v>238</v>
      </c>
      <c r="D25" s="99" t="s">
        <v>40</v>
      </c>
      <c r="E25" s="100">
        <v>20</v>
      </c>
      <c r="F25" s="102">
        <v>40</v>
      </c>
      <c r="G25" s="100">
        <f t="shared" si="0"/>
        <v>35.714285714285715</v>
      </c>
      <c r="H25" s="100">
        <f t="shared" si="1"/>
        <v>714.28571428571433</v>
      </c>
      <c r="K25" s="98"/>
    </row>
    <row r="26" spans="1:11" ht="34.5" customHeight="1" x14ac:dyDescent="0.25">
      <c r="A26" s="99">
        <v>22</v>
      </c>
      <c r="B26" s="99">
        <v>1.38</v>
      </c>
      <c r="C26" s="101" t="s">
        <v>239</v>
      </c>
      <c r="D26" s="99" t="s">
        <v>40</v>
      </c>
      <c r="E26" s="100">
        <v>1</v>
      </c>
      <c r="F26" s="102">
        <v>99</v>
      </c>
      <c r="G26" s="100">
        <f t="shared" si="0"/>
        <v>88.392857142857139</v>
      </c>
      <c r="H26" s="100">
        <f t="shared" si="1"/>
        <v>88.392857142857139</v>
      </c>
      <c r="K26" s="98"/>
    </row>
    <row r="27" spans="1:11" ht="45" x14ac:dyDescent="0.25">
      <c r="A27" s="99">
        <v>23</v>
      </c>
      <c r="B27" s="104"/>
      <c r="C27" s="101" t="s">
        <v>240</v>
      </c>
      <c r="D27" s="99" t="s">
        <v>40</v>
      </c>
      <c r="E27" s="100">
        <v>1</v>
      </c>
      <c r="F27" s="102">
        <f>413.52*1.3</f>
        <v>537.57600000000002</v>
      </c>
      <c r="G27" s="105">
        <f>F27</f>
        <v>537.57600000000002</v>
      </c>
      <c r="H27" s="100">
        <f t="shared" si="1"/>
        <v>537.57600000000002</v>
      </c>
      <c r="K27" s="98"/>
    </row>
    <row r="28" spans="1:11" ht="45" x14ac:dyDescent="0.25">
      <c r="A28" s="99">
        <v>24</v>
      </c>
      <c r="B28" s="104"/>
      <c r="C28" s="101" t="s">
        <v>241</v>
      </c>
      <c r="D28" s="99" t="s">
        <v>40</v>
      </c>
      <c r="E28" s="100">
        <v>1</v>
      </c>
      <c r="F28" s="102">
        <f>801.68*1.3</f>
        <v>1042.184</v>
      </c>
      <c r="G28" s="100">
        <f t="shared" ref="G28:G30" si="3">F28</f>
        <v>1042.184</v>
      </c>
      <c r="H28" s="100">
        <f t="shared" si="1"/>
        <v>1042.184</v>
      </c>
      <c r="K28" s="98"/>
    </row>
    <row r="29" spans="1:11" ht="46.5" customHeight="1" x14ac:dyDescent="0.25">
      <c r="A29" s="99">
        <v>25</v>
      </c>
      <c r="B29" s="104"/>
      <c r="C29" s="101" t="s">
        <v>242</v>
      </c>
      <c r="D29" s="99" t="s">
        <v>54</v>
      </c>
      <c r="E29" s="100">
        <v>20</v>
      </c>
      <c r="F29" s="102">
        <f>59.95*1.3</f>
        <v>77.935000000000002</v>
      </c>
      <c r="G29" s="100">
        <f t="shared" si="3"/>
        <v>77.935000000000002</v>
      </c>
      <c r="H29" s="100">
        <f t="shared" si="1"/>
        <v>1558.7</v>
      </c>
      <c r="K29" s="98"/>
    </row>
    <row r="30" spans="1:11" ht="75" x14ac:dyDescent="0.25">
      <c r="A30" s="99">
        <f>A29+1</f>
        <v>26</v>
      </c>
      <c r="B30" s="104"/>
      <c r="C30" s="101" t="s">
        <v>243</v>
      </c>
      <c r="D30" s="99" t="s">
        <v>54</v>
      </c>
      <c r="E30" s="100">
        <v>30</v>
      </c>
      <c r="F30" s="102">
        <f>307.45*1.3</f>
        <v>399.685</v>
      </c>
      <c r="G30" s="100">
        <f t="shared" si="3"/>
        <v>399.685</v>
      </c>
      <c r="H30" s="100">
        <f t="shared" si="1"/>
        <v>11990.55</v>
      </c>
      <c r="K30" s="98"/>
    </row>
    <row r="31" spans="1:11" ht="94.5" customHeight="1" x14ac:dyDescent="0.25">
      <c r="A31" s="99">
        <f t="shared" ref="A31:A59" si="4">A30+1</f>
        <v>27</v>
      </c>
      <c r="B31" s="99" t="s">
        <v>410</v>
      </c>
      <c r="C31" s="101" t="s">
        <v>244</v>
      </c>
      <c r="D31" s="99" t="s">
        <v>40</v>
      </c>
      <c r="E31" s="100">
        <v>5</v>
      </c>
      <c r="F31" s="102">
        <v>4091</v>
      </c>
      <c r="G31" s="100">
        <f t="shared" si="0"/>
        <v>3652.6785714285716</v>
      </c>
      <c r="H31" s="100">
        <f t="shared" si="1"/>
        <v>18263.392857142859</v>
      </c>
      <c r="K31" s="98"/>
    </row>
    <row r="32" spans="1:11" ht="81" customHeight="1" x14ac:dyDescent="0.25">
      <c r="A32" s="99">
        <f t="shared" si="4"/>
        <v>28</v>
      </c>
      <c r="B32" s="99"/>
      <c r="C32" s="101" t="s">
        <v>245</v>
      </c>
      <c r="D32" s="99"/>
      <c r="E32" s="100"/>
      <c r="F32" s="102"/>
      <c r="G32" s="100">
        <f t="shared" si="0"/>
        <v>0</v>
      </c>
      <c r="H32" s="100">
        <f t="shared" si="1"/>
        <v>0</v>
      </c>
      <c r="K32" s="98"/>
    </row>
    <row r="33" spans="1:11" x14ac:dyDescent="0.25">
      <c r="A33" s="99" t="s">
        <v>56</v>
      </c>
      <c r="B33" s="99" t="s">
        <v>411</v>
      </c>
      <c r="C33" s="101" t="s">
        <v>246</v>
      </c>
      <c r="D33" s="99" t="s">
        <v>40</v>
      </c>
      <c r="E33" s="100">
        <v>60</v>
      </c>
      <c r="F33" s="102">
        <f>135*1.15</f>
        <v>155.25</v>
      </c>
      <c r="G33" s="100">
        <f t="shared" si="0"/>
        <v>138.61607142857142</v>
      </c>
      <c r="H33" s="100">
        <f t="shared" si="1"/>
        <v>8316.9642857142844</v>
      </c>
      <c r="K33" s="98"/>
    </row>
    <row r="34" spans="1:11" x14ac:dyDescent="0.25">
      <c r="A34" s="99" t="s">
        <v>57</v>
      </c>
      <c r="B34" s="99" t="s">
        <v>412</v>
      </c>
      <c r="C34" s="101" t="s">
        <v>247</v>
      </c>
      <c r="D34" s="99" t="s">
        <v>40</v>
      </c>
      <c r="E34" s="100">
        <v>5</v>
      </c>
      <c r="F34" s="102">
        <f>1443*1.15</f>
        <v>1659.4499999999998</v>
      </c>
      <c r="G34" s="100">
        <f>F34*100/112</f>
        <v>1481.6517857142856</v>
      </c>
      <c r="H34" s="100">
        <f t="shared" si="1"/>
        <v>7408.2589285714275</v>
      </c>
      <c r="I34" s="93" t="s">
        <v>413</v>
      </c>
      <c r="K34" s="98"/>
    </row>
    <row r="35" spans="1:11" ht="196.5" customHeight="1" x14ac:dyDescent="0.25">
      <c r="A35" s="99">
        <v>29</v>
      </c>
      <c r="B35" s="104"/>
      <c r="C35" s="101" t="s">
        <v>248</v>
      </c>
      <c r="D35" s="99" t="s">
        <v>40</v>
      </c>
      <c r="E35" s="99">
        <v>1</v>
      </c>
      <c r="F35" s="102">
        <f>14338.83+(14338.83*30%)</f>
        <v>18640.478999999999</v>
      </c>
      <c r="G35" s="100">
        <f>F35</f>
        <v>18640.478999999999</v>
      </c>
      <c r="H35" s="100">
        <f t="shared" si="1"/>
        <v>18640.478999999999</v>
      </c>
      <c r="K35" s="98"/>
    </row>
    <row r="36" spans="1:11" ht="59.25" customHeight="1" x14ac:dyDescent="0.25">
      <c r="A36" s="99">
        <f>A35+1</f>
        <v>30</v>
      </c>
      <c r="B36" s="99">
        <v>2.21</v>
      </c>
      <c r="C36" s="101" t="s">
        <v>249</v>
      </c>
      <c r="D36" s="99" t="s">
        <v>40</v>
      </c>
      <c r="E36" s="99">
        <v>1</v>
      </c>
      <c r="F36" s="102">
        <v>269</v>
      </c>
      <c r="G36" s="100">
        <f t="shared" ref="G36:G61" si="5">F36*100/118</f>
        <v>227.96610169491527</v>
      </c>
      <c r="H36" s="100">
        <f t="shared" si="1"/>
        <v>227.96610169491527</v>
      </c>
      <c r="K36" s="98"/>
    </row>
    <row r="37" spans="1:11" ht="75.75" customHeight="1" x14ac:dyDescent="0.25">
      <c r="A37" s="99">
        <f t="shared" si="4"/>
        <v>31</v>
      </c>
      <c r="B37" s="99">
        <v>5.0999999999999996</v>
      </c>
      <c r="C37" s="101" t="s">
        <v>250</v>
      </c>
      <c r="D37" s="99" t="s">
        <v>51</v>
      </c>
      <c r="E37" s="99">
        <v>2</v>
      </c>
      <c r="F37" s="102">
        <v>5368</v>
      </c>
      <c r="G37" s="100">
        <f t="shared" si="5"/>
        <v>4549.1525423728817</v>
      </c>
      <c r="H37" s="100">
        <f t="shared" si="1"/>
        <v>9098.3050847457635</v>
      </c>
      <c r="K37" s="98"/>
    </row>
    <row r="38" spans="1:11" ht="45" x14ac:dyDescent="0.25">
      <c r="A38" s="99">
        <f t="shared" si="4"/>
        <v>32</v>
      </c>
      <c r="B38" s="99">
        <v>5.13</v>
      </c>
      <c r="C38" s="101" t="s">
        <v>251</v>
      </c>
      <c r="D38" s="99" t="s">
        <v>54</v>
      </c>
      <c r="E38" s="99">
        <v>30</v>
      </c>
      <c r="F38" s="102">
        <v>369</v>
      </c>
      <c r="G38" s="100">
        <f t="shared" si="5"/>
        <v>312.71186440677968</v>
      </c>
      <c r="H38" s="100">
        <f t="shared" si="1"/>
        <v>9381.3559322033907</v>
      </c>
      <c r="K38" s="98"/>
    </row>
    <row r="39" spans="1:11" ht="30" x14ac:dyDescent="0.25">
      <c r="A39" s="99">
        <f t="shared" si="4"/>
        <v>33</v>
      </c>
      <c r="B39" s="99">
        <v>5.15</v>
      </c>
      <c r="C39" s="101" t="s">
        <v>252</v>
      </c>
      <c r="D39" s="99" t="s">
        <v>54</v>
      </c>
      <c r="E39" s="99">
        <v>10</v>
      </c>
      <c r="F39" s="102">
        <v>244</v>
      </c>
      <c r="G39" s="100">
        <f t="shared" si="5"/>
        <v>206.77966101694915</v>
      </c>
      <c r="H39" s="100">
        <f t="shared" si="1"/>
        <v>2067.7966101694915</v>
      </c>
      <c r="K39" s="98"/>
    </row>
    <row r="40" spans="1:11" ht="30" x14ac:dyDescent="0.25">
      <c r="A40" s="99">
        <f t="shared" si="4"/>
        <v>34</v>
      </c>
      <c r="B40" s="99">
        <v>5.17</v>
      </c>
      <c r="C40" s="101" t="s">
        <v>253</v>
      </c>
      <c r="D40" s="99" t="s">
        <v>54</v>
      </c>
      <c r="E40" s="99">
        <v>30</v>
      </c>
      <c r="F40" s="102">
        <v>155</v>
      </c>
      <c r="G40" s="100">
        <f t="shared" si="5"/>
        <v>131.35593220338984</v>
      </c>
      <c r="H40" s="100">
        <f t="shared" si="1"/>
        <v>3940.6779661016953</v>
      </c>
      <c r="K40" s="98"/>
    </row>
    <row r="41" spans="1:11" ht="60" x14ac:dyDescent="0.25">
      <c r="A41" s="99">
        <f t="shared" si="4"/>
        <v>35</v>
      </c>
      <c r="B41" s="99">
        <v>1.44</v>
      </c>
      <c r="C41" s="101" t="s">
        <v>254</v>
      </c>
      <c r="D41" s="99" t="s">
        <v>40</v>
      </c>
      <c r="E41" s="99">
        <v>35</v>
      </c>
      <c r="F41" s="102">
        <v>213</v>
      </c>
      <c r="G41" s="100">
        <f t="shared" si="5"/>
        <v>180.5084745762712</v>
      </c>
      <c r="H41" s="100">
        <f t="shared" si="1"/>
        <v>6317.7966101694919</v>
      </c>
      <c r="K41" s="98"/>
    </row>
    <row r="42" spans="1:11" ht="60" x14ac:dyDescent="0.25">
      <c r="A42" s="99">
        <f t="shared" si="4"/>
        <v>36</v>
      </c>
      <c r="B42" s="99" t="s">
        <v>414</v>
      </c>
      <c r="C42" s="101" t="s">
        <v>255</v>
      </c>
      <c r="D42" s="99" t="s">
        <v>40</v>
      </c>
      <c r="E42" s="99">
        <v>12</v>
      </c>
      <c r="F42" s="102">
        <v>450</v>
      </c>
      <c r="G42" s="100">
        <f t="shared" si="5"/>
        <v>381.35593220338984</v>
      </c>
      <c r="H42" s="100">
        <f t="shared" si="1"/>
        <v>4576.2711864406783</v>
      </c>
      <c r="K42" s="98"/>
    </row>
    <row r="43" spans="1:11" ht="75" x14ac:dyDescent="0.25">
      <c r="A43" s="99">
        <f t="shared" si="4"/>
        <v>37</v>
      </c>
      <c r="B43" s="99">
        <v>1.41</v>
      </c>
      <c r="C43" s="101" t="s">
        <v>256</v>
      </c>
      <c r="D43" s="99" t="s">
        <v>40</v>
      </c>
      <c r="E43" s="99">
        <v>36</v>
      </c>
      <c r="F43" s="102">
        <v>206</v>
      </c>
      <c r="G43" s="100">
        <f t="shared" si="5"/>
        <v>174.57627118644066</v>
      </c>
      <c r="H43" s="100">
        <f t="shared" si="1"/>
        <v>6284.7457627118638</v>
      </c>
      <c r="K43" s="98"/>
    </row>
    <row r="44" spans="1:11" ht="60" x14ac:dyDescent="0.25">
      <c r="A44" s="99">
        <f t="shared" si="4"/>
        <v>38</v>
      </c>
      <c r="B44" s="99">
        <v>1.35</v>
      </c>
      <c r="C44" s="101" t="s">
        <v>257</v>
      </c>
      <c r="D44" s="99" t="s">
        <v>40</v>
      </c>
      <c r="E44" s="99">
        <v>33</v>
      </c>
      <c r="F44" s="102">
        <v>119</v>
      </c>
      <c r="G44" s="100">
        <f t="shared" si="5"/>
        <v>100.84745762711864</v>
      </c>
      <c r="H44" s="100">
        <f t="shared" si="1"/>
        <v>3327.9661016949153</v>
      </c>
      <c r="K44" s="98"/>
    </row>
    <row r="45" spans="1:11" ht="90.75" customHeight="1" x14ac:dyDescent="0.25">
      <c r="A45" s="99">
        <f t="shared" si="4"/>
        <v>39</v>
      </c>
      <c r="B45" s="99">
        <v>1.42</v>
      </c>
      <c r="C45" s="101" t="s">
        <v>258</v>
      </c>
      <c r="D45" s="99" t="s">
        <v>40</v>
      </c>
      <c r="E45" s="99">
        <v>10</v>
      </c>
      <c r="F45" s="102">
        <v>471</v>
      </c>
      <c r="G45" s="100">
        <f t="shared" si="5"/>
        <v>399.15254237288133</v>
      </c>
      <c r="H45" s="100">
        <f t="shared" si="1"/>
        <v>3991.5254237288132</v>
      </c>
      <c r="K45" s="98" t="s">
        <v>259</v>
      </c>
    </row>
    <row r="46" spans="1:11" ht="45" x14ac:dyDescent="0.25">
      <c r="A46" s="99">
        <f t="shared" si="4"/>
        <v>40</v>
      </c>
      <c r="B46" s="104" t="s">
        <v>415</v>
      </c>
      <c r="C46" s="101" t="s">
        <v>260</v>
      </c>
      <c r="D46" s="99" t="s">
        <v>40</v>
      </c>
      <c r="E46" s="99">
        <v>35</v>
      </c>
      <c r="F46" s="102">
        <f>1585*1.1</f>
        <v>1743.5000000000002</v>
      </c>
      <c r="G46" s="100">
        <f>F46</f>
        <v>1743.5000000000002</v>
      </c>
      <c r="H46" s="100">
        <f t="shared" si="1"/>
        <v>61022.500000000007</v>
      </c>
      <c r="K46" s="98">
        <v>1386.61</v>
      </c>
    </row>
    <row r="47" spans="1:11" ht="75" x14ac:dyDescent="0.25">
      <c r="A47" s="99">
        <v>41</v>
      </c>
      <c r="B47" s="104"/>
      <c r="C47" s="101" t="s">
        <v>416</v>
      </c>
      <c r="D47" s="99" t="s">
        <v>40</v>
      </c>
      <c r="E47" s="99">
        <v>8</v>
      </c>
      <c r="F47" s="102">
        <v>48439</v>
      </c>
      <c r="G47" s="100">
        <f t="shared" si="5"/>
        <v>41050</v>
      </c>
      <c r="H47" s="100">
        <f t="shared" si="1"/>
        <v>328400</v>
      </c>
      <c r="K47" s="98"/>
    </row>
    <row r="48" spans="1:11" ht="90" x14ac:dyDescent="0.25">
      <c r="A48" s="99">
        <f t="shared" si="4"/>
        <v>42</v>
      </c>
      <c r="B48" s="104"/>
      <c r="C48" s="101" t="s">
        <v>417</v>
      </c>
      <c r="D48" s="99" t="s">
        <v>40</v>
      </c>
      <c r="E48" s="99">
        <v>2</v>
      </c>
      <c r="F48" s="102">
        <v>75579</v>
      </c>
      <c r="G48" s="100">
        <f t="shared" si="5"/>
        <v>64050</v>
      </c>
      <c r="H48" s="100">
        <f t="shared" si="1"/>
        <v>128100</v>
      </c>
      <c r="K48" s="98"/>
    </row>
    <row r="49" spans="1:11" ht="45" x14ac:dyDescent="0.25">
      <c r="A49" s="99">
        <f t="shared" si="4"/>
        <v>43</v>
      </c>
      <c r="B49" s="104" t="s">
        <v>418</v>
      </c>
      <c r="C49" s="101" t="s">
        <v>419</v>
      </c>
      <c r="D49" s="99" t="s">
        <v>40</v>
      </c>
      <c r="E49" s="99">
        <v>7</v>
      </c>
      <c r="F49" s="102">
        <f>3249*1.1</f>
        <v>3573.9</v>
      </c>
      <c r="G49" s="100">
        <f>F49</f>
        <v>3573.9</v>
      </c>
      <c r="H49" s="100">
        <f t="shared" si="1"/>
        <v>25017.3</v>
      </c>
      <c r="I49" s="93" t="s">
        <v>420</v>
      </c>
      <c r="K49" s="98">
        <v>2221.35</v>
      </c>
    </row>
    <row r="50" spans="1:11" ht="30" x14ac:dyDescent="0.25">
      <c r="A50" s="99">
        <f t="shared" si="4"/>
        <v>44</v>
      </c>
      <c r="B50" s="104" t="s">
        <v>421</v>
      </c>
      <c r="C50" s="101" t="s">
        <v>261</v>
      </c>
      <c r="D50" s="99" t="s">
        <v>40</v>
      </c>
      <c r="E50" s="99">
        <v>12</v>
      </c>
      <c r="F50" s="102">
        <f>2074*1.1</f>
        <v>2281.4</v>
      </c>
      <c r="G50" s="100">
        <f t="shared" ref="G50:G59" si="6">F50</f>
        <v>2281.4</v>
      </c>
      <c r="H50" s="100">
        <f t="shared" si="1"/>
        <v>27376.800000000003</v>
      </c>
      <c r="I50" s="93" t="s">
        <v>420</v>
      </c>
      <c r="K50" s="98">
        <v>1929.27</v>
      </c>
    </row>
    <row r="51" spans="1:11" ht="45" x14ac:dyDescent="0.25">
      <c r="A51" s="99">
        <f t="shared" si="4"/>
        <v>45</v>
      </c>
      <c r="B51" s="104"/>
      <c r="C51" s="101" t="s">
        <v>262</v>
      </c>
      <c r="D51" s="99" t="s">
        <v>40</v>
      </c>
      <c r="E51" s="99">
        <v>36</v>
      </c>
      <c r="F51" s="102">
        <f>K51+(K51*30%)</f>
        <v>564.56399999999996</v>
      </c>
      <c r="G51" s="100">
        <f t="shared" si="6"/>
        <v>564.56399999999996</v>
      </c>
      <c r="H51" s="100">
        <f t="shared" si="1"/>
        <v>20324.304</v>
      </c>
      <c r="K51" s="98">
        <v>434.28</v>
      </c>
    </row>
    <row r="52" spans="1:11" ht="30" x14ac:dyDescent="0.25">
      <c r="A52" s="99">
        <f t="shared" si="4"/>
        <v>46</v>
      </c>
      <c r="B52" s="104" t="s">
        <v>422</v>
      </c>
      <c r="C52" s="101" t="s">
        <v>423</v>
      </c>
      <c r="D52" s="99" t="s">
        <v>40</v>
      </c>
      <c r="E52" s="99">
        <v>11</v>
      </c>
      <c r="F52" s="102">
        <f>1847*1.1</f>
        <v>2031.7000000000003</v>
      </c>
      <c r="G52" s="100">
        <f t="shared" si="6"/>
        <v>2031.7000000000003</v>
      </c>
      <c r="H52" s="100">
        <f t="shared" si="1"/>
        <v>22348.700000000004</v>
      </c>
      <c r="I52" s="93" t="s">
        <v>420</v>
      </c>
      <c r="K52" s="98">
        <v>1229.81</v>
      </c>
    </row>
    <row r="53" spans="1:11" ht="45" x14ac:dyDescent="0.25">
      <c r="A53" s="99">
        <f t="shared" si="4"/>
        <v>47</v>
      </c>
      <c r="B53" s="104"/>
      <c r="C53" s="101" t="s">
        <v>263</v>
      </c>
      <c r="D53" s="99" t="s">
        <v>40</v>
      </c>
      <c r="E53" s="99">
        <v>60</v>
      </c>
      <c r="F53" s="102">
        <f>K53+(K53*30%)</f>
        <v>674.47900000000004</v>
      </c>
      <c r="G53" s="100">
        <f t="shared" si="6"/>
        <v>674.47900000000004</v>
      </c>
      <c r="H53" s="100">
        <f t="shared" si="1"/>
        <v>40468.740000000005</v>
      </c>
      <c r="I53" s="93" t="s">
        <v>424</v>
      </c>
      <c r="K53" s="98">
        <v>518.83000000000004</v>
      </c>
    </row>
    <row r="54" spans="1:11" ht="45" x14ac:dyDescent="0.25">
      <c r="A54" s="99">
        <f t="shared" si="4"/>
        <v>48</v>
      </c>
      <c r="B54" s="104" t="s">
        <v>425</v>
      </c>
      <c r="C54" s="101" t="s">
        <v>426</v>
      </c>
      <c r="D54" s="99" t="s">
        <v>40</v>
      </c>
      <c r="E54" s="99">
        <v>60</v>
      </c>
      <c r="F54" s="102">
        <f>1023*1.1</f>
        <v>1125.3000000000002</v>
      </c>
      <c r="G54" s="100">
        <f t="shared" si="6"/>
        <v>1125.3000000000002</v>
      </c>
      <c r="H54" s="100">
        <f t="shared" si="1"/>
        <v>67518.000000000015</v>
      </c>
      <c r="I54" s="93" t="s">
        <v>420</v>
      </c>
      <c r="K54" s="98"/>
    </row>
    <row r="55" spans="1:11" ht="45" x14ac:dyDescent="0.25">
      <c r="A55" s="99">
        <f t="shared" si="4"/>
        <v>49</v>
      </c>
      <c r="B55" s="104"/>
      <c r="C55" s="101" t="s">
        <v>264</v>
      </c>
      <c r="D55" s="99" t="s">
        <v>40</v>
      </c>
      <c r="E55" s="99">
        <v>3</v>
      </c>
      <c r="F55" s="102">
        <f>K55+(K55*30%)</f>
        <v>3993.8859999999995</v>
      </c>
      <c r="G55" s="100">
        <f t="shared" si="6"/>
        <v>3993.8859999999995</v>
      </c>
      <c r="H55" s="100">
        <f t="shared" si="1"/>
        <v>11981.657999999999</v>
      </c>
      <c r="K55" s="98">
        <v>3072.22</v>
      </c>
    </row>
    <row r="56" spans="1:11" ht="30" x14ac:dyDescent="0.25">
      <c r="A56" s="99">
        <f t="shared" si="4"/>
        <v>50</v>
      </c>
      <c r="B56" s="104" t="s">
        <v>427</v>
      </c>
      <c r="C56" s="106" t="s">
        <v>428</v>
      </c>
      <c r="D56" s="99" t="s">
        <v>40</v>
      </c>
      <c r="E56" s="99">
        <v>20</v>
      </c>
      <c r="F56" s="102">
        <f>2656*1.1</f>
        <v>2921.6000000000004</v>
      </c>
      <c r="G56" s="100">
        <f t="shared" si="6"/>
        <v>2921.6000000000004</v>
      </c>
      <c r="H56" s="100">
        <f t="shared" si="1"/>
        <v>58432.000000000007</v>
      </c>
      <c r="I56" s="93" t="s">
        <v>420</v>
      </c>
      <c r="K56" s="98">
        <v>836.27</v>
      </c>
    </row>
    <row r="57" spans="1:11" s="107" customFormat="1" ht="60" x14ac:dyDescent="0.25">
      <c r="A57" s="99">
        <f t="shared" si="4"/>
        <v>51</v>
      </c>
      <c r="B57" s="104"/>
      <c r="C57" s="85" t="s">
        <v>265</v>
      </c>
      <c r="D57" s="99" t="s">
        <v>40</v>
      </c>
      <c r="E57" s="86">
        <v>7</v>
      </c>
      <c r="F57" s="102">
        <f>K57+(K57*30%)</f>
        <v>4882.1890000000003</v>
      </c>
      <c r="G57" s="100">
        <f t="shared" si="6"/>
        <v>4882.1890000000003</v>
      </c>
      <c r="H57" s="100">
        <f t="shared" si="1"/>
        <v>34175.323000000004</v>
      </c>
      <c r="K57" s="98">
        <v>3755.53</v>
      </c>
    </row>
    <row r="58" spans="1:11" ht="126" customHeight="1" x14ac:dyDescent="0.25">
      <c r="A58" s="99">
        <f t="shared" si="4"/>
        <v>52</v>
      </c>
      <c r="B58" s="104" t="s">
        <v>429</v>
      </c>
      <c r="C58" s="85" t="s">
        <v>430</v>
      </c>
      <c r="D58" s="99" t="s">
        <v>40</v>
      </c>
      <c r="E58" s="99">
        <v>16</v>
      </c>
      <c r="F58" s="102">
        <f>3491*1.1</f>
        <v>3840.1000000000004</v>
      </c>
      <c r="G58" s="100">
        <f t="shared" si="6"/>
        <v>3840.1000000000004</v>
      </c>
      <c r="H58" s="100">
        <f t="shared" si="1"/>
        <v>61441.600000000006</v>
      </c>
      <c r="I58" s="93" t="s">
        <v>420</v>
      </c>
      <c r="K58" s="98">
        <v>5974.57</v>
      </c>
    </row>
    <row r="59" spans="1:11" ht="45" x14ac:dyDescent="0.25">
      <c r="A59" s="99">
        <f t="shared" si="4"/>
        <v>53</v>
      </c>
      <c r="B59" s="104"/>
      <c r="C59" s="101" t="s">
        <v>266</v>
      </c>
      <c r="D59" s="99" t="s">
        <v>40</v>
      </c>
      <c r="E59" s="99">
        <v>2</v>
      </c>
      <c r="F59" s="102">
        <f>K59+(K59*30%)</f>
        <v>10429.874</v>
      </c>
      <c r="G59" s="100">
        <f t="shared" si="6"/>
        <v>10429.874</v>
      </c>
      <c r="H59" s="100">
        <f t="shared" si="1"/>
        <v>20859.748</v>
      </c>
      <c r="K59" s="98">
        <v>8022.98</v>
      </c>
    </row>
    <row r="60" spans="1:11" ht="60" x14ac:dyDescent="0.25">
      <c r="A60" s="108">
        <v>55</v>
      </c>
      <c r="B60" s="104" t="s">
        <v>431</v>
      </c>
      <c r="C60" s="101" t="s">
        <v>432</v>
      </c>
      <c r="D60" s="99" t="s">
        <v>40</v>
      </c>
      <c r="E60" s="99">
        <v>90</v>
      </c>
      <c r="F60" s="102">
        <f>1847*1.1</f>
        <v>2031.7000000000003</v>
      </c>
      <c r="G60" s="100">
        <f>F60</f>
        <v>2031.7000000000003</v>
      </c>
      <c r="H60" s="100">
        <f t="shared" si="1"/>
        <v>182853.00000000003</v>
      </c>
      <c r="I60" s="93" t="s">
        <v>433</v>
      </c>
      <c r="K60" s="98"/>
    </row>
    <row r="61" spans="1:11" ht="21.75" customHeight="1" x14ac:dyDescent="0.25">
      <c r="A61" s="108">
        <v>56</v>
      </c>
      <c r="B61" s="104"/>
      <c r="C61" s="101" t="s">
        <v>434</v>
      </c>
      <c r="D61" s="99" t="s">
        <v>40</v>
      </c>
      <c r="E61" s="99">
        <v>10</v>
      </c>
      <c r="F61" s="102">
        <v>25000</v>
      </c>
      <c r="G61" s="100">
        <f t="shared" si="5"/>
        <v>21186.4406779661</v>
      </c>
      <c r="H61" s="100">
        <f t="shared" si="1"/>
        <v>211864.40677966102</v>
      </c>
      <c r="K61" s="98"/>
    </row>
    <row r="62" spans="1:11" ht="27" customHeight="1" x14ac:dyDescent="0.25">
      <c r="A62" s="171" t="s">
        <v>267</v>
      </c>
      <c r="B62" s="171"/>
      <c r="C62" s="171"/>
      <c r="D62" s="171"/>
      <c r="E62" s="171"/>
      <c r="F62" s="171"/>
      <c r="G62" s="172"/>
      <c r="H62" s="109">
        <f>SUM(H5:H61)</f>
        <v>2145850.3416307513</v>
      </c>
    </row>
    <row r="63" spans="1:11" ht="23.25" customHeight="1" x14ac:dyDescent="0.25">
      <c r="A63" s="171" t="s">
        <v>353</v>
      </c>
      <c r="B63" s="171"/>
      <c r="C63" s="171"/>
      <c r="D63" s="171"/>
      <c r="E63" s="171"/>
      <c r="F63" s="171"/>
      <c r="G63" s="172"/>
      <c r="H63" s="109">
        <f>H62-H64</f>
        <v>1349676.1618510904</v>
      </c>
    </row>
    <row r="64" spans="1:11" ht="29.25" customHeight="1" x14ac:dyDescent="0.25">
      <c r="A64" s="173" t="s">
        <v>354</v>
      </c>
      <c r="B64" s="171"/>
      <c r="C64" s="171"/>
      <c r="D64" s="171"/>
      <c r="E64" s="171"/>
      <c r="F64" s="171"/>
      <c r="G64" s="172"/>
      <c r="H64" s="109">
        <f>H61+H59+H57+H55+H53+H51+H48+H47+J35</f>
        <v>796174.179779661</v>
      </c>
    </row>
    <row r="1048535" spans="1:8" ht="75" x14ac:dyDescent="0.25">
      <c r="A1048535" s="110">
        <v>24</v>
      </c>
      <c r="B1048535" s="110">
        <v>4.13</v>
      </c>
      <c r="C1048535" s="111" t="s">
        <v>94</v>
      </c>
      <c r="D1048535" s="110" t="s">
        <v>33</v>
      </c>
      <c r="E1048535" s="110">
        <v>65</v>
      </c>
      <c r="F1048535" s="110">
        <v>113.85</v>
      </c>
      <c r="G1048535" s="110"/>
      <c r="H1048535" s="112">
        <f>ROUND(E1048535*F1048535,2)</f>
        <v>7400.25</v>
      </c>
    </row>
  </sheetData>
  <sheetProtection algorithmName="SHA-512" hashValue="+qW4e1ZV5zG51WWbMK5RrXGCqOEU+y6QTn2gREu6eRw2Rwqglrrw2xoO9ONYgLjdyjMtMy1wxVCTwUoIfQ4XjA==" saltValue="Mzs92opfXE+5I2vFw2t/dA==" spinCount="100000" sheet="1" objects="1" scenarios="1" selectLockedCells="1" selectUnlockedCells="1"/>
  <mergeCells count="5">
    <mergeCell ref="A1:H1"/>
    <mergeCell ref="A3:H3"/>
    <mergeCell ref="A62:G62"/>
    <mergeCell ref="A63:G63"/>
    <mergeCell ref="A64:G64"/>
  </mergeCells>
  <pageMargins left="0.7" right="0.7" top="0.75" bottom="0.75" header="0.3" footer="0.3"/>
  <pageSetup scale="77"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9"/>
  <sheetViews>
    <sheetView topLeftCell="A4" workbookViewId="0">
      <selection activeCell="K14" sqref="K14"/>
    </sheetView>
  </sheetViews>
  <sheetFormatPr defaultColWidth="9.140625" defaultRowHeight="15" x14ac:dyDescent="0.25"/>
  <cols>
    <col min="1" max="1" width="7.28515625" style="2" customWidth="1"/>
    <col min="2" max="2" width="12" style="2" customWidth="1"/>
    <col min="3" max="3" width="31.140625" style="2" customWidth="1"/>
    <col min="4" max="4" width="16.140625" style="2" customWidth="1"/>
    <col min="5" max="5" width="13.140625" style="2" customWidth="1"/>
    <col min="6" max="6" width="0.140625" style="2" hidden="1" customWidth="1"/>
    <col min="7" max="7" width="12.5703125" style="2" customWidth="1"/>
    <col min="8" max="8" width="14.42578125" style="2" customWidth="1"/>
    <col min="9" max="9" width="11.7109375" style="2" customWidth="1"/>
    <col min="10" max="10" width="14.140625" style="2" hidden="1" customWidth="1"/>
    <col min="11" max="11" width="16" style="2" customWidth="1"/>
    <col min="12" max="16384" width="9.140625" style="2"/>
  </cols>
  <sheetData>
    <row r="1" spans="1:15" x14ac:dyDescent="0.25">
      <c r="A1" s="11" t="str">
        <f>Sheet1!A2</f>
        <v>RFX. No. 5002003531 NIT-445</v>
      </c>
      <c r="B1" s="11"/>
      <c r="C1" s="11"/>
    </row>
    <row r="2" spans="1:15" ht="30.95" customHeight="1" x14ac:dyDescent="0.25">
      <c r="A2" s="181" t="str">
        <f>Sheet1!B3</f>
        <v xml:space="preserve">Balance work of Construction of Transit Camp / field hostel at 400/220/132 KV Saharsa Substation
</v>
      </c>
      <c r="B2" s="181"/>
      <c r="C2" s="181"/>
      <c r="D2" s="181"/>
      <c r="E2" s="181"/>
      <c r="F2" s="181"/>
      <c r="G2" s="181"/>
      <c r="H2" s="181"/>
      <c r="I2" s="181"/>
      <c r="J2" s="181"/>
      <c r="K2" s="181"/>
    </row>
    <row r="3" spans="1:15" x14ac:dyDescent="0.25">
      <c r="H3" s="182" t="s">
        <v>31</v>
      </c>
      <c r="I3" s="182"/>
      <c r="J3" s="182"/>
      <c r="K3" s="182"/>
    </row>
    <row r="4" spans="1:15" ht="36" customHeight="1" x14ac:dyDescent="0.25">
      <c r="A4" s="182" t="s">
        <v>11</v>
      </c>
      <c r="B4" s="185"/>
      <c r="C4" s="175">
        <f>Details!E6</f>
        <v>0</v>
      </c>
      <c r="D4" s="176"/>
      <c r="G4" s="7" t="s">
        <v>20</v>
      </c>
      <c r="H4" s="5"/>
      <c r="I4" s="5"/>
    </row>
    <row r="5" spans="1:15" ht="33" customHeight="1" x14ac:dyDescent="0.25">
      <c r="A5" s="182" t="s">
        <v>12</v>
      </c>
      <c r="B5" s="185"/>
      <c r="C5" s="175">
        <f>Details!E7</f>
        <v>0</v>
      </c>
      <c r="D5" s="176"/>
      <c r="G5" s="177" t="s">
        <v>21</v>
      </c>
      <c r="H5" s="177"/>
      <c r="I5" s="177"/>
    </row>
    <row r="6" spans="1:15" ht="42" customHeight="1" x14ac:dyDescent="0.25">
      <c r="A6" s="186"/>
      <c r="B6" s="187"/>
      <c r="C6" s="175">
        <f>Details!E8</f>
        <v>0</v>
      </c>
      <c r="D6" s="176"/>
      <c r="G6" s="178" t="s">
        <v>22</v>
      </c>
      <c r="H6" s="178"/>
      <c r="I6" s="178"/>
    </row>
    <row r="7" spans="1:15" ht="36.950000000000003" customHeight="1" x14ac:dyDescent="0.25">
      <c r="A7" s="182"/>
      <c r="B7" s="185"/>
      <c r="C7" s="175">
        <f>Details!E9</f>
        <v>0</v>
      </c>
      <c r="D7" s="176"/>
      <c r="G7" s="178" t="s">
        <v>23</v>
      </c>
      <c r="H7" s="178"/>
      <c r="I7" s="178"/>
    </row>
    <row r="8" spans="1:15" x14ac:dyDescent="0.25">
      <c r="L8" s="13"/>
    </row>
    <row r="9" spans="1:15" ht="24" customHeight="1" x14ac:dyDescent="0.25">
      <c r="A9" s="16" t="s">
        <v>32</v>
      </c>
      <c r="B9" s="179" t="s">
        <v>46</v>
      </c>
      <c r="C9" s="180"/>
      <c r="D9" s="179" t="s">
        <v>52</v>
      </c>
      <c r="E9" s="188"/>
      <c r="F9" s="188"/>
      <c r="G9" s="188"/>
      <c r="H9" s="188"/>
      <c r="I9" s="188"/>
      <c r="J9" s="180"/>
      <c r="K9" s="16" t="s">
        <v>44</v>
      </c>
      <c r="L9" s="17"/>
      <c r="M9" s="17"/>
      <c r="N9" s="17"/>
      <c r="O9" s="17"/>
    </row>
    <row r="10" spans="1:15" ht="58.5" customHeight="1" x14ac:dyDescent="0.25">
      <c r="A10" s="29" t="s">
        <v>41</v>
      </c>
      <c r="B10" s="174" t="s">
        <v>268</v>
      </c>
      <c r="C10" s="174"/>
      <c r="D10" s="189" t="s">
        <v>269</v>
      </c>
      <c r="E10" s="189"/>
      <c r="F10" s="189"/>
      <c r="G10" s="189"/>
      <c r="H10" s="189"/>
      <c r="I10" s="189"/>
      <c r="J10" s="189"/>
      <c r="K10" s="14">
        <f>'Civil work '!H108</f>
        <v>19547950.297223251</v>
      </c>
    </row>
    <row r="11" spans="1:15" ht="52.5" customHeight="1" x14ac:dyDescent="0.25">
      <c r="A11" s="12" t="s">
        <v>42</v>
      </c>
      <c r="B11" s="174" t="s">
        <v>268</v>
      </c>
      <c r="C11" s="174"/>
      <c r="D11" s="190" t="s">
        <v>270</v>
      </c>
      <c r="E11" s="190"/>
      <c r="F11" s="190"/>
      <c r="G11" s="190"/>
      <c r="H11" s="190"/>
      <c r="I11" s="190"/>
      <c r="J11" s="12"/>
      <c r="K11" s="28">
        <f>'PHE Work'!H60</f>
        <v>1577950.2796610168</v>
      </c>
    </row>
    <row r="12" spans="1:15" ht="60.75" customHeight="1" x14ac:dyDescent="0.25">
      <c r="A12" s="12" t="s">
        <v>43</v>
      </c>
      <c r="B12" s="174" t="s">
        <v>268</v>
      </c>
      <c r="C12" s="174"/>
      <c r="D12" s="190" t="s">
        <v>271</v>
      </c>
      <c r="E12" s="190"/>
      <c r="F12" s="190"/>
      <c r="G12" s="190"/>
      <c r="H12" s="190"/>
      <c r="I12" s="190"/>
      <c r="J12" s="12"/>
      <c r="K12" s="28">
        <f>'Electrical Work'!H62</f>
        <v>2145850.3416307513</v>
      </c>
    </row>
    <row r="13" spans="1:15" ht="33" customHeight="1" x14ac:dyDescent="0.25">
      <c r="A13" s="183" t="s">
        <v>273</v>
      </c>
      <c r="B13" s="184"/>
      <c r="C13" s="184"/>
      <c r="D13" s="184"/>
      <c r="E13" s="184"/>
      <c r="F13" s="184"/>
      <c r="G13" s="184"/>
      <c r="H13" s="184"/>
      <c r="I13" s="184"/>
      <c r="J13" s="184"/>
      <c r="K13" s="14">
        <f>SUM(K10:K12)</f>
        <v>23271750.918515019</v>
      </c>
    </row>
    <row r="14" spans="1:15" ht="24" customHeight="1" x14ac:dyDescent="0.25">
      <c r="A14" s="192" t="s">
        <v>45</v>
      </c>
      <c r="B14" s="192"/>
      <c r="C14" s="192"/>
      <c r="D14" s="192"/>
      <c r="E14" s="192"/>
      <c r="F14" s="192"/>
      <c r="G14" s="192"/>
      <c r="H14" s="192"/>
      <c r="I14" s="192"/>
      <c r="J14" s="192"/>
      <c r="K14" s="47"/>
    </row>
    <row r="15" spans="1:15" ht="23.1" customHeight="1" x14ac:dyDescent="0.25">
      <c r="A15" s="193" t="s">
        <v>34</v>
      </c>
      <c r="B15" s="193"/>
      <c r="C15" s="193"/>
      <c r="D15" s="193"/>
      <c r="E15" s="193"/>
      <c r="F15" s="193"/>
      <c r="G15" s="193"/>
      <c r="H15" s="193"/>
      <c r="I15" s="193"/>
      <c r="J15" s="193"/>
      <c r="K15" s="14">
        <f>K13*(1+K14)</f>
        <v>23271750.918515019</v>
      </c>
    </row>
    <row r="16" spans="1:15" ht="22.5" customHeight="1" x14ac:dyDescent="0.25">
      <c r="A16" s="195" t="s">
        <v>35</v>
      </c>
      <c r="B16" s="195"/>
      <c r="C16" s="195"/>
      <c r="D16" s="195"/>
      <c r="E16" s="48"/>
      <c r="F16" s="12"/>
      <c r="G16" s="194" t="s">
        <v>38</v>
      </c>
      <c r="H16" s="194"/>
      <c r="I16" s="194"/>
      <c r="J16" s="194"/>
      <c r="K16" s="14">
        <f>K15*E16</f>
        <v>0</v>
      </c>
    </row>
    <row r="17" spans="1:11" ht="18.95" customHeight="1" x14ac:dyDescent="0.25">
      <c r="A17" s="190" t="s">
        <v>36</v>
      </c>
      <c r="B17" s="190"/>
      <c r="C17" s="190"/>
      <c r="D17" s="190"/>
      <c r="E17" s="190"/>
      <c r="F17" s="190"/>
      <c r="G17" s="190"/>
      <c r="H17" s="190"/>
      <c r="I17" s="190"/>
      <c r="J17" s="190"/>
      <c r="K17" s="14">
        <f>K15+K16</f>
        <v>23271750.918515019</v>
      </c>
    </row>
    <row r="18" spans="1:11" ht="1.5" customHeight="1" x14ac:dyDescent="0.25"/>
    <row r="19" spans="1:11" ht="14.45" hidden="1" customHeight="1" x14ac:dyDescent="0.25"/>
    <row r="20" spans="1:11" ht="39.75" customHeight="1" x14ac:dyDescent="0.25">
      <c r="B20" s="196" t="s">
        <v>50</v>
      </c>
      <c r="C20" s="196"/>
      <c r="D20" s="196"/>
      <c r="E20" s="196"/>
      <c r="F20" s="196"/>
      <c r="G20" s="196"/>
      <c r="H20" s="196"/>
      <c r="I20" s="196"/>
      <c r="J20" s="196"/>
      <c r="K20" s="196"/>
    </row>
    <row r="21" spans="1:11" ht="29.1" customHeight="1" x14ac:dyDescent="0.25">
      <c r="A21" s="2" t="s">
        <v>19</v>
      </c>
      <c r="B21" s="191">
        <f>Details!E18</f>
        <v>0</v>
      </c>
      <c r="C21" s="191"/>
      <c r="G21" s="2" t="s">
        <v>37</v>
      </c>
      <c r="H21" s="191">
        <f>Details!E13</f>
        <v>0</v>
      </c>
      <c r="I21" s="191"/>
    </row>
    <row r="23" spans="1:11" ht="27.95" customHeight="1" x14ac:dyDescent="0.25">
      <c r="A23" s="2" t="s">
        <v>18</v>
      </c>
      <c r="B23" s="191">
        <f>Details!E17</f>
        <v>0</v>
      </c>
      <c r="C23" s="191"/>
      <c r="G23" s="2" t="s">
        <v>24</v>
      </c>
      <c r="H23" s="191">
        <f>Details!E14</f>
        <v>0</v>
      </c>
      <c r="I23" s="191"/>
    </row>
    <row r="24" spans="1:11" ht="30.95" customHeight="1" x14ac:dyDescent="0.25"/>
    <row r="25" spans="1:11" ht="150" customHeight="1" x14ac:dyDescent="0.25"/>
    <row r="26" spans="1:11" ht="59.1" customHeight="1" x14ac:dyDescent="0.25"/>
    <row r="27" spans="1:11" ht="99.95" customHeight="1" x14ac:dyDescent="0.25"/>
    <row r="28" spans="1:11" ht="99.95" customHeight="1" x14ac:dyDescent="0.25"/>
    <row r="29" spans="1:11" ht="45" customHeight="1" x14ac:dyDescent="0.25"/>
    <row r="30" spans="1:11" ht="54" customHeight="1" x14ac:dyDescent="0.25"/>
    <row r="31" spans="1:11" ht="60.95" customHeight="1" x14ac:dyDescent="0.25"/>
    <row r="32" spans="1:11" ht="55.5" customHeight="1" x14ac:dyDescent="0.25"/>
    <row r="33" s="2" customFormat="1" ht="203.45" customHeight="1" x14ac:dyDescent="0.25"/>
    <row r="34" s="2" customFormat="1" ht="79.5" customHeight="1" x14ac:dyDescent="0.25"/>
    <row r="35" s="2" customFormat="1" ht="99.95" customHeight="1" x14ac:dyDescent="0.25"/>
    <row r="37" s="2" customFormat="1" ht="63" customHeight="1" x14ac:dyDescent="0.25"/>
    <row r="38" s="2" customFormat="1" ht="99.95" customHeight="1" x14ac:dyDescent="0.25"/>
    <row r="39" s="2" customFormat="1" ht="24" customHeight="1" x14ac:dyDescent="0.25"/>
    <row r="41" s="2" customFormat="1" ht="34.5" customHeight="1" x14ac:dyDescent="0.25"/>
    <row r="42" s="2" customFormat="1" ht="150.75" customHeight="1" x14ac:dyDescent="0.25"/>
    <row r="43" s="2" customFormat="1" ht="99.95" customHeight="1" x14ac:dyDescent="0.25"/>
    <row r="45" s="2" customFormat="1" ht="74.45" customHeight="1" x14ac:dyDescent="0.25"/>
    <row r="46" s="2" customFormat="1" ht="75.599999999999994" customHeight="1" x14ac:dyDescent="0.25"/>
    <row r="47" s="2" customFormat="1" ht="113.45" customHeight="1" x14ac:dyDescent="0.25"/>
    <row r="48" s="2" customFormat="1" ht="49.5" customHeight="1" x14ac:dyDescent="0.25"/>
    <row r="49" s="2" customFormat="1" ht="75" customHeight="1" x14ac:dyDescent="0.25"/>
    <row r="50" s="2" customFormat="1" ht="69.95" customHeight="1" x14ac:dyDescent="0.25"/>
    <row r="51" s="2" customFormat="1" ht="42.95" customHeight="1" x14ac:dyDescent="0.25"/>
    <row r="52" s="2" customFormat="1" ht="111.95" customHeight="1" x14ac:dyDescent="0.25"/>
    <row r="55" s="2" customFormat="1" ht="16.5" customHeight="1" x14ac:dyDescent="0.25"/>
    <row r="56" s="2" customFormat="1" ht="21" customHeight="1" x14ac:dyDescent="0.25"/>
    <row r="57" s="2" customFormat="1" ht="18.600000000000001" customHeight="1" x14ac:dyDescent="0.25"/>
    <row r="58" s="2" customFormat="1" ht="19.5" customHeight="1" x14ac:dyDescent="0.25"/>
    <row r="59" s="2" customFormat="1" ht="24.95" customHeight="1" x14ac:dyDescent="0.25"/>
  </sheetData>
  <sheetProtection algorithmName="SHA-512" hashValue="tKQvjc9Rs+OrtdmRU0WJr9frdTDw7A80jjIU/7pgCCk2YdeBUPL/rd7zHr1NMXXZvWlB4PDRJJQf17TIP/4qaw==" saltValue="h4I0IObjM6NDUA32amlmYw==" spinCount="100000" sheet="1" formatColumns="0" selectLockedCells="1"/>
  <mergeCells count="32">
    <mergeCell ref="H21:I21"/>
    <mergeCell ref="A14:J14"/>
    <mergeCell ref="A15:J15"/>
    <mergeCell ref="H23:I23"/>
    <mergeCell ref="G16:J16"/>
    <mergeCell ref="A17:J17"/>
    <mergeCell ref="B21:C21"/>
    <mergeCell ref="B23:C23"/>
    <mergeCell ref="A16:D16"/>
    <mergeCell ref="B20:K20"/>
    <mergeCell ref="A2:K2"/>
    <mergeCell ref="H3:K3"/>
    <mergeCell ref="A13:J13"/>
    <mergeCell ref="A5:B5"/>
    <mergeCell ref="A6:B6"/>
    <mergeCell ref="C5:D5"/>
    <mergeCell ref="C6:D6"/>
    <mergeCell ref="C7:D7"/>
    <mergeCell ref="A7:B7"/>
    <mergeCell ref="D9:J9"/>
    <mergeCell ref="D10:J10"/>
    <mergeCell ref="B11:C11"/>
    <mergeCell ref="D11:I11"/>
    <mergeCell ref="B12:C12"/>
    <mergeCell ref="D12:I12"/>
    <mergeCell ref="A4:B4"/>
    <mergeCell ref="B10:C10"/>
    <mergeCell ref="C4:D4"/>
    <mergeCell ref="G5:I5"/>
    <mergeCell ref="G6:I6"/>
    <mergeCell ref="G7:I7"/>
    <mergeCell ref="B9:C9"/>
  </mergeCells>
  <pageMargins left="0.7" right="0.7" top="0.75" bottom="0.75" header="0.3" footer="0.3"/>
  <pageSetup paperSize="9" orientation="portrait" horizont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0"/>
  <sheetViews>
    <sheetView workbookViewId="0">
      <selection activeCell="L19" sqref="L19"/>
    </sheetView>
  </sheetViews>
  <sheetFormatPr defaultColWidth="9.140625" defaultRowHeight="15" x14ac:dyDescent="0.25"/>
  <cols>
    <col min="1" max="3" width="9.140625" style="5"/>
    <col min="4" max="4" width="27.28515625" style="5" customWidth="1"/>
    <col min="5" max="6" width="9.140625" style="5"/>
    <col min="7" max="7" width="6.140625" style="5" customWidth="1"/>
    <col min="8" max="8" width="45.42578125" style="5" customWidth="1"/>
    <col min="9" max="16384" width="9.140625" style="5"/>
  </cols>
  <sheetData>
    <row r="1" spans="1:8" ht="19.5" customHeight="1" x14ac:dyDescent="0.25">
      <c r="A1" s="4" t="str">
        <f>Sheet1!A2</f>
        <v>RFX. No. 5002003531 NIT-445</v>
      </c>
      <c r="B1" s="4"/>
      <c r="C1" s="4"/>
    </row>
    <row r="2" spans="1:8" ht="31.5" customHeight="1" x14ac:dyDescent="0.25">
      <c r="A2" s="201" t="str">
        <f>Sheet1!B3</f>
        <v xml:space="preserve">Balance work of Construction of Transit Camp / field hostel at 400/220/132 KV Saharsa Substation
</v>
      </c>
      <c r="B2" s="201"/>
      <c r="C2" s="201"/>
      <c r="D2" s="201"/>
      <c r="E2" s="201"/>
      <c r="F2" s="201"/>
      <c r="G2" s="201"/>
      <c r="H2" s="201"/>
    </row>
    <row r="4" spans="1:8" ht="30.75" customHeight="1" x14ac:dyDescent="0.25">
      <c r="A4" s="211" t="s">
        <v>11</v>
      </c>
      <c r="B4" s="211"/>
      <c r="C4" s="200">
        <f>Details!E13</f>
        <v>0</v>
      </c>
      <c r="D4" s="200"/>
      <c r="E4" s="6"/>
      <c r="F4" s="7" t="s">
        <v>20</v>
      </c>
    </row>
    <row r="5" spans="1:8" ht="27.75" customHeight="1" x14ac:dyDescent="0.25">
      <c r="A5" s="211" t="s">
        <v>12</v>
      </c>
      <c r="B5" s="211"/>
      <c r="C5" s="200">
        <f>Details!E7</f>
        <v>0</v>
      </c>
      <c r="D5" s="200"/>
      <c r="E5" s="6"/>
      <c r="F5" s="177" t="s">
        <v>21</v>
      </c>
      <c r="G5" s="177"/>
      <c r="H5" s="177"/>
    </row>
    <row r="6" spans="1:8" ht="32.25" customHeight="1" x14ac:dyDescent="0.25">
      <c r="C6" s="200">
        <f>Details!E8</f>
        <v>0</v>
      </c>
      <c r="D6" s="200"/>
      <c r="E6" s="6"/>
      <c r="F6" s="177" t="s">
        <v>22</v>
      </c>
      <c r="G6" s="177"/>
      <c r="H6" s="177"/>
    </row>
    <row r="7" spans="1:8" ht="30.75" customHeight="1" x14ac:dyDescent="0.25">
      <c r="C7" s="200">
        <f>Details!E9</f>
        <v>0</v>
      </c>
      <c r="D7" s="200"/>
      <c r="E7" s="6"/>
      <c r="F7" s="178" t="s">
        <v>23</v>
      </c>
      <c r="G7" s="178"/>
      <c r="H7" s="178"/>
    </row>
    <row r="8" spans="1:8" ht="15.75" thickBot="1" x14ac:dyDescent="0.3">
      <c r="A8" s="182"/>
      <c r="B8" s="182"/>
      <c r="C8" s="182"/>
      <c r="D8" s="182"/>
      <c r="E8" s="182"/>
      <c r="F8" s="182"/>
      <c r="G8" s="182"/>
      <c r="H8" s="182"/>
    </row>
    <row r="9" spans="1:8" x14ac:dyDescent="0.25">
      <c r="A9" s="202" t="s">
        <v>25</v>
      </c>
      <c r="B9" s="203"/>
      <c r="C9" s="203"/>
      <c r="D9" s="203"/>
      <c r="E9" s="203"/>
      <c r="F9" s="203"/>
      <c r="G9" s="203"/>
      <c r="H9" s="204"/>
    </row>
    <row r="10" spans="1:8" x14ac:dyDescent="0.25">
      <c r="A10" s="205"/>
      <c r="B10" s="206"/>
      <c r="C10" s="206"/>
      <c r="D10" s="206"/>
      <c r="E10" s="206"/>
      <c r="F10" s="206"/>
      <c r="G10" s="206"/>
      <c r="H10" s="207"/>
    </row>
    <row r="11" spans="1:8" x14ac:dyDescent="0.25">
      <c r="A11" s="205"/>
      <c r="B11" s="206"/>
      <c r="C11" s="206"/>
      <c r="D11" s="206"/>
      <c r="E11" s="206"/>
      <c r="F11" s="206"/>
      <c r="G11" s="206"/>
      <c r="H11" s="207"/>
    </row>
    <row r="12" spans="1:8" ht="2.25" customHeight="1" thickBot="1" x14ac:dyDescent="0.3">
      <c r="A12" s="208"/>
      <c r="B12" s="209"/>
      <c r="C12" s="209"/>
      <c r="D12" s="209"/>
      <c r="E12" s="209"/>
      <c r="F12" s="209"/>
      <c r="G12" s="209"/>
      <c r="H12" s="210"/>
    </row>
    <row r="13" spans="1:8" x14ac:dyDescent="0.25">
      <c r="A13" s="198"/>
      <c r="B13" s="198"/>
      <c r="C13" s="198"/>
      <c r="D13" s="198"/>
      <c r="E13" s="198"/>
      <c r="F13" s="198"/>
      <c r="G13" s="198"/>
      <c r="H13" s="198"/>
    </row>
    <row r="14" spans="1:8" ht="30" customHeight="1" x14ac:dyDescent="0.25">
      <c r="A14" s="199" t="s">
        <v>26</v>
      </c>
      <c r="B14" s="199"/>
      <c r="C14" s="199" t="s">
        <v>39</v>
      </c>
      <c r="D14" s="199"/>
      <c r="E14" s="199"/>
      <c r="F14" s="199"/>
      <c r="G14" s="199"/>
      <c r="H14" s="15">
        <f>'Schedule-I'!K15</f>
        <v>23271750.918515019</v>
      </c>
    </row>
    <row r="15" spans="1:8" ht="31.5" customHeight="1" x14ac:dyDescent="0.25">
      <c r="A15" s="199" t="s">
        <v>27</v>
      </c>
      <c r="B15" s="199"/>
      <c r="C15" s="199" t="s">
        <v>28</v>
      </c>
      <c r="D15" s="199"/>
      <c r="E15" s="199"/>
      <c r="F15" s="199"/>
      <c r="G15" s="199"/>
      <c r="H15" s="3">
        <f>'Schedule-I'!K16</f>
        <v>0</v>
      </c>
    </row>
    <row r="16" spans="1:8" ht="29.25" customHeight="1" x14ac:dyDescent="0.25">
      <c r="A16" s="199" t="s">
        <v>29</v>
      </c>
      <c r="B16" s="199"/>
      <c r="C16" s="199" t="s">
        <v>30</v>
      </c>
      <c r="D16" s="199"/>
      <c r="E16" s="199"/>
      <c r="F16" s="199"/>
      <c r="G16" s="199"/>
      <c r="H16" s="3">
        <f>SUM(H14:H15)</f>
        <v>23271750.918515019</v>
      </c>
    </row>
    <row r="19" spans="1:8" ht="25.5" customHeight="1" x14ac:dyDescent="0.25">
      <c r="A19" s="5" t="s">
        <v>19</v>
      </c>
      <c r="B19" s="197">
        <f>Details!E2</f>
        <v>0</v>
      </c>
      <c r="C19" s="197"/>
      <c r="D19" s="8"/>
      <c r="E19" s="182" t="s">
        <v>16</v>
      </c>
      <c r="F19" s="182"/>
      <c r="G19" s="197">
        <f>Details!E13</f>
        <v>0</v>
      </c>
      <c r="H19" s="197"/>
    </row>
    <row r="20" spans="1:8" ht="24.75" customHeight="1" x14ac:dyDescent="0.25">
      <c r="A20" s="5" t="s">
        <v>18</v>
      </c>
      <c r="B20" s="197">
        <f>Details!E1</f>
        <v>0</v>
      </c>
      <c r="C20" s="197"/>
      <c r="D20" s="8"/>
      <c r="E20" s="182" t="s">
        <v>24</v>
      </c>
      <c r="F20" s="182"/>
      <c r="G20" s="197">
        <f>Details!E14</f>
        <v>0</v>
      </c>
      <c r="H20" s="197"/>
    </row>
  </sheetData>
  <sheetProtection algorithmName="SHA-512" hashValue="wJNIup0kMn33RV+R/uk/32RY527c7J/j932eEHkSwGpr3cbWwqwCuNtCa/l3WMFv9o+VNdZmLXdBVmm9C3/FAQ==" saltValue="lXCmj/RxMcGxormRbdANOQ==" spinCount="100000" sheet="1" objects="1" scenarios="1" selectLockedCells="1" selectUnlockedCells="1"/>
  <mergeCells count="25">
    <mergeCell ref="C7:D7"/>
    <mergeCell ref="F7:H7"/>
    <mergeCell ref="A2:H2"/>
    <mergeCell ref="A9:H12"/>
    <mergeCell ref="C14:G14"/>
    <mergeCell ref="A14:B14"/>
    <mergeCell ref="A4:B4"/>
    <mergeCell ref="C4:D4"/>
    <mergeCell ref="A5:B5"/>
    <mergeCell ref="C5:D5"/>
    <mergeCell ref="F5:H5"/>
    <mergeCell ref="C6:D6"/>
    <mergeCell ref="F6:H6"/>
    <mergeCell ref="B20:C20"/>
    <mergeCell ref="E20:F20"/>
    <mergeCell ref="G20:H20"/>
    <mergeCell ref="A8:H8"/>
    <mergeCell ref="A13:H13"/>
    <mergeCell ref="A15:B15"/>
    <mergeCell ref="C15:G15"/>
    <mergeCell ref="A16:B16"/>
    <mergeCell ref="C16:G16"/>
    <mergeCell ref="B19:C19"/>
    <mergeCell ref="E19:F19"/>
    <mergeCell ref="G19:H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Sheet1</vt:lpstr>
      <vt:lpstr>Basic</vt:lpstr>
      <vt:lpstr>Details</vt:lpstr>
      <vt:lpstr>Civil work </vt:lpstr>
      <vt:lpstr>PHE Work</vt:lpstr>
      <vt:lpstr>Electrical Work</vt:lpstr>
      <vt:lpstr>Schedule-I</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2024-05-06T13:19:01Z</dcterms:modified>
</cp:coreProperties>
</file>