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updateLinks="never" codeName="ThisWorkbook" defaultThemeVersion="124226"/>
  <mc:AlternateContent xmlns:mc="http://schemas.openxmlformats.org/markup-compatibility/2006">
    <mc:Choice Requires="x15">
      <x15ac:absPath xmlns:x15ac="http://schemas.microsoft.com/office/spreadsheetml/2010/11/ac" url="V:\47_TW01 Navsari\04_Bid Doc\To upload\"/>
    </mc:Choice>
  </mc:AlternateContent>
  <xr:revisionPtr revIDLastSave="0" documentId="13_ncr:81_{E76DA1ED-BD9D-4C96-8469-240C83E97CF1}" xr6:coauthVersionLast="36" xr6:coauthVersionMax="36" xr10:uidLastSave="{00000000-0000-0000-0000-000000000000}"/>
  <workbookProtection workbookPassword="CCFF" revisionsPassword="CC6F" lockStructure="1" lockRevision="1"/>
  <bookViews>
    <workbookView xWindow="0" yWindow="0" windowWidth="23040" windowHeight="9060" tabRatio="764" firstSheet="1" activeTab="1"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'Sch-1'!$A$17:$IV$17</definedName>
    <definedName name="_xlnm._FilterDatabase" localSheetId="5" hidden="1">'Sch-2'!$A$16:$AF$215</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Envelope'!$A$1:$F$60</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'Sch-1'!$A$1:$N$221</definedName>
    <definedName name="_xlnm.Print_Area" localSheetId="5">'Sch-2'!$A$1:$J$218</definedName>
    <definedName name="_xlnm.Print_Area" localSheetId="6">'Sch-3'!$A$1:$P$256</definedName>
    <definedName name="_xlnm.Print_Area" localSheetId="7">'Sch-4'!$A$1:$P$24</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'Sch-7'!$A$1:$M$25</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Envelope'!$A$1:$F$60</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027A88A6_1BB1_46D4_AC44_9DCFC13F5D7E_.wvu.Cols" localSheetId="0" hidden="1">Basic!$I:$I</definedName>
    <definedName name="Z_027A88A6_1BB1_46D4_AC44_9DCFC13F5D7E_.wvu.Cols" localSheetId="18" hidden="1">'Bid Form 2nd Envelope'!$H:$AO</definedName>
    <definedName name="Z_027A88A6_1BB1_46D4_AC44_9DCFC13F5D7E_.wvu.Cols" localSheetId="14" hidden="1">Discount!$H:$L</definedName>
    <definedName name="Z_027A88A6_1BB1_46D4_AC44_9DCFC13F5D7E_.wvu.Cols" localSheetId="3" hidden="1">'Names of Bidder'!$G:$G,'Names of Bidder'!$J:$J</definedName>
    <definedName name="Z_027A88A6_1BB1_46D4_AC44_9DCFC13F5D7E_.wvu.Cols" localSheetId="21" hidden="1">'N-W (Cr.)'!$A:$O,'N-W (Cr.)'!$T:$DL</definedName>
    <definedName name="Z_027A88A6_1BB1_46D4_AC44_9DCFC13F5D7E_.wvu.Cols" localSheetId="4" hidden="1">'Sch-1'!$O:$T,'Sch-1'!$X:$AK</definedName>
    <definedName name="Z_027A88A6_1BB1_46D4_AC44_9DCFC13F5D7E_.wvu.Cols" localSheetId="6" hidden="1">'Sch-3'!$Q:$AB</definedName>
    <definedName name="Z_027A88A6_1BB1_46D4_AC44_9DCFC13F5D7E_.wvu.Cols" localSheetId="8" hidden="1">'Sch-5'!$F:$T</definedName>
    <definedName name="Z_027A88A6_1BB1_46D4_AC44_9DCFC13F5D7E_.wvu.Cols" localSheetId="12" hidden="1">'Sch-6 (After Discount)'!$E:$F</definedName>
    <definedName name="Z_027A88A6_1BB1_46D4_AC44_9DCFC13F5D7E_.wvu.Cols" localSheetId="13" hidden="1">'Sch-7'!$AA:$AG</definedName>
    <definedName name="Z_027A88A6_1BB1_46D4_AC44_9DCFC13F5D7E_.wvu.FilterData" localSheetId="4" hidden="1">'Sch-1'!$A$17:$IV$17</definedName>
    <definedName name="Z_027A88A6_1BB1_46D4_AC44_9DCFC13F5D7E_.wvu.FilterData" localSheetId="5" hidden="1">'Sch-2'!$A$16:$AF$215</definedName>
    <definedName name="Z_027A88A6_1BB1_46D4_AC44_9DCFC13F5D7E_.wvu.PrintArea" localSheetId="18" hidden="1">'Bid Form 2nd Envelope'!$A$1:$F$60</definedName>
    <definedName name="Z_027A88A6_1BB1_46D4_AC44_9DCFC13F5D7E_.wvu.PrintArea" localSheetId="1" hidden="1">Cover!$A$1:$F$15</definedName>
    <definedName name="Z_027A88A6_1BB1_46D4_AC44_9DCFC13F5D7E_.wvu.PrintArea" localSheetId="14" hidden="1">Discount!$A$2:$G$40</definedName>
    <definedName name="Z_027A88A6_1BB1_46D4_AC44_9DCFC13F5D7E_.wvu.PrintArea" localSheetId="16" hidden="1">'Entry Tax'!$A$1:$E$16</definedName>
    <definedName name="Z_027A88A6_1BB1_46D4_AC44_9DCFC13F5D7E_.wvu.PrintArea" localSheetId="2" hidden="1">Instructions!$A$1:$C$65</definedName>
    <definedName name="Z_027A88A6_1BB1_46D4_AC44_9DCFC13F5D7E_.wvu.PrintArea" localSheetId="3" hidden="1">'Names of Bidder'!$A$1:$F$23</definedName>
    <definedName name="Z_027A88A6_1BB1_46D4_AC44_9DCFC13F5D7E_.wvu.PrintArea" localSheetId="15" hidden="1">Octroi!$A$1:$E$16</definedName>
    <definedName name="Z_027A88A6_1BB1_46D4_AC44_9DCFC13F5D7E_.wvu.PrintArea" localSheetId="17" hidden="1">'Other Taxes &amp; Duties'!$A$1:$F$16</definedName>
    <definedName name="Z_027A88A6_1BB1_46D4_AC44_9DCFC13F5D7E_.wvu.PrintArea" localSheetId="4" hidden="1">'Sch-1'!$A$1:$N$221</definedName>
    <definedName name="Z_027A88A6_1BB1_46D4_AC44_9DCFC13F5D7E_.wvu.PrintArea" localSheetId="5" hidden="1">'Sch-2'!$A$1:$J$218</definedName>
    <definedName name="Z_027A88A6_1BB1_46D4_AC44_9DCFC13F5D7E_.wvu.PrintArea" localSheetId="6" hidden="1">'Sch-3'!$A$1:$P$256</definedName>
    <definedName name="Z_027A88A6_1BB1_46D4_AC44_9DCFC13F5D7E_.wvu.PrintArea" localSheetId="7" hidden="1">'Sch-4'!$A$1:$P$24</definedName>
    <definedName name="Z_027A88A6_1BB1_46D4_AC44_9DCFC13F5D7E_.wvu.PrintArea" localSheetId="8" hidden="1">'Sch-5'!$A$1:$E$23</definedName>
    <definedName name="Z_027A88A6_1BB1_46D4_AC44_9DCFC13F5D7E_.wvu.PrintArea" localSheetId="9" hidden="1">'Sch-5 after discount'!$A$1:$E$23</definedName>
    <definedName name="Z_027A88A6_1BB1_46D4_AC44_9DCFC13F5D7E_.wvu.PrintArea" localSheetId="10" hidden="1">'Sch-6'!$A$1:$D$32</definedName>
    <definedName name="Z_027A88A6_1BB1_46D4_AC44_9DCFC13F5D7E_.wvu.PrintArea" localSheetId="12" hidden="1">'Sch-6 (After Discount)'!$A$1:$D$32</definedName>
    <definedName name="Z_027A88A6_1BB1_46D4_AC44_9DCFC13F5D7E_.wvu.PrintArea" localSheetId="11" hidden="1">'Sch-6 After Discount'!$A$1:$D$31</definedName>
    <definedName name="Z_027A88A6_1BB1_46D4_AC44_9DCFC13F5D7E_.wvu.PrintArea" localSheetId="13" hidden="1">'Sch-7'!$A$1:$M$25</definedName>
    <definedName name="Z_027A88A6_1BB1_46D4_AC44_9DCFC13F5D7E_.wvu.PrintTitles" localSheetId="4" hidden="1">'Sch-1'!$15:$16</definedName>
    <definedName name="Z_027A88A6_1BB1_46D4_AC44_9DCFC13F5D7E_.wvu.PrintTitles" localSheetId="5" hidden="1">'Sch-2'!$15:$16</definedName>
    <definedName name="Z_027A88A6_1BB1_46D4_AC44_9DCFC13F5D7E_.wvu.PrintTitles" localSheetId="6" hidden="1">'Sch-3'!$15:$16</definedName>
    <definedName name="Z_027A88A6_1BB1_46D4_AC44_9DCFC13F5D7E_.wvu.PrintTitles" localSheetId="8" hidden="1">'Sch-5'!$3:$14</definedName>
    <definedName name="Z_027A88A6_1BB1_46D4_AC44_9DCFC13F5D7E_.wvu.PrintTitles" localSheetId="9" hidden="1">'Sch-5 after discount'!$3:$14</definedName>
    <definedName name="Z_027A88A6_1BB1_46D4_AC44_9DCFC13F5D7E_.wvu.PrintTitles" localSheetId="10" hidden="1">'Sch-6'!$3:$14</definedName>
    <definedName name="Z_027A88A6_1BB1_46D4_AC44_9DCFC13F5D7E_.wvu.PrintTitles" localSheetId="12" hidden="1">'Sch-6 (After Discount)'!$3:$14</definedName>
    <definedName name="Z_027A88A6_1BB1_46D4_AC44_9DCFC13F5D7E_.wvu.PrintTitles" localSheetId="11" hidden="1">'Sch-6 After Discount'!$3:$13</definedName>
    <definedName name="Z_027A88A6_1BB1_46D4_AC44_9DCFC13F5D7E_.wvu.Rows" localSheetId="18" hidden="1">'Bid Form 2nd Envelope'!$19:$19</definedName>
    <definedName name="Z_027A88A6_1BB1_46D4_AC44_9DCFC13F5D7E_.wvu.Rows" localSheetId="1" hidden="1">Cover!$7:$7</definedName>
    <definedName name="Z_027A88A6_1BB1_46D4_AC44_9DCFC13F5D7E_.wvu.Rows" localSheetId="14" hidden="1">Discount!$21:$22,Discount!$27:$32</definedName>
    <definedName name="Z_027A88A6_1BB1_46D4_AC44_9DCFC13F5D7E_.wvu.Rows" localSheetId="3" hidden="1">'Names of Bidder'!$14:$17</definedName>
    <definedName name="Z_027A88A6_1BB1_46D4_AC44_9DCFC13F5D7E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Envelope'!$A$1:$F$60</definedName>
    <definedName name="Z_14D7F02E_BCCA_4517_ABC7_537FF4AEB67A_.wvu.PrintArea" localSheetId="2" hidden="1">Instructions!$A$1:$C$65</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'Sch-1'!$16:$217</definedName>
    <definedName name="Z_18EA11B4_BD82_47BF_99FA_7AB19BF74D0B_.wvu.FilterData" localSheetId="5" hidden="1">'Sch-2'!$A$16:$AF$215</definedName>
    <definedName name="Z_18EA11B4_BD82_47BF_99FA_7AB19BF74D0B_.wvu.PrintArea" localSheetId="18" hidden="1">'Bid Form 2nd Envelope'!$A$1:$F$60</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Instructions!$A$1:$C$65</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'Sch-1'!$A$1:$N$221</definedName>
    <definedName name="Z_18EA11B4_BD82_47BF_99FA_7AB19BF74D0B_.wvu.PrintArea" localSheetId="5" hidden="1">'Sch-2'!$A$1:$J$218</definedName>
    <definedName name="Z_18EA11B4_BD82_47BF_99FA_7AB19BF74D0B_.wvu.PrintArea" localSheetId="6" hidden="1">'Sch-3'!$A$1:$P$256</definedName>
    <definedName name="Z_18EA11B4_BD82_47BF_99FA_7AB19BF74D0B_.wvu.PrintArea" localSheetId="7" hidden="1">'Sch-4'!$A$1:$P$24</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Envelope'!$A$1:$F$60</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Envelope'!$A$1:$F$60</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'Sch-1'!$C$1:$C$217</definedName>
    <definedName name="Z_357C9841_BEC3_434B_AC63_C04FB4321BA3_.wvu.FilterData" localSheetId="5" hidden="1">'Sch-2'!$C$1:$C$220</definedName>
    <definedName name="Z_357C9841_BEC3_434B_AC63_C04FB4321BA3_.wvu.FilterData" localSheetId="6" hidden="1">'Sch-3'!$C$1:$C$258</definedName>
    <definedName name="Z_357C9841_BEC3_434B_AC63_C04FB4321BA3_.wvu.PrintArea" localSheetId="18" hidden="1">'Bid Form 2nd Envelope'!$A$1:$F$60</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'Sch-1'!$A$1:$N$221</definedName>
    <definedName name="Z_357C9841_BEC3_434B_AC63_C04FB4321BA3_.wvu.PrintArea" localSheetId="5" hidden="1">'Sch-2'!$A$1:$J$220</definedName>
    <definedName name="Z_357C9841_BEC3_434B_AC63_C04FB4321BA3_.wvu.PrintArea" localSheetId="6" hidden="1">'Sch-3'!$A$1:$P$258</definedName>
    <definedName name="Z_357C9841_BEC3_434B_AC63_C04FB4321BA3_.wvu.PrintArea" localSheetId="7" hidden="1">'Sch-4'!$A$1:$P$24</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'Sch-1'!$C$1:$C$217</definedName>
    <definedName name="Z_3C00DDA0_7DDE_4169_A739_550DAF5DCF8D_.wvu.FilterData" localSheetId="5" hidden="1">'Sch-2'!$C$1:$C$220</definedName>
    <definedName name="Z_3C00DDA0_7DDE_4169_A739_550DAF5DCF8D_.wvu.FilterData" localSheetId="6" hidden="1">'Sch-3'!$C$1:$C$258</definedName>
    <definedName name="Z_3C00DDA0_7DDE_4169_A739_550DAF5DCF8D_.wvu.PrintArea" localSheetId="18" hidden="1">'Bid Form 2nd Envelope'!$A$1:$F$60</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'Sch-1'!$A$1:$N$221</definedName>
    <definedName name="Z_3C00DDA0_7DDE_4169_A739_550DAF5DCF8D_.wvu.PrintArea" localSheetId="5" hidden="1">'Sch-2'!$A$1:$J$220</definedName>
    <definedName name="Z_3C00DDA0_7DDE_4169_A739_550DAF5DCF8D_.wvu.PrintArea" localSheetId="6" hidden="1">'Sch-3'!$A$1:$P$258</definedName>
    <definedName name="Z_3C00DDA0_7DDE_4169_A739_550DAF5DCF8D_.wvu.PrintArea" localSheetId="7" hidden="1">'Sch-4'!$A$1:$P$24</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Envelope'!$A$1:$F$60</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Envelope'!$A$1:$F$60</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'Sch-1'!$C$1:$C$217</definedName>
    <definedName name="Z_63D51328_7CBC_4A1E_B96D_BAE91416501B_.wvu.FilterData" localSheetId="5" hidden="1">'Sch-2'!$C$1:$C$220</definedName>
    <definedName name="Z_63D51328_7CBC_4A1E_B96D_BAE91416501B_.wvu.FilterData" localSheetId="6" hidden="1">'Sch-3'!$C$1:$C$258</definedName>
    <definedName name="Z_63D51328_7CBC_4A1E_B96D_BAE91416501B_.wvu.PrintArea" localSheetId="18" hidden="1">'Bid Form 2nd Envelope'!$A$1:$F$60</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'Sch-1'!$A$1:$N$221</definedName>
    <definedName name="Z_63D51328_7CBC_4A1E_B96D_BAE91416501B_.wvu.PrintArea" localSheetId="5" hidden="1">'Sch-2'!$A$1:$J$220</definedName>
    <definedName name="Z_63D51328_7CBC_4A1E_B96D_BAE91416501B_.wvu.PrintArea" localSheetId="6" hidden="1">'Sch-3'!$A$1:$P$258</definedName>
    <definedName name="Z_63D51328_7CBC_4A1E_B96D_BAE91416501B_.wvu.PrintArea" localSheetId="7" hidden="1">'Sch-4'!$A$1:$P$24</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'Sch-1'!$A$18:$IV$217</definedName>
    <definedName name="Z_889C3D82_0A24_4765_A688_A80A782F5056_.wvu.FilterData" localSheetId="5" hidden="1">'Sch-2'!$A$16:$AF$215</definedName>
    <definedName name="Z_889C3D82_0A24_4765_A688_A80A782F5056_.wvu.PrintArea" localSheetId="18" hidden="1">'Bid Form 2nd Envelope'!$A$1:$F$60</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Instructions!$A$1:$C$65</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'Sch-1'!$A$1:$N$221</definedName>
    <definedName name="Z_889C3D82_0A24_4765_A688_A80A782F5056_.wvu.PrintArea" localSheetId="5" hidden="1">'Sch-2'!$A$1:$J$218</definedName>
    <definedName name="Z_889C3D82_0A24_4765_A688_A80A782F5056_.wvu.PrintArea" localSheetId="6" hidden="1">'Sch-3'!$A$1:$P$256</definedName>
    <definedName name="Z_889C3D82_0A24_4765_A688_A80A782F5056_.wvu.PrintArea" localSheetId="7" hidden="1">'Sch-4'!$A$1:$P$24</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Envelope'!$A$1:$F$60</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'Sch-1'!$16:$217</definedName>
    <definedName name="Z_915C64AD_BD67_44F0_9117_5B9D998BA799_.wvu.FilterData" localSheetId="5" hidden="1">'Sch-2'!$A$16:$AF$215</definedName>
    <definedName name="Z_915C64AD_BD67_44F0_9117_5B9D998BA799_.wvu.PrintArea" localSheetId="18" hidden="1">'Bid Form 2nd Envelope'!$A$1:$F$60</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Instructions!$A$1:$C$65</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'Sch-1'!$A$1:$N$221</definedName>
    <definedName name="Z_915C64AD_BD67_44F0_9117_5B9D998BA799_.wvu.PrintArea" localSheetId="5" hidden="1">'Sch-2'!$A$1:$J$218</definedName>
    <definedName name="Z_915C64AD_BD67_44F0_9117_5B9D998BA799_.wvu.PrintArea" localSheetId="6" hidden="1">'Sch-3'!$A$1:$P$256</definedName>
    <definedName name="Z_915C64AD_BD67_44F0_9117_5B9D998BA799_.wvu.PrintArea" localSheetId="7" hidden="1">'Sch-4'!$A$1:$P$24</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'Sch-1'!$16:$217</definedName>
    <definedName name="Z_99CA2F10_F926_46DC_8609_4EAE5B9F3585_.wvu.FilterData" localSheetId="5" hidden="1">'Sch-2'!$A$16:$AF$215</definedName>
    <definedName name="Z_99CA2F10_F926_46DC_8609_4EAE5B9F3585_.wvu.FilterData" localSheetId="6" hidden="1">'Sch-3'!$A$16:$AE$250</definedName>
    <definedName name="Z_99CA2F10_F926_46DC_8609_4EAE5B9F3585_.wvu.PrintArea" localSheetId="18" hidden="1">'Bid Form 2nd Envelope'!$A$1:$F$60</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'Sch-1'!$A$1:$N$221</definedName>
    <definedName name="Z_99CA2F10_F926_46DC_8609_4EAE5B9F3585_.wvu.PrintArea" localSheetId="5" hidden="1">'Sch-2'!$A$1:$J$218</definedName>
    <definedName name="Z_99CA2F10_F926_46DC_8609_4EAE5B9F3585_.wvu.PrintArea" localSheetId="6" hidden="1">'Sch-3'!$A$1:$P$256</definedName>
    <definedName name="Z_99CA2F10_F926_46DC_8609_4EAE5B9F3585_.wvu.PrintArea" localSheetId="7" hidden="1">'Sch-4'!$A$1:$P$24</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'Sch-1'!$16:$217</definedName>
    <definedName name="Z_A58DB4DF_40C7_4BEB_B85E_6BD6F54941CF_.wvu.FilterData" localSheetId="5" hidden="1">'Sch-2'!$A$16:$AF$215</definedName>
    <definedName name="Z_A58DB4DF_40C7_4BEB_B85E_6BD6F54941CF_.wvu.PrintArea" localSheetId="18" hidden="1">'Bid Form 2nd Envelope'!$A$1:$F$60</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Instructions!$A$1:$C$65</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'Sch-1'!$A$1:$N$221</definedName>
    <definedName name="Z_A58DB4DF_40C7_4BEB_B85E_6BD6F54941CF_.wvu.PrintArea" localSheetId="5" hidden="1">'Sch-2'!$A$1:$J$218</definedName>
    <definedName name="Z_A58DB4DF_40C7_4BEB_B85E_6BD6F54941CF_.wvu.PrintArea" localSheetId="6" hidden="1">'Sch-3'!$A$1:$P$256</definedName>
    <definedName name="Z_A58DB4DF_40C7_4BEB_B85E_6BD6F54941CF_.wvu.PrintArea" localSheetId="7" hidden="1">'Sch-4'!$A$1:$P$24</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Envelope'!$A$1:$F$60</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Envelope'!$A$1:$F$60</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'Sch-1'!$C$1:$C$217</definedName>
    <definedName name="Z_B96E710B_6DD7_4DE1_95AB_C9EE060CD030_.wvu.FilterData" localSheetId="5" hidden="1">'Sch-2'!$C$1:$C$220</definedName>
    <definedName name="Z_B96E710B_6DD7_4DE1_95AB_C9EE060CD030_.wvu.FilterData" localSheetId="6" hidden="1">'Sch-3'!$C$1:$C$258</definedName>
    <definedName name="Z_B96E710B_6DD7_4DE1_95AB_C9EE060CD030_.wvu.PrintArea" localSheetId="18" hidden="1">'Bid Form 2nd Envelope'!$A$1:$F$60</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'Sch-1'!$A$1:$N$221</definedName>
    <definedName name="Z_B96E710B_6DD7_4DE1_95AB_C9EE060CD030_.wvu.PrintArea" localSheetId="5" hidden="1">'Sch-2'!$A$1:$J$220</definedName>
    <definedName name="Z_B96E710B_6DD7_4DE1_95AB_C9EE060CD030_.wvu.PrintArea" localSheetId="6" hidden="1">'Sch-3'!$A$1:$P$258</definedName>
    <definedName name="Z_B96E710B_6DD7_4DE1_95AB_C9EE060CD030_.wvu.PrintArea" localSheetId="7" hidden="1">'Sch-4'!$A$1:$P$24</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'Sch-1'!$16:$217</definedName>
    <definedName name="Z_CCA37BAE_906F_43D5_9FD9_B13563E4B9D7_.wvu.FilterData" localSheetId="5" hidden="1">'Sch-2'!$A$16:$AF$215</definedName>
    <definedName name="Z_CCA37BAE_906F_43D5_9FD9_B13563E4B9D7_.wvu.PrintArea" localSheetId="18" hidden="1">'Bid Form 2nd Envelope'!$A$1:$F$60</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'Sch-1'!$A$1:$N$221</definedName>
    <definedName name="Z_CCA37BAE_906F_43D5_9FD9_B13563E4B9D7_.wvu.PrintArea" localSheetId="5" hidden="1">'Sch-2'!$A$1:$J$218</definedName>
    <definedName name="Z_CCA37BAE_906F_43D5_9FD9_B13563E4B9D7_.wvu.PrintArea" localSheetId="6" hidden="1">'Sch-3'!$A$1:$P$256</definedName>
    <definedName name="Z_CCA37BAE_906F_43D5_9FD9_B13563E4B9D7_.wvu.PrintArea" localSheetId="7" hidden="1">'Sch-4'!$A$1:$P$24</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DACD165C_CB59_4178_94BC_16705741C7B8_.wvu.Cols" localSheetId="0" hidden="1">Basic!$I:$I</definedName>
    <definedName name="Z_DACD165C_CB59_4178_94BC_16705741C7B8_.wvu.Cols" localSheetId="18" hidden="1">'Bid Form 2nd Envelope'!$H:$AO</definedName>
    <definedName name="Z_DACD165C_CB59_4178_94BC_16705741C7B8_.wvu.Cols" localSheetId="14" hidden="1">Discount!$H:$L</definedName>
    <definedName name="Z_DACD165C_CB59_4178_94BC_16705741C7B8_.wvu.Cols" localSheetId="3" hidden="1">'Names of Bidder'!$G:$G,'Names of Bidder'!$J:$J</definedName>
    <definedName name="Z_DACD165C_CB59_4178_94BC_16705741C7B8_.wvu.Cols" localSheetId="21" hidden="1">'N-W (Cr.)'!$A:$O,'N-W (Cr.)'!$T:$DL</definedName>
    <definedName name="Z_DACD165C_CB59_4178_94BC_16705741C7B8_.wvu.Cols" localSheetId="4" hidden="1">'Sch-1'!$O:$T,'Sch-1'!$X:$AK</definedName>
    <definedName name="Z_DACD165C_CB59_4178_94BC_16705741C7B8_.wvu.Cols" localSheetId="6" hidden="1">'Sch-3'!$Q:$AB</definedName>
    <definedName name="Z_DACD165C_CB59_4178_94BC_16705741C7B8_.wvu.Cols" localSheetId="8" hidden="1">'Sch-5'!$F:$T</definedName>
    <definedName name="Z_DACD165C_CB59_4178_94BC_16705741C7B8_.wvu.Cols" localSheetId="12" hidden="1">'Sch-6 (After Discount)'!$E:$F</definedName>
    <definedName name="Z_DACD165C_CB59_4178_94BC_16705741C7B8_.wvu.Cols" localSheetId="13" hidden="1">'Sch-7'!$AA:$AG</definedName>
    <definedName name="Z_DACD165C_CB59_4178_94BC_16705741C7B8_.wvu.FilterData" localSheetId="4" hidden="1">'Sch-1'!$A$18:$IV$18</definedName>
    <definedName name="Z_DACD165C_CB59_4178_94BC_16705741C7B8_.wvu.FilterData" localSheetId="5" hidden="1">'Sch-2'!$A$16:$AF$215</definedName>
    <definedName name="Z_DACD165C_CB59_4178_94BC_16705741C7B8_.wvu.PrintArea" localSheetId="18" hidden="1">'Bid Form 2nd Envelope'!$A$1:$F$60</definedName>
    <definedName name="Z_DACD165C_CB59_4178_94BC_16705741C7B8_.wvu.PrintArea" localSheetId="1" hidden="1">Cover!$A$1:$F$15</definedName>
    <definedName name="Z_DACD165C_CB59_4178_94BC_16705741C7B8_.wvu.PrintArea" localSheetId="14" hidden="1">Discount!$A$2:$G$40</definedName>
    <definedName name="Z_DACD165C_CB59_4178_94BC_16705741C7B8_.wvu.PrintArea" localSheetId="16" hidden="1">'Entry Tax'!$A$1:$E$16</definedName>
    <definedName name="Z_DACD165C_CB59_4178_94BC_16705741C7B8_.wvu.PrintArea" localSheetId="2" hidden="1">Instructions!$A$1:$C$65</definedName>
    <definedName name="Z_DACD165C_CB59_4178_94BC_16705741C7B8_.wvu.PrintArea" localSheetId="3" hidden="1">'Names of Bidder'!$A$1:$F$23</definedName>
    <definedName name="Z_DACD165C_CB59_4178_94BC_16705741C7B8_.wvu.PrintArea" localSheetId="15" hidden="1">Octroi!$A$1:$E$16</definedName>
    <definedName name="Z_DACD165C_CB59_4178_94BC_16705741C7B8_.wvu.PrintArea" localSheetId="17" hidden="1">'Other Taxes &amp; Duties'!$A$1:$F$16</definedName>
    <definedName name="Z_DACD165C_CB59_4178_94BC_16705741C7B8_.wvu.PrintArea" localSheetId="4" hidden="1">'Sch-1'!$A$1:$N$221</definedName>
    <definedName name="Z_DACD165C_CB59_4178_94BC_16705741C7B8_.wvu.PrintArea" localSheetId="5" hidden="1">'Sch-2'!$A$1:$J$218</definedName>
    <definedName name="Z_DACD165C_CB59_4178_94BC_16705741C7B8_.wvu.PrintArea" localSheetId="6" hidden="1">'Sch-3'!$A$1:$P$256</definedName>
    <definedName name="Z_DACD165C_CB59_4178_94BC_16705741C7B8_.wvu.PrintArea" localSheetId="7" hidden="1">'Sch-4'!$A$1:$P$24</definedName>
    <definedName name="Z_DACD165C_CB59_4178_94BC_16705741C7B8_.wvu.PrintArea" localSheetId="8" hidden="1">'Sch-5'!$A$1:$E$23</definedName>
    <definedName name="Z_DACD165C_CB59_4178_94BC_16705741C7B8_.wvu.PrintArea" localSheetId="9" hidden="1">'Sch-5 after discount'!$A$1:$E$23</definedName>
    <definedName name="Z_DACD165C_CB59_4178_94BC_16705741C7B8_.wvu.PrintArea" localSheetId="10" hidden="1">'Sch-6'!$A$1:$D$32</definedName>
    <definedName name="Z_DACD165C_CB59_4178_94BC_16705741C7B8_.wvu.PrintArea" localSheetId="12" hidden="1">'Sch-6 (After Discount)'!$A$1:$D$32</definedName>
    <definedName name="Z_DACD165C_CB59_4178_94BC_16705741C7B8_.wvu.PrintArea" localSheetId="11" hidden="1">'Sch-6 After Discount'!$A$1:$D$31</definedName>
    <definedName name="Z_DACD165C_CB59_4178_94BC_16705741C7B8_.wvu.PrintArea" localSheetId="13" hidden="1">'Sch-7'!$A$1:$M$25</definedName>
    <definedName name="Z_DACD165C_CB59_4178_94BC_16705741C7B8_.wvu.PrintTitles" localSheetId="4" hidden="1">'Sch-1'!$15:$16</definedName>
    <definedName name="Z_DACD165C_CB59_4178_94BC_16705741C7B8_.wvu.PrintTitles" localSheetId="5" hidden="1">'Sch-2'!$15:$16</definedName>
    <definedName name="Z_DACD165C_CB59_4178_94BC_16705741C7B8_.wvu.PrintTitles" localSheetId="6" hidden="1">'Sch-3'!$15:$16</definedName>
    <definedName name="Z_DACD165C_CB59_4178_94BC_16705741C7B8_.wvu.PrintTitles" localSheetId="8" hidden="1">'Sch-5'!$3:$14</definedName>
    <definedName name="Z_DACD165C_CB59_4178_94BC_16705741C7B8_.wvu.PrintTitles" localSheetId="9" hidden="1">'Sch-5 after discount'!$3:$14</definedName>
    <definedName name="Z_DACD165C_CB59_4178_94BC_16705741C7B8_.wvu.PrintTitles" localSheetId="10" hidden="1">'Sch-6'!$3:$14</definedName>
    <definedName name="Z_DACD165C_CB59_4178_94BC_16705741C7B8_.wvu.PrintTitles" localSheetId="12" hidden="1">'Sch-6 (After Discount)'!$3:$14</definedName>
    <definedName name="Z_DACD165C_CB59_4178_94BC_16705741C7B8_.wvu.PrintTitles" localSheetId="11" hidden="1">'Sch-6 After Discount'!$3:$13</definedName>
    <definedName name="Z_DACD165C_CB59_4178_94BC_16705741C7B8_.wvu.Rows" localSheetId="1" hidden="1">Cover!$7:$7</definedName>
    <definedName name="Z_DACD165C_CB59_4178_94BC_16705741C7B8_.wvu.Rows" localSheetId="14" hidden="1">Discount!$21:$22,Discount!$27:$32</definedName>
    <definedName name="Z_DACD165C_CB59_4178_94BC_16705741C7B8_.wvu.Rows" localSheetId="3" hidden="1">'Names of Bidder'!$14:$17</definedName>
    <definedName name="Z_DACD165C_CB59_4178_94BC_16705741C7B8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Envelope'!$A$1:$F$60</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Envelope'!$A$1:$F$60</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Adil Iqbal Khan {Adil Iqbal Khan} - Personal View" guid="{027A88A6-1BB1-46D4-AC44-9DCFC13F5D7E}" mergeInterval="0" personalView="1" maximized="1" xWindow="-9" yWindow="-9" windowWidth="1938" windowHeight="1048" tabRatio="764" activeSheetId="2"/>
    <customWorkbookView name="Samrat Jain {Samrat Jain} - Personal View" guid="{889C3D82-0A24-4765-A688-A80A782F5056}" mergeInterval="0" personalView="1" maximized="1" xWindow="-8" yWindow="-8" windowWidth="1936" windowHeight="1056" tabRatio="607" activeSheetId="2" showComments="commIndAndComment"/>
    <customWorkbookView name="60003018 - Personal View" guid="{A58DB4DF-40C7-4BEB-B85E-6BD6F54941CF}" mergeInterval="0" personalView="1" maximized="1" windowWidth="1362" windowHeight="522" tabRatio="847" activeSheetId="4" showComments="commIndAndComment"/>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Rahul {Rahul} - Personal View" guid="{63D51328-7CBC-4A1E-B96D-BAE91416501B}" mergeInterval="0" personalView="1" maximized="1" windowWidth="1916" windowHeight="814" tabRatio="786" activeSheetId="19"/>
    <customWorkbookView name="Pankaj Kumar Jangid {पंकज कुमार जांगिड} - Personal View" guid="{99CA2F10-F926-46DC-8609-4EAE5B9F3585}" mergeInterval="0" personalView="1" maximized="1" windowWidth="1916" windowHeight="814" tabRatio="670" activeSheetId="15"/>
    <customWorkbookView name="Umesh Kumar Yadav {उमेश कुमार यादव} - Personal View" guid="{CCA37BAE-906F-43D5-9FD9-B13563E4B9D7}" mergeInterval="0" personalView="1" maximized="1" windowWidth="1916" windowHeight="854" tabRatio="670" activeSheetId="19" showComments="commIndAndComment"/>
    <customWorkbookView name="Ankit Vaishnav {Ankit Vaishnav} - Personal View" guid="{18EA11B4-BD82-47BF-99FA-7AB19BF74D0B}" mergeInterval="0" personalView="1" maximized="1" windowWidth="1436" windowHeight="674" tabRatio="847" activeSheetId="19"/>
    <customWorkbookView name="Satendra Singh Sengar {सतेन्द्र सिंह सेंगर} - Personal View" guid="{915C64AD-BD67-44F0-9117-5B9D998BA799}" mergeInterval="0" personalView="1" maximized="1" windowWidth="1916" windowHeight="854" tabRatio="847" activeSheetId="4"/>
    <customWorkbookView name="Rahul . {राहुल} - Personal View" guid="{DACD165C-CB59-4178-94BC-16705741C7B8}" mergeInterval="0" personalView="1" maximized="1" xWindow="-8" yWindow="-8" windowWidth="1936" windowHeight="1056" tabRatio="607" activeSheetId="19"/>
  </customWorkbookViews>
</workbook>
</file>

<file path=xl/calcChain.xml><?xml version="1.0" encoding="utf-8"?>
<calcChain xmlns="http://schemas.openxmlformats.org/spreadsheetml/2006/main">
  <c r="V71" i="7" l="1"/>
  <c r="P71" i="7"/>
  <c r="R71" i="7" s="1"/>
  <c r="V70" i="7"/>
  <c r="P70" i="7"/>
  <c r="Q70" i="7" s="1"/>
  <c r="V69" i="7"/>
  <c r="P69" i="7"/>
  <c r="R69" i="7" s="1"/>
  <c r="V68" i="7"/>
  <c r="P68" i="7"/>
  <c r="R68" i="7" s="1"/>
  <c r="V67" i="7"/>
  <c r="P67" i="7"/>
  <c r="R67" i="7" s="1"/>
  <c r="V66" i="7"/>
  <c r="P66" i="7"/>
  <c r="Q66" i="7" s="1"/>
  <c r="V65" i="7"/>
  <c r="P65" i="7"/>
  <c r="R65" i="7" s="1"/>
  <c r="V64" i="7"/>
  <c r="P64" i="7"/>
  <c r="R64" i="7" s="1"/>
  <c r="V63" i="7"/>
  <c r="P63" i="7"/>
  <c r="R63" i="7" s="1"/>
  <c r="V62" i="7"/>
  <c r="P62" i="7"/>
  <c r="Q62" i="7" s="1"/>
  <c r="V61" i="7"/>
  <c r="P61" i="7"/>
  <c r="R61" i="7" s="1"/>
  <c r="V60" i="7"/>
  <c r="P60" i="7"/>
  <c r="R60" i="7" s="1"/>
  <c r="V59" i="7"/>
  <c r="P59" i="7"/>
  <c r="R59" i="7" s="1"/>
  <c r="V58" i="7"/>
  <c r="P58" i="7"/>
  <c r="Q58" i="7" s="1"/>
  <c r="V57" i="7"/>
  <c r="P57" i="7"/>
  <c r="R57" i="7" s="1"/>
  <c r="V56" i="7"/>
  <c r="P56" i="7"/>
  <c r="R56" i="7" s="1"/>
  <c r="V55" i="7"/>
  <c r="P55" i="7"/>
  <c r="R55" i="7" s="1"/>
  <c r="V54" i="7"/>
  <c r="P54" i="7"/>
  <c r="Q54" i="7" s="1"/>
  <c r="V53" i="7"/>
  <c r="P53" i="7"/>
  <c r="R53" i="7" s="1"/>
  <c r="V52" i="7"/>
  <c r="P52" i="7"/>
  <c r="R52" i="7" s="1"/>
  <c r="V51" i="7"/>
  <c r="P51" i="7"/>
  <c r="R51" i="7" s="1"/>
  <c r="V50" i="7"/>
  <c r="P50" i="7"/>
  <c r="Q50" i="7" s="1"/>
  <c r="V49" i="7"/>
  <c r="P49" i="7"/>
  <c r="R49" i="7" s="1"/>
  <c r="V48" i="7"/>
  <c r="P48" i="7"/>
  <c r="R48" i="7" s="1"/>
  <c r="V47" i="7"/>
  <c r="P47" i="7"/>
  <c r="R47" i="7" s="1"/>
  <c r="V46" i="7"/>
  <c r="P46" i="7"/>
  <c r="Q46" i="7" s="1"/>
  <c r="V45" i="7"/>
  <c r="P45" i="7"/>
  <c r="R45" i="7" s="1"/>
  <c r="V44" i="7"/>
  <c r="P44" i="7"/>
  <c r="R44" i="7" s="1"/>
  <c r="V43" i="7"/>
  <c r="P43" i="7"/>
  <c r="Q43" i="7" s="1"/>
  <c r="V42" i="7"/>
  <c r="R42" i="7"/>
  <c r="P42" i="7"/>
  <c r="Q42" i="7" s="1"/>
  <c r="V41" i="7"/>
  <c r="P41" i="7"/>
  <c r="R41" i="7" s="1"/>
  <c r="V40" i="7"/>
  <c r="P40" i="7"/>
  <c r="R40" i="7" s="1"/>
  <c r="V39" i="7"/>
  <c r="P39" i="7"/>
  <c r="Q39" i="7" s="1"/>
  <c r="V38" i="7"/>
  <c r="R38" i="7"/>
  <c r="P38" i="7"/>
  <c r="Q38" i="7" s="1"/>
  <c r="V37" i="7"/>
  <c r="P37" i="7"/>
  <c r="R37" i="7" s="1"/>
  <c r="V36" i="7"/>
  <c r="P36" i="7"/>
  <c r="R36" i="7" s="1"/>
  <c r="V35" i="7"/>
  <c r="P35" i="7"/>
  <c r="R35" i="7" s="1"/>
  <c r="V34" i="7"/>
  <c r="P34" i="7"/>
  <c r="R34" i="7" s="1"/>
  <c r="V33" i="7"/>
  <c r="Q33" i="7"/>
  <c r="P33" i="7"/>
  <c r="R33" i="7" s="1"/>
  <c r="V32" i="7"/>
  <c r="P32" i="7"/>
  <c r="R32" i="7" s="1"/>
  <c r="V31" i="7"/>
  <c r="P31" i="7"/>
  <c r="R31" i="7" s="1"/>
  <c r="V30" i="7"/>
  <c r="Q30" i="7"/>
  <c r="P30" i="7"/>
  <c r="R30" i="7" s="1"/>
  <c r="V29" i="7"/>
  <c r="P29" i="7"/>
  <c r="R29" i="7" s="1"/>
  <c r="V28" i="7"/>
  <c r="P28" i="7"/>
  <c r="R28" i="7" s="1"/>
  <c r="V27" i="7"/>
  <c r="P27" i="7"/>
  <c r="Q27" i="7" s="1"/>
  <c r="V26" i="7"/>
  <c r="P26" i="7"/>
  <c r="Q26" i="7" s="1"/>
  <c r="V25" i="7"/>
  <c r="P25" i="7"/>
  <c r="R25" i="7" s="1"/>
  <c r="V24" i="7"/>
  <c r="P24" i="7"/>
  <c r="V23" i="7"/>
  <c r="P23" i="7"/>
  <c r="R23" i="7" s="1"/>
  <c r="V22" i="7"/>
  <c r="P22" i="7"/>
  <c r="R22" i="7" s="1"/>
  <c r="V21" i="7"/>
  <c r="P21" i="7"/>
  <c r="R21" i="7" s="1"/>
  <c r="V20" i="7"/>
  <c r="P20" i="7"/>
  <c r="V158" i="7"/>
  <c r="P158" i="7"/>
  <c r="R158" i="7" s="1"/>
  <c r="V157" i="7"/>
  <c r="R157" i="7"/>
  <c r="P157" i="7"/>
  <c r="Q157" i="7" s="1"/>
  <c r="V156" i="7"/>
  <c r="P156" i="7"/>
  <c r="R156" i="7" s="1"/>
  <c r="V155" i="7"/>
  <c r="P155" i="7"/>
  <c r="V154" i="7"/>
  <c r="P154" i="7"/>
  <c r="R154" i="7" s="1"/>
  <c r="V153" i="7"/>
  <c r="P153" i="7"/>
  <c r="Q153" i="7" s="1"/>
  <c r="V152" i="7"/>
  <c r="P152" i="7"/>
  <c r="R152" i="7" s="1"/>
  <c r="V151" i="7"/>
  <c r="P151" i="7"/>
  <c r="V150" i="7"/>
  <c r="R150" i="7"/>
  <c r="P150" i="7"/>
  <c r="Q150" i="7" s="1"/>
  <c r="V149" i="7"/>
  <c r="P149" i="7"/>
  <c r="Q149" i="7" s="1"/>
  <c r="V148" i="7"/>
  <c r="P148" i="7"/>
  <c r="R148" i="7" s="1"/>
  <c r="V147" i="7"/>
  <c r="P147" i="7"/>
  <c r="V146" i="7"/>
  <c r="P146" i="7"/>
  <c r="Q146" i="7" s="1"/>
  <c r="V145" i="7"/>
  <c r="P145" i="7"/>
  <c r="Q145" i="7" s="1"/>
  <c r="V144" i="7"/>
  <c r="P144" i="7"/>
  <c r="R144" i="7" s="1"/>
  <c r="V143" i="7"/>
  <c r="P143" i="7"/>
  <c r="V142" i="7"/>
  <c r="R142" i="7"/>
  <c r="P142" i="7"/>
  <c r="Q142" i="7" s="1"/>
  <c r="V141" i="7"/>
  <c r="P141" i="7"/>
  <c r="Q141" i="7" s="1"/>
  <c r="V140" i="7"/>
  <c r="P140" i="7"/>
  <c r="R140" i="7" s="1"/>
  <c r="V139" i="7"/>
  <c r="P139" i="7"/>
  <c r="V138" i="7"/>
  <c r="P138" i="7"/>
  <c r="Q138" i="7" s="1"/>
  <c r="V137" i="7"/>
  <c r="P137" i="7"/>
  <c r="Q137" i="7" s="1"/>
  <c r="V136" i="7"/>
  <c r="P136" i="7"/>
  <c r="R136" i="7" s="1"/>
  <c r="V135" i="7"/>
  <c r="P135" i="7"/>
  <c r="V134" i="7"/>
  <c r="R134" i="7"/>
  <c r="P134" i="7"/>
  <c r="Q134" i="7" s="1"/>
  <c r="V133" i="7"/>
  <c r="P133" i="7"/>
  <c r="Q133" i="7" s="1"/>
  <c r="V132" i="7"/>
  <c r="P132" i="7"/>
  <c r="R132" i="7" s="1"/>
  <c r="V131" i="7"/>
  <c r="P131" i="7"/>
  <c r="V130" i="7"/>
  <c r="P130" i="7"/>
  <c r="Q130" i="7" s="1"/>
  <c r="V129" i="7"/>
  <c r="P129" i="7"/>
  <c r="Q129" i="7" s="1"/>
  <c r="V128" i="7"/>
  <c r="P128" i="7"/>
  <c r="R128" i="7" s="1"/>
  <c r="V127" i="7"/>
  <c r="P127" i="7"/>
  <c r="Q127" i="7" s="1"/>
  <c r="V126" i="7"/>
  <c r="P126" i="7"/>
  <c r="R126" i="7" s="1"/>
  <c r="V125" i="7"/>
  <c r="R125" i="7"/>
  <c r="P125" i="7"/>
  <c r="Q125" i="7" s="1"/>
  <c r="V124" i="7"/>
  <c r="P124" i="7"/>
  <c r="V123" i="7"/>
  <c r="P123" i="7"/>
  <c r="Q123" i="7" s="1"/>
  <c r="V122" i="7"/>
  <c r="P122" i="7"/>
  <c r="R122" i="7" s="1"/>
  <c r="V121" i="7"/>
  <c r="P121" i="7"/>
  <c r="R121" i="7" s="1"/>
  <c r="V120" i="7"/>
  <c r="P120" i="7"/>
  <c r="R120" i="7" s="1"/>
  <c r="V119" i="7"/>
  <c r="P119" i="7"/>
  <c r="V118" i="7"/>
  <c r="P118" i="7"/>
  <c r="R118" i="7" s="1"/>
  <c r="V117" i="7"/>
  <c r="P117" i="7"/>
  <c r="V116" i="7"/>
  <c r="P116" i="7"/>
  <c r="R116" i="7" s="1"/>
  <c r="V115" i="7"/>
  <c r="P115" i="7"/>
  <c r="Q115" i="7" s="1"/>
  <c r="V114" i="7"/>
  <c r="R114" i="7"/>
  <c r="P114" i="7"/>
  <c r="Q114" i="7" s="1"/>
  <c r="V113" i="7"/>
  <c r="P113" i="7"/>
  <c r="R113" i="7" s="1"/>
  <c r="V112" i="7"/>
  <c r="P112" i="7"/>
  <c r="R112" i="7" s="1"/>
  <c r="V111" i="7"/>
  <c r="P111" i="7"/>
  <c r="Q111" i="7" s="1"/>
  <c r="V110" i="7"/>
  <c r="P110" i="7"/>
  <c r="Q110" i="7" s="1"/>
  <c r="V109" i="7"/>
  <c r="P109" i="7"/>
  <c r="Q109" i="7" s="1"/>
  <c r="V108" i="7"/>
  <c r="P108" i="7"/>
  <c r="V107" i="7"/>
  <c r="P107" i="7"/>
  <c r="Q107" i="7" s="1"/>
  <c r="V106" i="7"/>
  <c r="P106" i="7"/>
  <c r="R106" i="7" s="1"/>
  <c r="V105" i="7"/>
  <c r="P105" i="7"/>
  <c r="R105" i="7" s="1"/>
  <c r="V104" i="7"/>
  <c r="R104" i="7"/>
  <c r="P104" i="7"/>
  <c r="Q104" i="7" s="1"/>
  <c r="V103" i="7"/>
  <c r="P103" i="7"/>
  <c r="Q103" i="7" s="1"/>
  <c r="V102" i="7"/>
  <c r="P102" i="7"/>
  <c r="R102" i="7" s="1"/>
  <c r="V101" i="7"/>
  <c r="P101" i="7"/>
  <c r="Q101" i="7" s="1"/>
  <c r="V100" i="7"/>
  <c r="P100" i="7"/>
  <c r="R100" i="7" s="1"/>
  <c r="V99" i="7"/>
  <c r="P99" i="7"/>
  <c r="V98" i="7"/>
  <c r="P98" i="7"/>
  <c r="R98" i="7" s="1"/>
  <c r="V97" i="7"/>
  <c r="P97" i="7"/>
  <c r="R97" i="7" s="1"/>
  <c r="V96" i="7"/>
  <c r="P96" i="7"/>
  <c r="R96" i="7" s="1"/>
  <c r="V95" i="7"/>
  <c r="P95" i="7"/>
  <c r="V94" i="7"/>
  <c r="P94" i="7"/>
  <c r="R94" i="7" s="1"/>
  <c r="V93" i="7"/>
  <c r="P93" i="7"/>
  <c r="R93" i="7" s="1"/>
  <c r="V92" i="7"/>
  <c r="P92" i="7"/>
  <c r="R92" i="7" s="1"/>
  <c r="V91" i="7"/>
  <c r="P91" i="7"/>
  <c r="V90" i="7"/>
  <c r="P90" i="7"/>
  <c r="R90" i="7" s="1"/>
  <c r="V89" i="7"/>
  <c r="P89" i="7"/>
  <c r="R89" i="7" s="1"/>
  <c r="V88" i="7"/>
  <c r="P88" i="7"/>
  <c r="R88" i="7" s="1"/>
  <c r="V87" i="7"/>
  <c r="P87" i="7"/>
  <c r="V86" i="7"/>
  <c r="P86" i="7"/>
  <c r="R86" i="7" s="1"/>
  <c r="V85" i="7"/>
  <c r="P85" i="7"/>
  <c r="R85" i="7" s="1"/>
  <c r="V84" i="7"/>
  <c r="P84" i="7"/>
  <c r="R84" i="7" s="1"/>
  <c r="V83" i="7"/>
  <c r="P83" i="7"/>
  <c r="V82" i="7"/>
  <c r="P82" i="7"/>
  <c r="R82" i="7" s="1"/>
  <c r="V81" i="7"/>
  <c r="P81" i="7"/>
  <c r="R81" i="7" s="1"/>
  <c r="V80" i="7"/>
  <c r="P80" i="7"/>
  <c r="R80" i="7" s="1"/>
  <c r="V79" i="7"/>
  <c r="P79" i="7"/>
  <c r="V78" i="7"/>
  <c r="P78" i="7"/>
  <c r="R78" i="7" s="1"/>
  <c r="V77" i="7"/>
  <c r="P77" i="7"/>
  <c r="R77" i="7" s="1"/>
  <c r="V76" i="7"/>
  <c r="P76" i="7"/>
  <c r="R76" i="7" s="1"/>
  <c r="V75" i="7"/>
  <c r="P75" i="7"/>
  <c r="V74" i="7"/>
  <c r="P74" i="7"/>
  <c r="R74" i="7" s="1"/>
  <c r="V73" i="7"/>
  <c r="P73" i="7"/>
  <c r="R73" i="7" s="1"/>
  <c r="V72" i="7"/>
  <c r="P72" i="7"/>
  <c r="J135" i="6"/>
  <c r="J134" i="6"/>
  <c r="J133" i="6"/>
  <c r="J132" i="6"/>
  <c r="J131" i="6"/>
  <c r="J130" i="6"/>
  <c r="J129" i="6"/>
  <c r="J128" i="6"/>
  <c r="J127" i="6"/>
  <c r="J126" i="6"/>
  <c r="J125" i="6"/>
  <c r="J124" i="6"/>
  <c r="J123" i="6"/>
  <c r="J122" i="6"/>
  <c r="J121"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65" i="6"/>
  <c r="J64" i="6"/>
  <c r="J63" i="6"/>
  <c r="J62" i="6"/>
  <c r="J61" i="6"/>
  <c r="J60" i="6"/>
  <c r="J59" i="6"/>
  <c r="J58" i="6"/>
  <c r="J57" i="6"/>
  <c r="J56" i="6"/>
  <c r="J55" i="6"/>
  <c r="J54" i="6"/>
  <c r="T206" i="5"/>
  <c r="N206" i="5"/>
  <c r="P206" i="5" s="1"/>
  <c r="T205" i="5"/>
  <c r="N205" i="5"/>
  <c r="P205" i="5" s="1"/>
  <c r="T204" i="5"/>
  <c r="N204" i="5"/>
  <c r="P204" i="5" s="1"/>
  <c r="T203" i="5"/>
  <c r="N203" i="5"/>
  <c r="O203" i="5" s="1"/>
  <c r="T202" i="5"/>
  <c r="N202" i="5"/>
  <c r="P202" i="5" s="1"/>
  <c r="T135" i="5"/>
  <c r="N135" i="5"/>
  <c r="T134" i="5"/>
  <c r="N134" i="5"/>
  <c r="O134" i="5" s="1"/>
  <c r="T133" i="5"/>
  <c r="N133" i="5"/>
  <c r="P133" i="5" s="1"/>
  <c r="T132" i="5"/>
  <c r="N132" i="5"/>
  <c r="P132" i="5" s="1"/>
  <c r="T131" i="5"/>
  <c r="N131" i="5"/>
  <c r="T130" i="5"/>
  <c r="N130" i="5"/>
  <c r="O130" i="5" s="1"/>
  <c r="T129" i="5"/>
  <c r="N129" i="5"/>
  <c r="P129" i="5" s="1"/>
  <c r="T128" i="5"/>
  <c r="N128" i="5"/>
  <c r="P128" i="5" s="1"/>
  <c r="T127" i="5"/>
  <c r="N127" i="5"/>
  <c r="T126" i="5"/>
  <c r="N126" i="5"/>
  <c r="O126" i="5" s="1"/>
  <c r="T125" i="5"/>
  <c r="O125" i="5"/>
  <c r="N125" i="5"/>
  <c r="P125" i="5" s="1"/>
  <c r="T124" i="5"/>
  <c r="N124" i="5"/>
  <c r="P124" i="5" s="1"/>
  <c r="T123" i="5"/>
  <c r="N123" i="5"/>
  <c r="T122" i="5"/>
  <c r="N122" i="5"/>
  <c r="O122" i="5" s="1"/>
  <c r="T121" i="5"/>
  <c r="N121" i="5"/>
  <c r="P121" i="5" s="1"/>
  <c r="T120" i="5"/>
  <c r="N120" i="5"/>
  <c r="P120" i="5" s="1"/>
  <c r="T119" i="5"/>
  <c r="N119" i="5"/>
  <c r="T118" i="5"/>
  <c r="N118" i="5"/>
  <c r="O118" i="5" s="1"/>
  <c r="T117" i="5"/>
  <c r="N117" i="5"/>
  <c r="P117" i="5" s="1"/>
  <c r="T116" i="5"/>
  <c r="N116" i="5"/>
  <c r="P116" i="5" s="1"/>
  <c r="T115" i="5"/>
  <c r="N115" i="5"/>
  <c r="T114" i="5"/>
  <c r="N114" i="5"/>
  <c r="O114" i="5" s="1"/>
  <c r="T113" i="5"/>
  <c r="N113" i="5"/>
  <c r="O113" i="5" s="1"/>
  <c r="T112" i="5"/>
  <c r="N112" i="5"/>
  <c r="P112" i="5" s="1"/>
  <c r="T111" i="5"/>
  <c r="N111" i="5"/>
  <c r="T110" i="5"/>
  <c r="N110" i="5"/>
  <c r="O110" i="5" s="1"/>
  <c r="T109" i="5"/>
  <c r="N109" i="5"/>
  <c r="P109" i="5" s="1"/>
  <c r="T108" i="5"/>
  <c r="N108" i="5"/>
  <c r="P108" i="5" s="1"/>
  <c r="T107" i="5"/>
  <c r="N107" i="5"/>
  <c r="T106" i="5"/>
  <c r="N106" i="5"/>
  <c r="O106" i="5" s="1"/>
  <c r="T105" i="5"/>
  <c r="N105" i="5"/>
  <c r="P105" i="5" s="1"/>
  <c r="T104" i="5"/>
  <c r="N104" i="5"/>
  <c r="P104" i="5" s="1"/>
  <c r="T103" i="5"/>
  <c r="N103" i="5"/>
  <c r="T102" i="5"/>
  <c r="N102" i="5"/>
  <c r="O102" i="5" s="1"/>
  <c r="T101" i="5"/>
  <c r="N101" i="5"/>
  <c r="P101" i="5" s="1"/>
  <c r="T100" i="5"/>
  <c r="N100" i="5"/>
  <c r="P100" i="5" s="1"/>
  <c r="T99" i="5"/>
  <c r="N99" i="5"/>
  <c r="T98" i="5"/>
  <c r="N98" i="5"/>
  <c r="O98" i="5" s="1"/>
  <c r="T97" i="5"/>
  <c r="N97" i="5"/>
  <c r="P97" i="5" s="1"/>
  <c r="T96" i="5"/>
  <c r="N96" i="5"/>
  <c r="P96" i="5" s="1"/>
  <c r="T95" i="5"/>
  <c r="N95" i="5"/>
  <c r="T94" i="5"/>
  <c r="N94" i="5"/>
  <c r="O94" i="5" s="1"/>
  <c r="T93" i="5"/>
  <c r="N93" i="5"/>
  <c r="P93" i="5" s="1"/>
  <c r="T92" i="5"/>
  <c r="N92" i="5"/>
  <c r="P92" i="5" s="1"/>
  <c r="T91" i="5"/>
  <c r="N91" i="5"/>
  <c r="T90" i="5"/>
  <c r="N90" i="5"/>
  <c r="O90" i="5" s="1"/>
  <c r="T89" i="5"/>
  <c r="N89" i="5"/>
  <c r="O89" i="5" s="1"/>
  <c r="T88" i="5"/>
  <c r="N88" i="5"/>
  <c r="P88" i="5" s="1"/>
  <c r="T87" i="5"/>
  <c r="N87" i="5"/>
  <c r="T86" i="5"/>
  <c r="N86" i="5"/>
  <c r="O86" i="5" s="1"/>
  <c r="T85" i="5"/>
  <c r="N85" i="5"/>
  <c r="P85" i="5" s="1"/>
  <c r="T84" i="5"/>
  <c r="N84" i="5"/>
  <c r="P84" i="5" s="1"/>
  <c r="T83" i="5"/>
  <c r="N83" i="5"/>
  <c r="O83" i="5" s="1"/>
  <c r="T82" i="5"/>
  <c r="N82" i="5"/>
  <c r="P82" i="5" s="1"/>
  <c r="T81" i="5"/>
  <c r="N81" i="5"/>
  <c r="O81" i="5" s="1"/>
  <c r="T80" i="5"/>
  <c r="N80" i="5"/>
  <c r="O80" i="5" s="1"/>
  <c r="T79" i="5"/>
  <c r="N79" i="5"/>
  <c r="O79" i="5" s="1"/>
  <c r="T78" i="5"/>
  <c r="N78" i="5"/>
  <c r="P78" i="5" s="1"/>
  <c r="T77" i="5"/>
  <c r="N77" i="5"/>
  <c r="O77" i="5" s="1"/>
  <c r="T76" i="5"/>
  <c r="N76" i="5"/>
  <c r="P76" i="5" s="1"/>
  <c r="T75" i="5"/>
  <c r="N75" i="5"/>
  <c r="P75" i="5" s="1"/>
  <c r="T74" i="5"/>
  <c r="N74" i="5"/>
  <c r="P74" i="5" s="1"/>
  <c r="T73" i="5"/>
  <c r="N73" i="5"/>
  <c r="O73" i="5" s="1"/>
  <c r="T72" i="5"/>
  <c r="O72" i="5"/>
  <c r="N72" i="5"/>
  <c r="P72" i="5" s="1"/>
  <c r="T71" i="5"/>
  <c r="N71" i="5"/>
  <c r="P71" i="5" s="1"/>
  <c r="T70" i="5"/>
  <c r="N70" i="5"/>
  <c r="P70" i="5" s="1"/>
  <c r="T69" i="5"/>
  <c r="N69" i="5"/>
  <c r="O69" i="5" s="1"/>
  <c r="T68" i="5"/>
  <c r="N68" i="5"/>
  <c r="P68" i="5" s="1"/>
  <c r="T67" i="5"/>
  <c r="N67" i="5"/>
  <c r="O67" i="5" s="1"/>
  <c r="T66" i="5"/>
  <c r="N66" i="5"/>
  <c r="P66" i="5" s="1"/>
  <c r="T65" i="5"/>
  <c r="N65" i="5"/>
  <c r="O65" i="5" s="1"/>
  <c r="T64" i="5"/>
  <c r="N64" i="5"/>
  <c r="P64" i="5" s="1"/>
  <c r="T63" i="5"/>
  <c r="N63" i="5"/>
  <c r="P63" i="5" s="1"/>
  <c r="T62" i="5"/>
  <c r="N62" i="5"/>
  <c r="P62" i="5" s="1"/>
  <c r="T61" i="5"/>
  <c r="N61" i="5"/>
  <c r="O61" i="5" s="1"/>
  <c r="T60" i="5"/>
  <c r="N60" i="5"/>
  <c r="P60" i="5" s="1"/>
  <c r="Q74" i="7" l="1"/>
  <c r="R111" i="7"/>
  <c r="R39" i="7"/>
  <c r="Q73" i="7"/>
  <c r="R103" i="7"/>
  <c r="R110" i="7"/>
  <c r="R133" i="7"/>
  <c r="R141" i="7"/>
  <c r="R149" i="7"/>
  <c r="Q22" i="7"/>
  <c r="Q23" i="7"/>
  <c r="R27" i="7"/>
  <c r="Q41" i="7"/>
  <c r="Q65" i="7"/>
  <c r="Q76" i="7"/>
  <c r="Q92" i="7"/>
  <c r="R109" i="7"/>
  <c r="R127" i="7"/>
  <c r="R130" i="7"/>
  <c r="R138" i="7"/>
  <c r="R146" i="7"/>
  <c r="R26" i="7"/>
  <c r="R46" i="7"/>
  <c r="Q69" i="7"/>
  <c r="Q126" i="7"/>
  <c r="R129" i="7"/>
  <c r="R137" i="7"/>
  <c r="R145" i="7"/>
  <c r="R153" i="7"/>
  <c r="Q25" i="7"/>
  <c r="Q31" i="7"/>
  <c r="R43" i="7"/>
  <c r="P81" i="5"/>
  <c r="O109" i="5"/>
  <c r="P203" i="5"/>
  <c r="P80" i="5"/>
  <c r="P98" i="5"/>
  <c r="O129" i="5"/>
  <c r="O202" i="5"/>
  <c r="P110" i="5"/>
  <c r="P83" i="5"/>
  <c r="O64" i="5"/>
  <c r="P73" i="5"/>
  <c r="O97" i="5"/>
  <c r="P126" i="5"/>
  <c r="P130" i="5"/>
  <c r="O68" i="5"/>
  <c r="P69" i="5"/>
  <c r="P79" i="5"/>
  <c r="O93" i="5"/>
  <c r="P94" i="5"/>
  <c r="P114" i="5"/>
  <c r="P113" i="5"/>
  <c r="Q154" i="7"/>
  <c r="Q158" i="7"/>
  <c r="Q29" i="7"/>
  <c r="Q34" i="7"/>
  <c r="Q35" i="7"/>
  <c r="Q45" i="7"/>
  <c r="Q49" i="7"/>
  <c r="Q53" i="7"/>
  <c r="Q57" i="7"/>
  <c r="Q61" i="7"/>
  <c r="Q77" i="7"/>
  <c r="Q78" i="7"/>
  <c r="Q81" i="7"/>
  <c r="Q82" i="7"/>
  <c r="Q85" i="7"/>
  <c r="Q86" i="7"/>
  <c r="Q89" i="7"/>
  <c r="Q90" i="7"/>
  <c r="Q116" i="7"/>
  <c r="Q93" i="7"/>
  <c r="Q94" i="7"/>
  <c r="Q97" i="7"/>
  <c r="Q98" i="7"/>
  <c r="R101" i="7"/>
  <c r="Q105" i="7"/>
  <c r="Q106" i="7"/>
  <c r="R107" i="7"/>
  <c r="Q112" i="7"/>
  <c r="Q118" i="7"/>
  <c r="Q121" i="7"/>
  <c r="Q122" i="7"/>
  <c r="R123" i="7"/>
  <c r="Q128" i="7"/>
  <c r="Q132" i="7"/>
  <c r="Q136" i="7"/>
  <c r="Q140" i="7"/>
  <c r="Q144" i="7"/>
  <c r="Q148" i="7"/>
  <c r="Q152" i="7"/>
  <c r="Q156" i="7"/>
  <c r="Q21" i="7"/>
  <c r="Q37" i="7"/>
  <c r="Q47" i="7"/>
  <c r="Q51" i="7"/>
  <c r="Q55" i="7"/>
  <c r="Q59" i="7"/>
  <c r="Q63" i="7"/>
  <c r="Q67" i="7"/>
  <c r="Q71" i="7"/>
  <c r="R50" i="7"/>
  <c r="R54" i="7"/>
  <c r="R58" i="7"/>
  <c r="R62" i="7"/>
  <c r="R66" i="7"/>
  <c r="R70" i="7"/>
  <c r="R20" i="7"/>
  <c r="Q20" i="7"/>
  <c r="R24" i="7"/>
  <c r="Q24" i="7"/>
  <c r="Q28" i="7"/>
  <c r="Q32" i="7"/>
  <c r="Q36" i="7"/>
  <c r="Q40" i="7"/>
  <c r="Q44" i="7"/>
  <c r="Q48" i="7"/>
  <c r="Q52" i="7"/>
  <c r="Q56" i="7"/>
  <c r="Q60" i="7"/>
  <c r="Q64" i="7"/>
  <c r="Q68" i="7"/>
  <c r="R72" i="7"/>
  <c r="Q72" i="7"/>
  <c r="R87" i="7"/>
  <c r="Q87" i="7"/>
  <c r="R108" i="7"/>
  <c r="Q108" i="7"/>
  <c r="Q119" i="7"/>
  <c r="R119" i="7"/>
  <c r="R83" i="7"/>
  <c r="Q83" i="7"/>
  <c r="Q88" i="7"/>
  <c r="R99" i="7"/>
  <c r="Q99" i="7"/>
  <c r="Q117" i="7"/>
  <c r="R117" i="7"/>
  <c r="R124" i="7"/>
  <c r="Q124" i="7"/>
  <c r="R79" i="7"/>
  <c r="Q79" i="7"/>
  <c r="Q84" i="7"/>
  <c r="R95" i="7"/>
  <c r="Q95" i="7"/>
  <c r="Q100" i="7"/>
  <c r="R143" i="7"/>
  <c r="Q143" i="7"/>
  <c r="R75" i="7"/>
  <c r="Q75" i="7"/>
  <c r="Q80" i="7"/>
  <c r="R91" i="7"/>
  <c r="Q91" i="7"/>
  <c r="Q96" i="7"/>
  <c r="Q102" i="7"/>
  <c r="Q113" i="7"/>
  <c r="R115" i="7"/>
  <c r="Q120" i="7"/>
  <c r="R135" i="7"/>
  <c r="Q135" i="7"/>
  <c r="R151" i="7"/>
  <c r="Q151" i="7"/>
  <c r="R139" i="7"/>
  <c r="Q139" i="7"/>
  <c r="R155" i="7"/>
  <c r="Q155" i="7"/>
  <c r="R131" i="7"/>
  <c r="Q131" i="7"/>
  <c r="R147" i="7"/>
  <c r="Q147" i="7"/>
  <c r="P65" i="5"/>
  <c r="O105" i="5"/>
  <c r="P106" i="5"/>
  <c r="O121" i="5"/>
  <c r="P122" i="5"/>
  <c r="O60" i="5"/>
  <c r="P61" i="5"/>
  <c r="O76" i="5"/>
  <c r="P77" i="5"/>
  <c r="O85" i="5"/>
  <c r="P86" i="5"/>
  <c r="P89" i="5"/>
  <c r="O101" i="5"/>
  <c r="P102" i="5"/>
  <c r="O117" i="5"/>
  <c r="P118" i="5"/>
  <c r="O133" i="5"/>
  <c r="P134" i="5"/>
  <c r="O206" i="5"/>
  <c r="P90" i="5"/>
  <c r="O205" i="5"/>
  <c r="O204" i="5"/>
  <c r="P87" i="5"/>
  <c r="O87" i="5"/>
  <c r="O63" i="5"/>
  <c r="O71" i="5"/>
  <c r="O75" i="5"/>
  <c r="O82" i="5"/>
  <c r="O88" i="5"/>
  <c r="O96" i="5"/>
  <c r="O104" i="5"/>
  <c r="O112" i="5"/>
  <c r="O120" i="5"/>
  <c r="O128" i="5"/>
  <c r="O66" i="5"/>
  <c r="P67" i="5"/>
  <c r="O70" i="5"/>
  <c r="O74" i="5"/>
  <c r="O78" i="5"/>
  <c r="P91" i="5"/>
  <c r="O91" i="5"/>
  <c r="P99" i="5"/>
  <c r="O99" i="5"/>
  <c r="P107" i="5"/>
  <c r="O107" i="5"/>
  <c r="P115" i="5"/>
  <c r="O115" i="5"/>
  <c r="P123" i="5"/>
  <c r="O123" i="5"/>
  <c r="P131" i="5"/>
  <c r="O131" i="5"/>
  <c r="P95" i="5"/>
  <c r="O95" i="5"/>
  <c r="P103" i="5"/>
  <c r="O103" i="5"/>
  <c r="P111" i="5"/>
  <c r="O111" i="5"/>
  <c r="P119" i="5"/>
  <c r="O119" i="5"/>
  <c r="P127" i="5"/>
  <c r="O127" i="5"/>
  <c r="P135" i="5"/>
  <c r="O135" i="5"/>
  <c r="O62" i="5"/>
  <c r="O84" i="5"/>
  <c r="O92" i="5"/>
  <c r="O100" i="5"/>
  <c r="O108" i="5"/>
  <c r="O116" i="5"/>
  <c r="O124" i="5"/>
  <c r="O132" i="5"/>
  <c r="V246" i="7"/>
  <c r="P246" i="7"/>
  <c r="R246" i="7" s="1"/>
  <c r="V245" i="7"/>
  <c r="P245" i="7"/>
  <c r="Q245" i="7" s="1"/>
  <c r="V244" i="7"/>
  <c r="P244" i="7"/>
  <c r="R244" i="7" s="1"/>
  <c r="V243" i="7"/>
  <c r="P243" i="7"/>
  <c r="R243" i="7" s="1"/>
  <c r="V242" i="7"/>
  <c r="P242" i="7"/>
  <c r="R242" i="7" s="1"/>
  <c r="V241" i="7"/>
  <c r="P241" i="7"/>
  <c r="Q241" i="7" s="1"/>
  <c r="V240" i="7"/>
  <c r="P240" i="7"/>
  <c r="Q240" i="7" s="1"/>
  <c r="V239" i="7"/>
  <c r="P239" i="7"/>
  <c r="Q239" i="7" s="1"/>
  <c r="V238" i="7"/>
  <c r="P238" i="7"/>
  <c r="R238" i="7" s="1"/>
  <c r="V237" i="7"/>
  <c r="P237" i="7"/>
  <c r="Q237" i="7" s="1"/>
  <c r="R240" i="7" l="1"/>
  <c r="R237" i="7"/>
  <c r="Q244" i="7"/>
  <c r="R245" i="7"/>
  <c r="R241" i="7"/>
  <c r="Q243" i="7"/>
  <c r="Q238" i="7"/>
  <c r="R239" i="7"/>
  <c r="Q242" i="7"/>
  <c r="Q246" i="7"/>
  <c r="V178" i="7"/>
  <c r="P178" i="7"/>
  <c r="Q178" i="7" s="1"/>
  <c r="R178" i="7" l="1"/>
  <c r="V209" i="7"/>
  <c r="P209" i="7"/>
  <c r="R209" i="7" s="1"/>
  <c r="V208" i="7"/>
  <c r="P208" i="7"/>
  <c r="R208" i="7" s="1"/>
  <c r="V207" i="7"/>
  <c r="P207" i="7"/>
  <c r="R207" i="7" s="1"/>
  <c r="V206" i="7"/>
  <c r="P206" i="7"/>
  <c r="Q206" i="7" s="1"/>
  <c r="V228" i="7"/>
  <c r="P228" i="7"/>
  <c r="R228" i="7" s="1"/>
  <c r="V227" i="7"/>
  <c r="P227" i="7"/>
  <c r="Q227" i="7" s="1"/>
  <c r="V226" i="7"/>
  <c r="P226" i="7"/>
  <c r="R226" i="7" s="1"/>
  <c r="V225" i="7"/>
  <c r="P225" i="7"/>
  <c r="R225" i="7" s="1"/>
  <c r="V224" i="7"/>
  <c r="P224" i="7"/>
  <c r="R224" i="7" s="1"/>
  <c r="V223" i="7"/>
  <c r="P223" i="7"/>
  <c r="Q223" i="7" s="1"/>
  <c r="V222" i="7"/>
  <c r="P222" i="7"/>
  <c r="R222" i="7" s="1"/>
  <c r="V221" i="7"/>
  <c r="P221" i="7"/>
  <c r="R221" i="7" s="1"/>
  <c r="V220" i="7"/>
  <c r="P220" i="7"/>
  <c r="Q220" i="7" s="1"/>
  <c r="V219" i="7"/>
  <c r="P219" i="7"/>
  <c r="Q219" i="7" s="1"/>
  <c r="V218" i="7"/>
  <c r="P218" i="7"/>
  <c r="R218" i="7" s="1"/>
  <c r="V217" i="7"/>
  <c r="P217" i="7"/>
  <c r="R217" i="7" s="1"/>
  <c r="V216" i="7"/>
  <c r="P216" i="7"/>
  <c r="R216" i="7" s="1"/>
  <c r="V215" i="7"/>
  <c r="P215" i="7"/>
  <c r="Q215" i="7" s="1"/>
  <c r="V214" i="7"/>
  <c r="P214" i="7"/>
  <c r="R214" i="7" s="1"/>
  <c r="J21" i="6"/>
  <c r="J136"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0" i="6"/>
  <c r="J19" i="6"/>
  <c r="J18" i="6"/>
  <c r="T178" i="5"/>
  <c r="N178" i="5"/>
  <c r="P178" i="5" s="1"/>
  <c r="T177" i="5"/>
  <c r="N177" i="5"/>
  <c r="O177" i="5" s="1"/>
  <c r="T176" i="5"/>
  <c r="N176" i="5"/>
  <c r="P176" i="5" s="1"/>
  <c r="T175" i="5"/>
  <c r="N175" i="5"/>
  <c r="O175" i="5" s="1"/>
  <c r="T174" i="5"/>
  <c r="N174" i="5"/>
  <c r="P174" i="5" s="1"/>
  <c r="T173" i="5"/>
  <c r="N173" i="5"/>
  <c r="O173" i="5" s="1"/>
  <c r="T172" i="5"/>
  <c r="N172" i="5"/>
  <c r="P172" i="5" s="1"/>
  <c r="T171" i="5"/>
  <c r="N171" i="5"/>
  <c r="P171" i="5" s="1"/>
  <c r="T170" i="5"/>
  <c r="N170" i="5"/>
  <c r="P170" i="5" s="1"/>
  <c r="T169" i="5"/>
  <c r="N169" i="5"/>
  <c r="O169" i="5" s="1"/>
  <c r="T168" i="5"/>
  <c r="N168" i="5"/>
  <c r="P168" i="5" s="1"/>
  <c r="T167" i="5"/>
  <c r="N167" i="5"/>
  <c r="O167" i="5" s="1"/>
  <c r="T166" i="5"/>
  <c r="N166" i="5"/>
  <c r="P166" i="5" s="1"/>
  <c r="T165" i="5"/>
  <c r="N165" i="5"/>
  <c r="O165" i="5" s="1"/>
  <c r="T164" i="5"/>
  <c r="N164" i="5"/>
  <c r="O164" i="5" s="1"/>
  <c r="T194" i="5"/>
  <c r="N194" i="5"/>
  <c r="P194" i="5" s="1"/>
  <c r="T193" i="5"/>
  <c r="N193" i="5"/>
  <c r="P193" i="5" s="1"/>
  <c r="T192" i="5"/>
  <c r="N192" i="5"/>
  <c r="P192" i="5" s="1"/>
  <c r="T191" i="5"/>
  <c r="N191" i="5"/>
  <c r="O191" i="5" s="1"/>
  <c r="T190" i="5"/>
  <c r="N190" i="5"/>
  <c r="P190" i="5" s="1"/>
  <c r="T189" i="5"/>
  <c r="N189" i="5"/>
  <c r="P189" i="5" s="1"/>
  <c r="T188" i="5"/>
  <c r="N188" i="5"/>
  <c r="P188" i="5" s="1"/>
  <c r="T187" i="5"/>
  <c r="N187" i="5"/>
  <c r="O187" i="5" s="1"/>
  <c r="T186" i="5"/>
  <c r="N186" i="5"/>
  <c r="P186" i="5" s="1"/>
  <c r="T185" i="5"/>
  <c r="N185" i="5"/>
  <c r="P185" i="5" s="1"/>
  <c r="T184" i="5"/>
  <c r="N184" i="5"/>
  <c r="P184" i="5" s="1"/>
  <c r="T183" i="5"/>
  <c r="N183" i="5"/>
  <c r="O183" i="5" s="1"/>
  <c r="T182" i="5"/>
  <c r="N182" i="5"/>
  <c r="P182" i="5" s="1"/>
  <c r="T181" i="5"/>
  <c r="N181" i="5"/>
  <c r="P181" i="5" s="1"/>
  <c r="T180" i="5"/>
  <c r="N180" i="5"/>
  <c r="P180" i="5" s="1"/>
  <c r="T179" i="5"/>
  <c r="N179" i="5"/>
  <c r="P179" i="5" s="1"/>
  <c r="O193" i="5" l="1"/>
  <c r="Q224" i="7"/>
  <c r="O179" i="5"/>
  <c r="P169" i="5"/>
  <c r="O168" i="5"/>
  <c r="P177" i="5"/>
  <c r="O181" i="5"/>
  <c r="Q214" i="7"/>
  <c r="Q226" i="7"/>
  <c r="Q216" i="7"/>
  <c r="Q218" i="7"/>
  <c r="R220" i="7"/>
  <c r="R206" i="7"/>
  <c r="R215" i="7"/>
  <c r="Q222" i="7"/>
  <c r="Q228" i="7"/>
  <c r="O185" i="5"/>
  <c r="O189" i="5"/>
  <c r="O176" i="5"/>
  <c r="Q209" i="7"/>
  <c r="R219" i="7"/>
  <c r="R223" i="7"/>
  <c r="R227" i="7"/>
  <c r="Q208" i="7"/>
  <c r="Q207" i="7"/>
  <c r="Q217" i="7"/>
  <c r="Q221" i="7"/>
  <c r="Q225" i="7"/>
  <c r="P164" i="5"/>
  <c r="O182" i="5"/>
  <c r="P183" i="5"/>
  <c r="O186" i="5"/>
  <c r="P187" i="5"/>
  <c r="O190" i="5"/>
  <c r="P191" i="5"/>
  <c r="O194" i="5"/>
  <c r="O172" i="5"/>
  <c r="P173" i="5"/>
  <c r="P165" i="5"/>
  <c r="O171" i="5"/>
  <c r="O166" i="5"/>
  <c r="P167" i="5"/>
  <c r="O170" i="5"/>
  <c r="O174" i="5"/>
  <c r="P175" i="5"/>
  <c r="O178" i="5"/>
  <c r="O180" i="5"/>
  <c r="O184" i="5"/>
  <c r="O188" i="5"/>
  <c r="O192" i="5"/>
  <c r="B17" i="6"/>
  <c r="B17" i="7" s="1"/>
  <c r="C9" i="5"/>
  <c r="C10" i="5"/>
  <c r="C11" i="5"/>
  <c r="C12" i="5"/>
  <c r="C219" i="5"/>
  <c r="C220" i="5"/>
  <c r="J212" i="6" l="1"/>
  <c r="J211" i="6"/>
  <c r="T212" i="5"/>
  <c r="N212" i="5"/>
  <c r="P212" i="5" s="1"/>
  <c r="T211" i="5"/>
  <c r="N211" i="5"/>
  <c r="O211" i="5" s="1"/>
  <c r="T210" i="5"/>
  <c r="N210" i="5"/>
  <c r="O210" i="5" s="1"/>
  <c r="P210" i="5" l="1"/>
  <c r="P211" i="5"/>
  <c r="O212" i="5"/>
  <c r="T209" i="5"/>
  <c r="T208" i="5"/>
  <c r="T207" i="5"/>
  <c r="T201" i="5"/>
  <c r="T200" i="5"/>
  <c r="T199" i="5"/>
  <c r="T198" i="5"/>
  <c r="T197" i="5"/>
  <c r="T196" i="5"/>
  <c r="T195" i="5"/>
  <c r="V249" i="7"/>
  <c r="V248" i="7"/>
  <c r="V247" i="7"/>
  <c r="V236" i="7"/>
  <c r="V235" i="7"/>
  <c r="V234" i="7"/>
  <c r="V233" i="7"/>
  <c r="V232" i="7"/>
  <c r="V231" i="7"/>
  <c r="V230" i="7"/>
  <c r="V229" i="7"/>
  <c r="V213" i="7"/>
  <c r="V212" i="7"/>
  <c r="V211" i="7"/>
  <c r="V210" i="7"/>
  <c r="V205" i="7"/>
  <c r="V204" i="7"/>
  <c r="V203" i="7"/>
  <c r="V202" i="7"/>
  <c r="Q249" i="7"/>
  <c r="P248" i="7"/>
  <c r="Q248" i="7" s="1"/>
  <c r="P247" i="7"/>
  <c r="R247" i="7" s="1"/>
  <c r="P236" i="7"/>
  <c r="R236" i="7" s="1"/>
  <c r="P235" i="7"/>
  <c r="R235" i="7" s="1"/>
  <c r="P234" i="7"/>
  <c r="Q234" i="7" s="1"/>
  <c r="P233" i="7"/>
  <c r="R233" i="7" s="1"/>
  <c r="P232" i="7"/>
  <c r="R232" i="7" s="1"/>
  <c r="P231" i="7"/>
  <c r="R231" i="7" s="1"/>
  <c r="P230" i="7"/>
  <c r="Q230" i="7" s="1"/>
  <c r="P229" i="7"/>
  <c r="R229" i="7" s="1"/>
  <c r="P213" i="7"/>
  <c r="R213" i="7" s="1"/>
  <c r="P212" i="7"/>
  <c r="R212" i="7" s="1"/>
  <c r="P211" i="7"/>
  <c r="Q211" i="7" s="1"/>
  <c r="P210" i="7"/>
  <c r="R210" i="7" s="1"/>
  <c r="P205" i="7"/>
  <c r="R205" i="7" s="1"/>
  <c r="P204" i="7"/>
  <c r="R204" i="7" s="1"/>
  <c r="P203" i="7"/>
  <c r="Q203" i="7" s="1"/>
  <c r="P202" i="7"/>
  <c r="R202" i="7" s="1"/>
  <c r="J210" i="6"/>
  <c r="J209" i="6"/>
  <c r="J208" i="6"/>
  <c r="J207" i="6"/>
  <c r="J206" i="6"/>
  <c r="J205" i="6"/>
  <c r="J204" i="6"/>
  <c r="J203" i="6"/>
  <c r="J202" i="6"/>
  <c r="J201" i="6"/>
  <c r="J200" i="6"/>
  <c r="J199" i="6"/>
  <c r="J198" i="6"/>
  <c r="J197" i="6"/>
  <c r="J196" i="6"/>
  <c r="J195" i="6"/>
  <c r="N209" i="5"/>
  <c r="P209" i="5" s="1"/>
  <c r="N208" i="5"/>
  <c r="P208" i="5" s="1"/>
  <c r="N207" i="5"/>
  <c r="P207" i="5" s="1"/>
  <c r="N201" i="5"/>
  <c r="O201" i="5" s="1"/>
  <c r="N200" i="5"/>
  <c r="P200" i="5" s="1"/>
  <c r="N199" i="5"/>
  <c r="P199" i="5" s="1"/>
  <c r="N198" i="5"/>
  <c r="P198" i="5" s="1"/>
  <c r="N197" i="5"/>
  <c r="O197" i="5" s="1"/>
  <c r="N196" i="5"/>
  <c r="P196" i="5" s="1"/>
  <c r="N195" i="5"/>
  <c r="P195" i="5" s="1"/>
  <c r="Q202" i="7" l="1"/>
  <c r="R203" i="7"/>
  <c r="Q210" i="7"/>
  <c r="R211" i="7"/>
  <c r="Q229" i="7"/>
  <c r="R230" i="7"/>
  <c r="Q233" i="7"/>
  <c r="R234" i="7"/>
  <c r="Q247" i="7"/>
  <c r="R248" i="7"/>
  <c r="R249" i="7"/>
  <c r="Q205" i="7"/>
  <c r="Q213" i="7"/>
  <c r="Q232" i="7"/>
  <c r="Q236" i="7"/>
  <c r="Q204" i="7"/>
  <c r="Q212" i="7"/>
  <c r="Q231" i="7"/>
  <c r="Q235" i="7"/>
  <c r="O196" i="5"/>
  <c r="P197" i="5"/>
  <c r="O200" i="5"/>
  <c r="P201" i="5"/>
  <c r="O209" i="5"/>
  <c r="O195" i="5"/>
  <c r="O199" i="5"/>
  <c r="O208" i="5"/>
  <c r="O198" i="5"/>
  <c r="O207" i="5"/>
  <c r="V19" i="7"/>
  <c r="V159" i="7"/>
  <c r="V160" i="7"/>
  <c r="V161" i="7"/>
  <c r="V162" i="7"/>
  <c r="V163" i="7"/>
  <c r="V164" i="7"/>
  <c r="V165" i="7"/>
  <c r="V166" i="7"/>
  <c r="V167" i="7"/>
  <c r="V168" i="7"/>
  <c r="V169" i="7"/>
  <c r="V170" i="7"/>
  <c r="V171" i="7"/>
  <c r="V172" i="7"/>
  <c r="V173" i="7"/>
  <c r="V174" i="7"/>
  <c r="V175" i="7"/>
  <c r="V176" i="7"/>
  <c r="V177" i="7"/>
  <c r="V179" i="7"/>
  <c r="V180" i="7"/>
  <c r="V181" i="7"/>
  <c r="V182" i="7"/>
  <c r="V183" i="7"/>
  <c r="V184" i="7"/>
  <c r="V185" i="7"/>
  <c r="V186" i="7"/>
  <c r="V187" i="7"/>
  <c r="V188" i="7"/>
  <c r="V189" i="7"/>
  <c r="V190" i="7"/>
  <c r="V191" i="7"/>
  <c r="V192" i="7"/>
  <c r="V193" i="7"/>
  <c r="V194" i="7"/>
  <c r="V195" i="7"/>
  <c r="V196" i="7"/>
  <c r="V197" i="7"/>
  <c r="V198" i="7"/>
  <c r="V199" i="7"/>
  <c r="V200" i="7"/>
  <c r="V201" i="7"/>
  <c r="V18" i="7"/>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136" i="5"/>
  <c r="T137" i="5"/>
  <c r="T138" i="5"/>
  <c r="T139" i="5"/>
  <c r="T140" i="5"/>
  <c r="T141" i="5"/>
  <c r="T142" i="5"/>
  <c r="T143" i="5"/>
  <c r="T144" i="5"/>
  <c r="T145" i="5"/>
  <c r="T146" i="5"/>
  <c r="T147" i="5"/>
  <c r="T148" i="5"/>
  <c r="T149" i="5"/>
  <c r="T150" i="5"/>
  <c r="T151" i="5"/>
  <c r="T152" i="5"/>
  <c r="T153" i="5"/>
  <c r="T154" i="5"/>
  <c r="T155" i="5"/>
  <c r="T156" i="5"/>
  <c r="T157" i="5"/>
  <c r="T158" i="5"/>
  <c r="T159" i="5"/>
  <c r="T160" i="5"/>
  <c r="T161" i="5"/>
  <c r="T162" i="5"/>
  <c r="T163" i="5"/>
  <c r="T18" i="5"/>
  <c r="P201" i="7"/>
  <c r="R201" i="7" s="1"/>
  <c r="P200" i="7"/>
  <c r="Q200" i="7" s="1"/>
  <c r="P199" i="7"/>
  <c r="Q199" i="7" s="1"/>
  <c r="P198" i="7"/>
  <c r="Q198" i="7" s="1"/>
  <c r="P197" i="7"/>
  <c r="R197" i="7" s="1"/>
  <c r="J194" i="6"/>
  <c r="J193" i="6"/>
  <c r="J192" i="6"/>
  <c r="J191" i="6"/>
  <c r="J190" i="6"/>
  <c r="J189" i="6"/>
  <c r="J188" i="6"/>
  <c r="J187" i="6"/>
  <c r="J186" i="6"/>
  <c r="J185" i="6"/>
  <c r="J184" i="6"/>
  <c r="J183" i="6"/>
  <c r="J182" i="6"/>
  <c r="N163" i="5"/>
  <c r="O163" i="5" s="1"/>
  <c r="N148" i="5"/>
  <c r="O148" i="5" s="1"/>
  <c r="N149" i="5"/>
  <c r="P149" i="5" s="1"/>
  <c r="N150" i="5"/>
  <c r="O150" i="5" s="1"/>
  <c r="N151" i="5"/>
  <c r="O151" i="5" s="1"/>
  <c r="N152" i="5"/>
  <c r="P152" i="5" s="1"/>
  <c r="N153" i="5"/>
  <c r="O153" i="5" s="1"/>
  <c r="N154" i="5"/>
  <c r="O154" i="5" s="1"/>
  <c r="N155" i="5"/>
  <c r="P155" i="5" s="1"/>
  <c r="N156" i="5"/>
  <c r="P156" i="5" s="1"/>
  <c r="N157" i="5"/>
  <c r="O157" i="5" s="1"/>
  <c r="N158" i="5"/>
  <c r="O158" i="5" s="1"/>
  <c r="N159" i="5"/>
  <c r="P159" i="5" s="1"/>
  <c r="N160" i="5"/>
  <c r="O160" i="5" s="1"/>
  <c r="N161" i="5"/>
  <c r="O161" i="5" s="1"/>
  <c r="N162" i="5"/>
  <c r="O162" i="5" s="1"/>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4" i="20"/>
  <c r="H6" i="20"/>
  <c r="B14" i="20"/>
  <c r="B15" i="20"/>
  <c r="E15" i="20"/>
  <c r="G15" i="20"/>
  <c r="E16" i="20"/>
  <c r="K29" i="20"/>
  <c r="Z1" i="19"/>
  <c r="Z2" i="19"/>
  <c r="B6" i="19"/>
  <c r="AG6" i="19" s="1"/>
  <c r="A9" i="19"/>
  <c r="A10" i="19"/>
  <c r="A11" i="19"/>
  <c r="A12" i="19"/>
  <c r="A13" i="19"/>
  <c r="H25" i="19"/>
  <c r="A48" i="19" s="1"/>
  <c r="F43" i="19"/>
  <c r="A59"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8" i="7"/>
  <c r="P19" i="7"/>
  <c r="Q19" i="7" s="1"/>
  <c r="P159" i="7"/>
  <c r="Q159" i="7" s="1"/>
  <c r="P160" i="7"/>
  <c r="Q160" i="7" s="1"/>
  <c r="P161" i="7"/>
  <c r="Q161" i="7" s="1"/>
  <c r="P162" i="7"/>
  <c r="Q162" i="7" s="1"/>
  <c r="P163" i="7"/>
  <c r="R163" i="7" s="1"/>
  <c r="P164" i="7"/>
  <c r="Q164" i="7" s="1"/>
  <c r="P165" i="7"/>
  <c r="Q165" i="7" s="1"/>
  <c r="P166" i="7"/>
  <c r="Q166" i="7" s="1"/>
  <c r="P167" i="7"/>
  <c r="Q167" i="7" s="1"/>
  <c r="P168" i="7"/>
  <c r="Q168" i="7" s="1"/>
  <c r="P169" i="7"/>
  <c r="Q169" i="7" s="1"/>
  <c r="P170" i="7"/>
  <c r="Q170" i="7" s="1"/>
  <c r="P171" i="7"/>
  <c r="R171" i="7" s="1"/>
  <c r="P172" i="7"/>
  <c r="R172" i="7" s="1"/>
  <c r="P173" i="7"/>
  <c r="Q173" i="7" s="1"/>
  <c r="P174" i="7"/>
  <c r="Q174" i="7" s="1"/>
  <c r="P175" i="7"/>
  <c r="R175" i="7" s="1"/>
  <c r="P176" i="7"/>
  <c r="R176" i="7" s="1"/>
  <c r="P177" i="7"/>
  <c r="Q177" i="7" s="1"/>
  <c r="P179" i="7"/>
  <c r="Q179" i="7" s="1"/>
  <c r="P180" i="7"/>
  <c r="R180" i="7" s="1"/>
  <c r="P181" i="7"/>
  <c r="Q181" i="7" s="1"/>
  <c r="P182" i="7"/>
  <c r="Q182" i="7" s="1"/>
  <c r="P183" i="7"/>
  <c r="R183" i="7" s="1"/>
  <c r="P184" i="7"/>
  <c r="Q184" i="7" s="1"/>
  <c r="P185" i="7"/>
  <c r="R185" i="7" s="1"/>
  <c r="P186" i="7"/>
  <c r="Q186" i="7" s="1"/>
  <c r="P187" i="7"/>
  <c r="Q187" i="7" s="1"/>
  <c r="P188" i="7"/>
  <c r="R188" i="7" s="1"/>
  <c r="P189" i="7"/>
  <c r="R189" i="7" s="1"/>
  <c r="P190" i="7"/>
  <c r="Q190" i="7" s="1"/>
  <c r="P191" i="7"/>
  <c r="Q191" i="7" s="1"/>
  <c r="P192" i="7"/>
  <c r="R192" i="7" s="1"/>
  <c r="P193" i="7"/>
  <c r="R193" i="7" s="1"/>
  <c r="P194" i="7"/>
  <c r="Q194" i="7" s="1"/>
  <c r="P195" i="7"/>
  <c r="Q195" i="7" s="1"/>
  <c r="P196" i="7"/>
  <c r="R196" i="7" s="1"/>
  <c r="A1" i="6"/>
  <c r="C9" i="6"/>
  <c r="C10" i="6"/>
  <c r="C11" i="6"/>
  <c r="C12"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A1" i="5"/>
  <c r="Z8" i="5"/>
  <c r="B8" i="12"/>
  <c r="Z9" i="5"/>
  <c r="C10" i="14"/>
  <c r="B10" i="12"/>
  <c r="B11" i="12"/>
  <c r="IV16" i="5"/>
  <c r="N18" i="5"/>
  <c r="N19" i="5"/>
  <c r="P19" i="5" s="1"/>
  <c r="N20" i="5"/>
  <c r="O20" i="5" s="1"/>
  <c r="N21" i="5"/>
  <c r="O21" i="5" s="1"/>
  <c r="N22" i="5"/>
  <c r="O22" i="5" s="1"/>
  <c r="N23" i="5"/>
  <c r="P23" i="5" s="1"/>
  <c r="N24" i="5"/>
  <c r="P24" i="5" s="1"/>
  <c r="N25" i="5"/>
  <c r="O25" i="5" s="1"/>
  <c r="N26" i="5"/>
  <c r="O26" i="5" s="1"/>
  <c r="N27" i="5"/>
  <c r="P27" i="5" s="1"/>
  <c r="N28" i="5"/>
  <c r="O28" i="5" s="1"/>
  <c r="N29" i="5"/>
  <c r="O29" i="5" s="1"/>
  <c r="N30" i="5"/>
  <c r="O30" i="5" s="1"/>
  <c r="N31" i="5"/>
  <c r="O31" i="5" s="1"/>
  <c r="N32" i="5"/>
  <c r="P32" i="5" s="1"/>
  <c r="N33" i="5"/>
  <c r="P33" i="5" s="1"/>
  <c r="N34" i="5"/>
  <c r="P34" i="5" s="1"/>
  <c r="N35" i="5"/>
  <c r="P35" i="5" s="1"/>
  <c r="N36" i="5"/>
  <c r="O36" i="5" s="1"/>
  <c r="N37" i="5"/>
  <c r="O37" i="5" s="1"/>
  <c r="N38" i="5"/>
  <c r="O38" i="5" s="1"/>
  <c r="N39" i="5"/>
  <c r="O39" i="5" s="1"/>
  <c r="N40" i="5"/>
  <c r="P40" i="5" s="1"/>
  <c r="N41" i="5"/>
  <c r="O41" i="5" s="1"/>
  <c r="N42" i="5"/>
  <c r="P42" i="5" s="1"/>
  <c r="N43" i="5"/>
  <c r="O43" i="5" s="1"/>
  <c r="N44" i="5"/>
  <c r="O44" i="5" s="1"/>
  <c r="N45" i="5"/>
  <c r="O45" i="5" s="1"/>
  <c r="N46" i="5"/>
  <c r="O46" i="5" s="1"/>
  <c r="N47" i="5"/>
  <c r="P47" i="5" s="1"/>
  <c r="N48" i="5"/>
  <c r="P48" i="5" s="1"/>
  <c r="N49" i="5"/>
  <c r="O49" i="5" s="1"/>
  <c r="N50" i="5"/>
  <c r="O50" i="5" s="1"/>
  <c r="N51" i="5"/>
  <c r="P51" i="5" s="1"/>
  <c r="N52" i="5"/>
  <c r="O52" i="5" s="1"/>
  <c r="N53" i="5"/>
  <c r="O53" i="5" s="1"/>
  <c r="N54" i="5"/>
  <c r="P54" i="5" s="1"/>
  <c r="N55" i="5"/>
  <c r="O55" i="5" s="1"/>
  <c r="N56" i="5"/>
  <c r="P56" i="5" s="1"/>
  <c r="N57" i="5"/>
  <c r="P57" i="5" s="1"/>
  <c r="N58" i="5"/>
  <c r="O58" i="5" s="1"/>
  <c r="N59" i="5"/>
  <c r="O59" i="5" s="1"/>
  <c r="N136" i="5"/>
  <c r="O136" i="5" s="1"/>
  <c r="N137" i="5"/>
  <c r="O137" i="5" s="1"/>
  <c r="N138" i="5"/>
  <c r="O138" i="5" s="1"/>
  <c r="N139" i="5"/>
  <c r="O139" i="5" s="1"/>
  <c r="N140" i="5"/>
  <c r="O140" i="5" s="1"/>
  <c r="N141" i="5"/>
  <c r="O141" i="5" s="1"/>
  <c r="N142" i="5"/>
  <c r="O142" i="5" s="1"/>
  <c r="N143" i="5"/>
  <c r="O143" i="5" s="1"/>
  <c r="N144" i="5"/>
  <c r="P144" i="5" s="1"/>
  <c r="N145" i="5"/>
  <c r="P145" i="5" s="1"/>
  <c r="N146" i="5"/>
  <c r="O146" i="5" s="1"/>
  <c r="N147" i="5"/>
  <c r="P147" i="5" s="1"/>
  <c r="N215" i="5"/>
  <c r="C217" i="6"/>
  <c r="K219" i="5"/>
  <c r="O255" i="7" s="1"/>
  <c r="N22" i="8" s="1"/>
  <c r="C256" i="7"/>
  <c r="C22" i="8" s="1"/>
  <c r="K220" i="5"/>
  <c r="O256" i="7" s="1"/>
  <c r="N23" i="8" s="1"/>
  <c r="J6" i="4"/>
  <c r="Z7" i="5" s="1"/>
  <c r="Z6" i="4"/>
  <c r="A7" i="4"/>
  <c r="A9" i="4"/>
  <c r="A8" i="6" s="1"/>
  <c r="A10" i="4"/>
  <c r="G22" i="4"/>
  <c r="F22" i="4" s="1"/>
  <c r="B2" i="2"/>
  <c r="B3" i="2"/>
  <c r="A1" i="7" s="1"/>
  <c r="J214" i="6" l="1"/>
  <c r="J7" i="15" s="1"/>
  <c r="I25" i="15" s="1"/>
  <c r="H5" i="20"/>
  <c r="A3" i="13"/>
  <c r="A1" i="4"/>
  <c r="H7" i="20"/>
  <c r="R169" i="7"/>
  <c r="V250" i="7"/>
  <c r="Q18" i="7"/>
  <c r="P250" i="7"/>
  <c r="J8" i="15" s="1"/>
  <c r="J26" i="15" s="1"/>
  <c r="O18" i="5"/>
  <c r="N214" i="5"/>
  <c r="T214" i="5"/>
  <c r="B9" i="12"/>
  <c r="Z10" i="5"/>
  <c r="P31" i="5"/>
  <c r="A3" i="10"/>
  <c r="A3" i="12"/>
  <c r="R182" i="7"/>
  <c r="R165" i="7"/>
  <c r="Q196" i="7"/>
  <c r="Q175" i="7"/>
  <c r="Q171" i="7"/>
  <c r="R167" i="7"/>
  <c r="R159" i="7"/>
  <c r="O149" i="5"/>
  <c r="P45" i="5"/>
  <c r="O42" i="5"/>
  <c r="P38" i="5"/>
  <c r="P26" i="5"/>
  <c r="Q172" i="7"/>
  <c r="R177" i="7"/>
  <c r="R173" i="7"/>
  <c r="R181" i="7"/>
  <c r="R161" i="7"/>
  <c r="R190" i="7"/>
  <c r="R160" i="7"/>
  <c r="R168" i="7"/>
  <c r="Q185" i="7"/>
  <c r="Q176" i="7"/>
  <c r="Q192" i="7"/>
  <c r="Q193" i="7"/>
  <c r="O19" i="5"/>
  <c r="O23" i="5"/>
  <c r="P43" i="5"/>
  <c r="C12" i="14"/>
  <c r="O156" i="5"/>
  <c r="P20" i="5"/>
  <c r="P148" i="5"/>
  <c r="O56" i="5"/>
  <c r="O144" i="5"/>
  <c r="P37" i="5"/>
  <c r="O27" i="5"/>
  <c r="P46" i="5"/>
  <c r="O152" i="5"/>
  <c r="P140" i="5"/>
  <c r="P44" i="5"/>
  <c r="P39" i="5"/>
  <c r="P162" i="5"/>
  <c r="O155" i="5"/>
  <c r="P153" i="5"/>
  <c r="I218" i="6"/>
  <c r="O51" i="5"/>
  <c r="A8" i="8"/>
  <c r="A8" i="10"/>
  <c r="A3" i="7"/>
  <c r="A3" i="8"/>
  <c r="C12" i="15"/>
  <c r="A3" i="6"/>
  <c r="P29" i="5"/>
  <c r="P21" i="5"/>
  <c r="E16" i="17"/>
  <c r="F16" i="18"/>
  <c r="C11" i="14"/>
  <c r="O47" i="5"/>
  <c r="P25" i="5"/>
  <c r="P50" i="5"/>
  <c r="R18" i="7"/>
  <c r="R170" i="7"/>
  <c r="A7" i="5"/>
  <c r="A7" i="9" s="1"/>
  <c r="E16" i="16"/>
  <c r="A8" i="11"/>
  <c r="A8" i="13"/>
  <c r="A3" i="9"/>
  <c r="A3" i="11"/>
  <c r="A3" i="5"/>
  <c r="A1" i="13"/>
  <c r="C15" i="19"/>
  <c r="A3" i="14"/>
  <c r="A64" i="14" s="1"/>
  <c r="A1" i="11"/>
  <c r="A2" i="15"/>
  <c r="C22" i="14"/>
  <c r="C40" i="15" s="1"/>
  <c r="B46" i="19" s="1"/>
  <c r="B32" i="13"/>
  <c r="C9" i="14"/>
  <c r="R19" i="7"/>
  <c r="A2" i="4"/>
  <c r="A1" i="10"/>
  <c r="A1" i="14"/>
  <c r="A62" i="14" s="1"/>
  <c r="R179" i="7"/>
  <c r="A8" i="7"/>
  <c r="I217" i="6"/>
  <c r="A8" i="9"/>
  <c r="P52" i="5"/>
  <c r="A1" i="9"/>
  <c r="A1" i="12"/>
  <c r="AG7" i="19"/>
  <c r="AG8" i="19" s="1"/>
  <c r="P150" i="5"/>
  <c r="C255" i="7"/>
  <c r="C21" i="8" s="1"/>
  <c r="O40" i="5"/>
  <c r="O32" i="5"/>
  <c r="R174" i="7"/>
  <c r="A1" i="19"/>
  <c r="P138" i="5"/>
  <c r="C218" i="6"/>
  <c r="O35" i="5"/>
  <c r="O24" i="5"/>
  <c r="P18" i="5"/>
  <c r="R166" i="7"/>
  <c r="A1" i="8"/>
  <c r="P141" i="5"/>
  <c r="O34" i="5"/>
  <c r="P136" i="5"/>
  <c r="A8" i="5"/>
  <c r="AG9" i="19"/>
  <c r="O159" i="5"/>
  <c r="P158" i="5"/>
  <c r="O54" i="5"/>
  <c r="R199" i="7"/>
  <c r="Q201" i="7"/>
  <c r="R195" i="7"/>
  <c r="Q188" i="7"/>
  <c r="R187" i="7"/>
  <c r="R184" i="7"/>
  <c r="Q183" i="7"/>
  <c r="Q180" i="7"/>
  <c r="R191" i="7"/>
  <c r="R186" i="7"/>
  <c r="R194" i="7"/>
  <c r="Q189" i="7"/>
  <c r="R198" i="7"/>
  <c r="R200" i="7"/>
  <c r="Q197" i="7"/>
  <c r="R164" i="7"/>
  <c r="Q163" i="7"/>
  <c r="R162" i="7"/>
  <c r="P163" i="5"/>
  <c r="P161" i="5"/>
  <c r="P160" i="5"/>
  <c r="P157" i="5"/>
  <c r="P154" i="5"/>
  <c r="P151" i="5"/>
  <c r="O147" i="5"/>
  <c r="P146" i="5"/>
  <c r="O145" i="5"/>
  <c r="P143" i="5"/>
  <c r="P142" i="5"/>
  <c r="P139" i="5"/>
  <c r="P137" i="5"/>
  <c r="O57" i="5"/>
  <c r="P59" i="5"/>
  <c r="P58" i="5"/>
  <c r="P55" i="5"/>
  <c r="P53" i="5"/>
  <c r="P49" i="5"/>
  <c r="O48" i="5"/>
  <c r="P41" i="5"/>
  <c r="P36" i="5"/>
  <c r="O33" i="5"/>
  <c r="P30" i="5"/>
  <c r="P28" i="5"/>
  <c r="P22" i="5"/>
  <c r="R250" i="7" l="1"/>
  <c r="D17" i="9" s="1"/>
  <c r="P214" i="5"/>
  <c r="D15" i="9" s="1"/>
  <c r="A7" i="11"/>
  <c r="A7" i="10"/>
  <c r="B7" i="14"/>
  <c r="A7" i="8"/>
  <c r="A7" i="13"/>
  <c r="A7" i="6"/>
  <c r="A7" i="7"/>
  <c r="B40" i="19"/>
  <c r="B8" i="14"/>
  <c r="A7" i="12"/>
  <c r="I16" i="15"/>
  <c r="D17" i="11"/>
  <c r="E17" i="13" s="1"/>
  <c r="D19" i="11"/>
  <c r="E19" i="13" s="1"/>
  <c r="J16" i="15"/>
  <c r="N216" i="5"/>
  <c r="J6" i="15"/>
  <c r="D15" i="11"/>
  <c r="E15" i="13" s="1"/>
  <c r="D19" i="9" l="1"/>
  <c r="D23" i="11" s="1"/>
  <c r="D28" i="11" s="1"/>
  <c r="H16" i="15"/>
  <c r="J9" i="15"/>
  <c r="J15" i="15" s="1"/>
  <c r="H24" i="15"/>
  <c r="J31" i="15" l="1"/>
  <c r="J32" i="15" s="1"/>
  <c r="J35" i="15"/>
  <c r="J36" i="15" s="1"/>
  <c r="H15" i="15"/>
  <c r="H31" i="15" s="1"/>
  <c r="H32" i="15" s="1"/>
  <c r="I15" i="15"/>
  <c r="S68" i="7" l="1"/>
  <c r="T68" i="7" s="1"/>
  <c r="U68" i="7" s="1"/>
  <c r="S64" i="7"/>
  <c r="T64" i="7" s="1"/>
  <c r="U64" i="7" s="1"/>
  <c r="S60" i="7"/>
  <c r="T60" i="7" s="1"/>
  <c r="U60" i="7" s="1"/>
  <c r="S56" i="7"/>
  <c r="T56" i="7" s="1"/>
  <c r="U56" i="7" s="1"/>
  <c r="S52" i="7"/>
  <c r="T52" i="7" s="1"/>
  <c r="U52" i="7" s="1"/>
  <c r="S48" i="7"/>
  <c r="T48" i="7" s="1"/>
  <c r="U48" i="7" s="1"/>
  <c r="S44" i="7"/>
  <c r="T44" i="7" s="1"/>
  <c r="U44" i="7" s="1"/>
  <c r="S40" i="7"/>
  <c r="T40" i="7" s="1"/>
  <c r="U40" i="7" s="1"/>
  <c r="S36" i="7"/>
  <c r="T36" i="7" s="1"/>
  <c r="U36" i="7" s="1"/>
  <c r="S32" i="7"/>
  <c r="T32" i="7" s="1"/>
  <c r="U32" i="7" s="1"/>
  <c r="S28" i="7"/>
  <c r="T28" i="7" s="1"/>
  <c r="U28" i="7" s="1"/>
  <c r="S24" i="7"/>
  <c r="T24" i="7" s="1"/>
  <c r="U24" i="7" s="1"/>
  <c r="S20" i="7"/>
  <c r="T20" i="7" s="1"/>
  <c r="U20" i="7" s="1"/>
  <c r="S51" i="7"/>
  <c r="T51" i="7" s="1"/>
  <c r="U51" i="7" s="1"/>
  <c r="S35" i="7"/>
  <c r="T35" i="7" s="1"/>
  <c r="U35" i="7" s="1"/>
  <c r="S69" i="7"/>
  <c r="T69" i="7" s="1"/>
  <c r="U69" i="7" s="1"/>
  <c r="S65" i="7"/>
  <c r="T65" i="7" s="1"/>
  <c r="U65" i="7" s="1"/>
  <c r="S61" i="7"/>
  <c r="T61" i="7" s="1"/>
  <c r="U61" i="7" s="1"/>
  <c r="S57" i="7"/>
  <c r="T57" i="7" s="1"/>
  <c r="U57" i="7" s="1"/>
  <c r="S53" i="7"/>
  <c r="T53" i="7" s="1"/>
  <c r="U53" i="7" s="1"/>
  <c r="S49" i="7"/>
  <c r="T49" i="7" s="1"/>
  <c r="U49" i="7" s="1"/>
  <c r="S45" i="7"/>
  <c r="T45" i="7" s="1"/>
  <c r="U45" i="7" s="1"/>
  <c r="S41" i="7"/>
  <c r="T41" i="7" s="1"/>
  <c r="U41" i="7" s="1"/>
  <c r="S37" i="7"/>
  <c r="T37" i="7" s="1"/>
  <c r="U37" i="7" s="1"/>
  <c r="S33" i="7"/>
  <c r="T33" i="7" s="1"/>
  <c r="U33" i="7" s="1"/>
  <c r="S29" i="7"/>
  <c r="T29" i="7" s="1"/>
  <c r="U29" i="7" s="1"/>
  <c r="S25" i="7"/>
  <c r="T25" i="7" s="1"/>
  <c r="U25" i="7" s="1"/>
  <c r="S21" i="7"/>
  <c r="T21" i="7" s="1"/>
  <c r="U21" i="7" s="1"/>
  <c r="S39" i="7"/>
  <c r="T39" i="7" s="1"/>
  <c r="U39" i="7" s="1"/>
  <c r="S70" i="7"/>
  <c r="T70" i="7" s="1"/>
  <c r="U70" i="7" s="1"/>
  <c r="S66" i="7"/>
  <c r="T66" i="7" s="1"/>
  <c r="U66" i="7" s="1"/>
  <c r="S62" i="7"/>
  <c r="T62" i="7" s="1"/>
  <c r="U62" i="7" s="1"/>
  <c r="S58" i="7"/>
  <c r="T58" i="7" s="1"/>
  <c r="U58" i="7" s="1"/>
  <c r="S54" i="7"/>
  <c r="T54" i="7" s="1"/>
  <c r="U54" i="7" s="1"/>
  <c r="S50" i="7"/>
  <c r="T50" i="7" s="1"/>
  <c r="U50" i="7" s="1"/>
  <c r="S46" i="7"/>
  <c r="T46" i="7" s="1"/>
  <c r="U46" i="7" s="1"/>
  <c r="S42" i="7"/>
  <c r="T42" i="7" s="1"/>
  <c r="U42" i="7" s="1"/>
  <c r="S38" i="7"/>
  <c r="T38" i="7" s="1"/>
  <c r="U38" i="7" s="1"/>
  <c r="S34" i="7"/>
  <c r="T34" i="7" s="1"/>
  <c r="U34" i="7" s="1"/>
  <c r="S30" i="7"/>
  <c r="T30" i="7" s="1"/>
  <c r="U30" i="7" s="1"/>
  <c r="S26" i="7"/>
  <c r="T26" i="7" s="1"/>
  <c r="U26" i="7" s="1"/>
  <c r="S22" i="7"/>
  <c r="T22" i="7" s="1"/>
  <c r="U22" i="7" s="1"/>
  <c r="S71" i="7"/>
  <c r="T71" i="7" s="1"/>
  <c r="U71" i="7" s="1"/>
  <c r="S67" i="7"/>
  <c r="T67" i="7" s="1"/>
  <c r="U67" i="7" s="1"/>
  <c r="S63" i="7"/>
  <c r="T63" i="7" s="1"/>
  <c r="U63" i="7" s="1"/>
  <c r="S59" i="7"/>
  <c r="T59" i="7" s="1"/>
  <c r="U59" i="7" s="1"/>
  <c r="S55" i="7"/>
  <c r="T55" i="7" s="1"/>
  <c r="U55" i="7" s="1"/>
  <c r="S47" i="7"/>
  <c r="T47" i="7" s="1"/>
  <c r="U47" i="7" s="1"/>
  <c r="S43" i="7"/>
  <c r="T43" i="7" s="1"/>
  <c r="U43" i="7" s="1"/>
  <c r="S31" i="7"/>
  <c r="T31" i="7" s="1"/>
  <c r="U31" i="7" s="1"/>
  <c r="S27" i="7"/>
  <c r="T27" i="7" s="1"/>
  <c r="U27" i="7" s="1"/>
  <c r="S23" i="7"/>
  <c r="T23" i="7" s="1"/>
  <c r="U23" i="7" s="1"/>
  <c r="S155" i="7"/>
  <c r="T155" i="7" s="1"/>
  <c r="U155" i="7" s="1"/>
  <c r="S151" i="7"/>
  <c r="T151" i="7" s="1"/>
  <c r="U151" i="7" s="1"/>
  <c r="S147" i="7"/>
  <c r="T147" i="7" s="1"/>
  <c r="U147" i="7" s="1"/>
  <c r="S143" i="7"/>
  <c r="T143" i="7" s="1"/>
  <c r="U143" i="7" s="1"/>
  <c r="S139" i="7"/>
  <c r="T139" i="7" s="1"/>
  <c r="U139" i="7" s="1"/>
  <c r="S135" i="7"/>
  <c r="T135" i="7" s="1"/>
  <c r="U135" i="7" s="1"/>
  <c r="S131" i="7"/>
  <c r="T131" i="7" s="1"/>
  <c r="U131" i="7" s="1"/>
  <c r="S156" i="7"/>
  <c r="T156" i="7" s="1"/>
  <c r="U156" i="7" s="1"/>
  <c r="S152" i="7"/>
  <c r="T152" i="7" s="1"/>
  <c r="U152" i="7" s="1"/>
  <c r="S148" i="7"/>
  <c r="T148" i="7" s="1"/>
  <c r="U148" i="7" s="1"/>
  <c r="S144" i="7"/>
  <c r="T144" i="7" s="1"/>
  <c r="U144" i="7" s="1"/>
  <c r="S140" i="7"/>
  <c r="T140" i="7" s="1"/>
  <c r="U140" i="7" s="1"/>
  <c r="S136" i="7"/>
  <c r="T136" i="7" s="1"/>
  <c r="U136" i="7" s="1"/>
  <c r="S132" i="7"/>
  <c r="T132" i="7" s="1"/>
  <c r="U132" i="7" s="1"/>
  <c r="S128" i="7"/>
  <c r="T128" i="7" s="1"/>
  <c r="U128" i="7" s="1"/>
  <c r="S157" i="7"/>
  <c r="T157" i="7" s="1"/>
  <c r="U157" i="7" s="1"/>
  <c r="S153" i="7"/>
  <c r="T153" i="7" s="1"/>
  <c r="U153" i="7" s="1"/>
  <c r="S149" i="7"/>
  <c r="T149" i="7" s="1"/>
  <c r="U149" i="7" s="1"/>
  <c r="S145" i="7"/>
  <c r="T145" i="7" s="1"/>
  <c r="U145" i="7" s="1"/>
  <c r="S141" i="7"/>
  <c r="T141" i="7" s="1"/>
  <c r="U141" i="7" s="1"/>
  <c r="S137" i="7"/>
  <c r="T137" i="7" s="1"/>
  <c r="U137" i="7" s="1"/>
  <c r="S133" i="7"/>
  <c r="T133" i="7" s="1"/>
  <c r="U133" i="7" s="1"/>
  <c r="S129" i="7"/>
  <c r="T129" i="7" s="1"/>
  <c r="U129" i="7" s="1"/>
  <c r="S125" i="7"/>
  <c r="T125" i="7" s="1"/>
  <c r="U125" i="7" s="1"/>
  <c r="S121" i="7"/>
  <c r="T121" i="7" s="1"/>
  <c r="U121" i="7" s="1"/>
  <c r="S117" i="7"/>
  <c r="T117" i="7" s="1"/>
  <c r="U117" i="7" s="1"/>
  <c r="S113" i="7"/>
  <c r="T113" i="7" s="1"/>
  <c r="U113" i="7" s="1"/>
  <c r="S109" i="7"/>
  <c r="T109" i="7" s="1"/>
  <c r="U109" i="7" s="1"/>
  <c r="S105" i="7"/>
  <c r="T105" i="7" s="1"/>
  <c r="U105" i="7" s="1"/>
  <c r="S103" i="7"/>
  <c r="T103" i="7" s="1"/>
  <c r="U103" i="7" s="1"/>
  <c r="S154" i="7"/>
  <c r="T154" i="7" s="1"/>
  <c r="U154" i="7" s="1"/>
  <c r="S138" i="7"/>
  <c r="T138" i="7" s="1"/>
  <c r="U138" i="7" s="1"/>
  <c r="S126" i="7"/>
  <c r="T126" i="7" s="1"/>
  <c r="U126" i="7" s="1"/>
  <c r="S120" i="7"/>
  <c r="T120" i="7" s="1"/>
  <c r="U120" i="7" s="1"/>
  <c r="S115" i="7"/>
  <c r="T115" i="7" s="1"/>
  <c r="U115" i="7" s="1"/>
  <c r="S110" i="7"/>
  <c r="T110" i="7" s="1"/>
  <c r="U110" i="7" s="1"/>
  <c r="S104" i="7"/>
  <c r="T104" i="7" s="1"/>
  <c r="U104" i="7" s="1"/>
  <c r="S100" i="7"/>
  <c r="T100" i="7" s="1"/>
  <c r="U100" i="7" s="1"/>
  <c r="S96" i="7"/>
  <c r="T96" i="7" s="1"/>
  <c r="U96" i="7" s="1"/>
  <c r="S92" i="7"/>
  <c r="T92" i="7" s="1"/>
  <c r="U92" i="7" s="1"/>
  <c r="S88" i="7"/>
  <c r="T88" i="7" s="1"/>
  <c r="U88" i="7" s="1"/>
  <c r="S84" i="7"/>
  <c r="T84" i="7" s="1"/>
  <c r="U84" i="7" s="1"/>
  <c r="S80" i="7"/>
  <c r="T80" i="7" s="1"/>
  <c r="U80" i="7" s="1"/>
  <c r="S76" i="7"/>
  <c r="T76" i="7" s="1"/>
  <c r="U76" i="7" s="1"/>
  <c r="S72" i="7"/>
  <c r="T72" i="7" s="1"/>
  <c r="U72" i="7" s="1"/>
  <c r="S146" i="7"/>
  <c r="T146" i="7" s="1"/>
  <c r="U146" i="7" s="1"/>
  <c r="S130" i="7"/>
  <c r="T130" i="7" s="1"/>
  <c r="U130" i="7" s="1"/>
  <c r="S123" i="7"/>
  <c r="T123" i="7" s="1"/>
  <c r="U123" i="7" s="1"/>
  <c r="S118" i="7"/>
  <c r="T118" i="7" s="1"/>
  <c r="U118" i="7" s="1"/>
  <c r="S112" i="7"/>
  <c r="T112" i="7" s="1"/>
  <c r="U112" i="7" s="1"/>
  <c r="S107" i="7"/>
  <c r="T107" i="7" s="1"/>
  <c r="U107" i="7" s="1"/>
  <c r="S158" i="7"/>
  <c r="T158" i="7" s="1"/>
  <c r="U158" i="7" s="1"/>
  <c r="S142" i="7"/>
  <c r="T142" i="7" s="1"/>
  <c r="U142" i="7" s="1"/>
  <c r="S124" i="7"/>
  <c r="T124" i="7" s="1"/>
  <c r="U124" i="7" s="1"/>
  <c r="S119" i="7"/>
  <c r="T119" i="7" s="1"/>
  <c r="U119" i="7" s="1"/>
  <c r="S114" i="7"/>
  <c r="T114" i="7" s="1"/>
  <c r="U114" i="7" s="1"/>
  <c r="S108" i="7"/>
  <c r="T108" i="7" s="1"/>
  <c r="U108" i="7" s="1"/>
  <c r="S102" i="7"/>
  <c r="T102" i="7" s="1"/>
  <c r="U102" i="7" s="1"/>
  <c r="S97" i="7"/>
  <c r="T97" i="7" s="1"/>
  <c r="U97" i="7" s="1"/>
  <c r="S93" i="7"/>
  <c r="T93" i="7" s="1"/>
  <c r="U93" i="7" s="1"/>
  <c r="S89" i="7"/>
  <c r="T89" i="7" s="1"/>
  <c r="U89" i="7" s="1"/>
  <c r="S85" i="7"/>
  <c r="T85" i="7" s="1"/>
  <c r="U85" i="7" s="1"/>
  <c r="S81" i="7"/>
  <c r="T81" i="7" s="1"/>
  <c r="U81" i="7" s="1"/>
  <c r="S77" i="7"/>
  <c r="T77" i="7" s="1"/>
  <c r="U77" i="7" s="1"/>
  <c r="S73" i="7"/>
  <c r="T73" i="7" s="1"/>
  <c r="U73" i="7" s="1"/>
  <c r="S150" i="7"/>
  <c r="T150" i="7" s="1"/>
  <c r="U150" i="7" s="1"/>
  <c r="S127" i="7"/>
  <c r="T127" i="7" s="1"/>
  <c r="U127" i="7" s="1"/>
  <c r="S116" i="7"/>
  <c r="T116" i="7" s="1"/>
  <c r="U116" i="7" s="1"/>
  <c r="S106" i="7"/>
  <c r="T106" i="7" s="1"/>
  <c r="U106" i="7" s="1"/>
  <c r="S98" i="7"/>
  <c r="T98" i="7" s="1"/>
  <c r="U98" i="7" s="1"/>
  <c r="S95" i="7"/>
  <c r="T95" i="7" s="1"/>
  <c r="U95" i="7" s="1"/>
  <c r="S82" i="7"/>
  <c r="T82" i="7" s="1"/>
  <c r="U82" i="7" s="1"/>
  <c r="S79" i="7"/>
  <c r="T79" i="7" s="1"/>
  <c r="U79" i="7" s="1"/>
  <c r="S111" i="7"/>
  <c r="T111" i="7" s="1"/>
  <c r="U111" i="7" s="1"/>
  <c r="S99" i="7"/>
  <c r="T99" i="7" s="1"/>
  <c r="U99" i="7" s="1"/>
  <c r="S86" i="7"/>
  <c r="T86" i="7" s="1"/>
  <c r="U86" i="7" s="1"/>
  <c r="S83" i="7"/>
  <c r="T83" i="7" s="1"/>
  <c r="U83" i="7" s="1"/>
  <c r="S90" i="7"/>
  <c r="T90" i="7" s="1"/>
  <c r="U90" i="7" s="1"/>
  <c r="S87" i="7"/>
  <c r="T87" i="7" s="1"/>
  <c r="U87" i="7" s="1"/>
  <c r="S74" i="7"/>
  <c r="T74" i="7" s="1"/>
  <c r="U74" i="7" s="1"/>
  <c r="S134" i="7"/>
  <c r="T134" i="7" s="1"/>
  <c r="U134" i="7" s="1"/>
  <c r="S122" i="7"/>
  <c r="T122" i="7" s="1"/>
  <c r="U122" i="7" s="1"/>
  <c r="S101" i="7"/>
  <c r="T101" i="7" s="1"/>
  <c r="U101" i="7" s="1"/>
  <c r="S94" i="7"/>
  <c r="T94" i="7" s="1"/>
  <c r="U94" i="7" s="1"/>
  <c r="S91" i="7"/>
  <c r="T91" i="7" s="1"/>
  <c r="U91" i="7" s="1"/>
  <c r="S78" i="7"/>
  <c r="T78" i="7" s="1"/>
  <c r="U78" i="7" s="1"/>
  <c r="S75" i="7"/>
  <c r="T75" i="7" s="1"/>
  <c r="U75" i="7" s="1"/>
  <c r="S178" i="7"/>
  <c r="T178" i="7" s="1"/>
  <c r="U178" i="7" s="1"/>
  <c r="S243" i="7"/>
  <c r="T243" i="7" s="1"/>
  <c r="U243" i="7" s="1"/>
  <c r="S239" i="7"/>
  <c r="T239" i="7" s="1"/>
  <c r="U239" i="7" s="1"/>
  <c r="S244" i="7"/>
  <c r="T244" i="7" s="1"/>
  <c r="U244" i="7" s="1"/>
  <c r="S240" i="7"/>
  <c r="T240" i="7" s="1"/>
  <c r="U240" i="7" s="1"/>
  <c r="S238" i="7"/>
  <c r="T238" i="7" s="1"/>
  <c r="U238" i="7" s="1"/>
  <c r="S245" i="7"/>
  <c r="T245" i="7" s="1"/>
  <c r="U245" i="7" s="1"/>
  <c r="S241" i="7"/>
  <c r="T241" i="7" s="1"/>
  <c r="U241" i="7" s="1"/>
  <c r="S237" i="7"/>
  <c r="T237" i="7" s="1"/>
  <c r="U237" i="7" s="1"/>
  <c r="S242" i="7"/>
  <c r="T242" i="7" s="1"/>
  <c r="U242" i="7" s="1"/>
  <c r="S246" i="7"/>
  <c r="T246" i="7" s="1"/>
  <c r="U246" i="7" s="1"/>
  <c r="S207" i="7"/>
  <c r="T207" i="7" s="1"/>
  <c r="U207" i="7" s="1"/>
  <c r="S208" i="7"/>
  <c r="T208" i="7" s="1"/>
  <c r="U208" i="7" s="1"/>
  <c r="S209" i="7"/>
  <c r="T209" i="7" s="1"/>
  <c r="U209" i="7" s="1"/>
  <c r="S206" i="7"/>
  <c r="T206" i="7" s="1"/>
  <c r="U206" i="7" s="1"/>
  <c r="S225" i="7"/>
  <c r="T225" i="7" s="1"/>
  <c r="U225" i="7" s="1"/>
  <c r="S221" i="7"/>
  <c r="T221" i="7" s="1"/>
  <c r="U221" i="7" s="1"/>
  <c r="S217" i="7"/>
  <c r="T217" i="7" s="1"/>
  <c r="U217" i="7" s="1"/>
  <c r="S214" i="7"/>
  <c r="T214" i="7" s="1"/>
  <c r="U214" i="7" s="1"/>
  <c r="S226" i="7"/>
  <c r="T226" i="7" s="1"/>
  <c r="U226" i="7" s="1"/>
  <c r="S222" i="7"/>
  <c r="T222" i="7" s="1"/>
  <c r="U222" i="7" s="1"/>
  <c r="S218" i="7"/>
  <c r="T218" i="7" s="1"/>
  <c r="U218" i="7" s="1"/>
  <c r="S220" i="7"/>
  <c r="T220" i="7" s="1"/>
  <c r="U220" i="7" s="1"/>
  <c r="S216" i="7"/>
  <c r="T216" i="7" s="1"/>
  <c r="U216" i="7" s="1"/>
  <c r="S227" i="7"/>
  <c r="T227" i="7" s="1"/>
  <c r="U227" i="7" s="1"/>
  <c r="S223" i="7"/>
  <c r="T223" i="7" s="1"/>
  <c r="U223" i="7" s="1"/>
  <c r="S219" i="7"/>
  <c r="T219" i="7" s="1"/>
  <c r="U219" i="7" s="1"/>
  <c r="S215" i="7"/>
  <c r="T215" i="7" s="1"/>
  <c r="U215" i="7" s="1"/>
  <c r="S228" i="7"/>
  <c r="T228" i="7" s="1"/>
  <c r="U228" i="7" s="1"/>
  <c r="S224" i="7"/>
  <c r="T224" i="7" s="1"/>
  <c r="U224" i="7" s="1"/>
  <c r="S235" i="7"/>
  <c r="T235" i="7" s="1"/>
  <c r="U235" i="7" s="1"/>
  <c r="S212" i="7"/>
  <c r="T212" i="7" s="1"/>
  <c r="U212" i="7" s="1"/>
  <c r="S234" i="7"/>
  <c r="T234" i="7" s="1"/>
  <c r="U234" i="7" s="1"/>
  <c r="S233" i="7"/>
  <c r="T233" i="7" s="1"/>
  <c r="U233" i="7" s="1"/>
  <c r="S232" i="7"/>
  <c r="T232" i="7" s="1"/>
  <c r="U232" i="7" s="1"/>
  <c r="S211" i="7"/>
  <c r="T211" i="7" s="1"/>
  <c r="U211" i="7" s="1"/>
  <c r="S210" i="7"/>
  <c r="T210" i="7" s="1"/>
  <c r="U210" i="7" s="1"/>
  <c r="S205" i="7"/>
  <c r="T205" i="7" s="1"/>
  <c r="U205" i="7" s="1"/>
  <c r="S249" i="7"/>
  <c r="T249" i="7" s="1"/>
  <c r="U249" i="7" s="1"/>
  <c r="S247" i="7"/>
  <c r="T247" i="7" s="1"/>
  <c r="U247" i="7" s="1"/>
  <c r="S236" i="7"/>
  <c r="T236" i="7" s="1"/>
  <c r="U236" i="7" s="1"/>
  <c r="S203" i="7"/>
  <c r="T203" i="7" s="1"/>
  <c r="U203" i="7" s="1"/>
  <c r="S202" i="7"/>
  <c r="T202" i="7" s="1"/>
  <c r="U202" i="7" s="1"/>
  <c r="S231" i="7"/>
  <c r="T231" i="7" s="1"/>
  <c r="U231" i="7" s="1"/>
  <c r="S204" i="7"/>
  <c r="T204" i="7" s="1"/>
  <c r="U204" i="7" s="1"/>
  <c r="S248" i="7"/>
  <c r="T248" i="7" s="1"/>
  <c r="U248" i="7" s="1"/>
  <c r="S230" i="7"/>
  <c r="T230" i="7" s="1"/>
  <c r="U230" i="7" s="1"/>
  <c r="S229" i="7"/>
  <c r="T229" i="7" s="1"/>
  <c r="U229" i="7" s="1"/>
  <c r="S213" i="7"/>
  <c r="T213" i="7" s="1"/>
  <c r="U213" i="7" s="1"/>
  <c r="S171" i="7"/>
  <c r="T171" i="7" s="1"/>
  <c r="U171" i="7" s="1"/>
  <c r="S179" i="7"/>
  <c r="T179" i="7" s="1"/>
  <c r="U179" i="7" s="1"/>
  <c r="F19" i="13"/>
  <c r="D19" i="13" s="1"/>
  <c r="S159" i="7"/>
  <c r="T159" i="7" s="1"/>
  <c r="U159" i="7" s="1"/>
  <c r="S19" i="7"/>
  <c r="T19" i="7" s="1"/>
  <c r="U19" i="7" s="1"/>
  <c r="S176" i="7"/>
  <c r="T176" i="7" s="1"/>
  <c r="U176" i="7" s="1"/>
  <c r="S161" i="7"/>
  <c r="T161" i="7" s="1"/>
  <c r="U161" i="7" s="1"/>
  <c r="S166" i="7"/>
  <c r="T166" i="7" s="1"/>
  <c r="U166" i="7" s="1"/>
  <c r="S192" i="7"/>
  <c r="T192" i="7" s="1"/>
  <c r="U192" i="7" s="1"/>
  <c r="S184" i="7"/>
  <c r="T184" i="7" s="1"/>
  <c r="U184" i="7" s="1"/>
  <c r="S183" i="7"/>
  <c r="T183" i="7" s="1"/>
  <c r="U183" i="7" s="1"/>
  <c r="S199" i="7"/>
  <c r="T199" i="7" s="1"/>
  <c r="U199" i="7" s="1"/>
  <c r="S180" i="7"/>
  <c r="T180" i="7" s="1"/>
  <c r="U180" i="7" s="1"/>
  <c r="S168" i="7"/>
  <c r="T168" i="7" s="1"/>
  <c r="U168" i="7" s="1"/>
  <c r="S185" i="7"/>
  <c r="T185" i="7" s="1"/>
  <c r="U185" i="7" s="1"/>
  <c r="S172" i="7"/>
  <c r="T172" i="7" s="1"/>
  <c r="U172" i="7" s="1"/>
  <c r="S162" i="7"/>
  <c r="T162" i="7" s="1"/>
  <c r="U162" i="7" s="1"/>
  <c r="S186" i="7"/>
  <c r="T186" i="7" s="1"/>
  <c r="U186" i="7" s="1"/>
  <c r="S169" i="7"/>
  <c r="T169" i="7" s="1"/>
  <c r="U169" i="7" s="1"/>
  <c r="S173" i="7"/>
  <c r="T173" i="7" s="1"/>
  <c r="U173" i="7" s="1"/>
  <c r="S177" i="7"/>
  <c r="T177" i="7" s="1"/>
  <c r="U177" i="7" s="1"/>
  <c r="S196" i="7"/>
  <c r="T196" i="7" s="1"/>
  <c r="U196" i="7" s="1"/>
  <c r="S190" i="7"/>
  <c r="T190" i="7" s="1"/>
  <c r="U190" i="7" s="1"/>
  <c r="S167" i="7"/>
  <c r="T167" i="7" s="1"/>
  <c r="U167" i="7" s="1"/>
  <c r="S163" i="7"/>
  <c r="T163" i="7" s="1"/>
  <c r="U163" i="7" s="1"/>
  <c r="S189" i="7"/>
  <c r="T189" i="7" s="1"/>
  <c r="U189" i="7" s="1"/>
  <c r="S195" i="7"/>
  <c r="T195" i="7" s="1"/>
  <c r="U195" i="7" s="1"/>
  <c r="S170" i="7"/>
  <c r="T170" i="7" s="1"/>
  <c r="U170" i="7" s="1"/>
  <c r="S175" i="7"/>
  <c r="T175" i="7" s="1"/>
  <c r="U175" i="7" s="1"/>
  <c r="S198" i="7"/>
  <c r="T198" i="7" s="1"/>
  <c r="U198" i="7" s="1"/>
  <c r="S188" i="7"/>
  <c r="T188" i="7" s="1"/>
  <c r="U188" i="7" s="1"/>
  <c r="S193" i="7"/>
  <c r="T193" i="7" s="1"/>
  <c r="U193" i="7" s="1"/>
  <c r="S174" i="7"/>
  <c r="T174" i="7" s="1"/>
  <c r="U174" i="7" s="1"/>
  <c r="S18" i="7"/>
  <c r="T18" i="7" s="1"/>
  <c r="U18" i="7" s="1"/>
  <c r="S191" i="7"/>
  <c r="T191" i="7" s="1"/>
  <c r="U191" i="7" s="1"/>
  <c r="S181" i="7"/>
  <c r="T181" i="7" s="1"/>
  <c r="U181" i="7" s="1"/>
  <c r="S194" i="7"/>
  <c r="T194" i="7" s="1"/>
  <c r="U194" i="7" s="1"/>
  <c r="S160" i="7"/>
  <c r="T160" i="7" s="1"/>
  <c r="U160" i="7" s="1"/>
  <c r="S182" i="7"/>
  <c r="T182" i="7" s="1"/>
  <c r="U182" i="7" s="1"/>
  <c r="S187" i="7"/>
  <c r="T187" i="7" s="1"/>
  <c r="U187" i="7" s="1"/>
  <c r="S164" i="7"/>
  <c r="T164" i="7" s="1"/>
  <c r="U164" i="7" s="1"/>
  <c r="S200" i="7"/>
  <c r="T200" i="7" s="1"/>
  <c r="U200" i="7" s="1"/>
  <c r="S197" i="7"/>
  <c r="T197" i="7" s="1"/>
  <c r="U197" i="7" s="1"/>
  <c r="S165" i="7"/>
  <c r="T165" i="7" s="1"/>
  <c r="U165" i="7" s="1"/>
  <c r="S201" i="7"/>
  <c r="T201" i="7" s="1"/>
  <c r="U201" i="7" s="1"/>
  <c r="I35" i="15"/>
  <c r="I36" i="15" s="1"/>
  <c r="F17" i="13" s="1"/>
  <c r="D17" i="13" s="1"/>
  <c r="I31" i="15"/>
  <c r="I32" i="15" s="1"/>
  <c r="H35" i="15"/>
  <c r="H36" i="15" s="1"/>
  <c r="Q205" i="5" l="1"/>
  <c r="R205" i="5" s="1"/>
  <c r="S205" i="5" s="1"/>
  <c r="Q206" i="5"/>
  <c r="R206" i="5" s="1"/>
  <c r="S206" i="5" s="1"/>
  <c r="Q202" i="5"/>
  <c r="R202" i="5" s="1"/>
  <c r="S202" i="5" s="1"/>
  <c r="Q203" i="5"/>
  <c r="R203" i="5" s="1"/>
  <c r="S203" i="5" s="1"/>
  <c r="Q204" i="5"/>
  <c r="R204" i="5" s="1"/>
  <c r="S204" i="5" s="1"/>
  <c r="Q132" i="5"/>
  <c r="R132" i="5" s="1"/>
  <c r="S132" i="5" s="1"/>
  <c r="Q128" i="5"/>
  <c r="R128" i="5" s="1"/>
  <c r="S128" i="5" s="1"/>
  <c r="Q124" i="5"/>
  <c r="R124" i="5" s="1"/>
  <c r="S124" i="5" s="1"/>
  <c r="Q120" i="5"/>
  <c r="R120" i="5" s="1"/>
  <c r="S120" i="5" s="1"/>
  <c r="Q116" i="5"/>
  <c r="R116" i="5" s="1"/>
  <c r="S116" i="5" s="1"/>
  <c r="Q112" i="5"/>
  <c r="R112" i="5" s="1"/>
  <c r="S112" i="5" s="1"/>
  <c r="Q108" i="5"/>
  <c r="R108" i="5" s="1"/>
  <c r="S108" i="5" s="1"/>
  <c r="Q104" i="5"/>
  <c r="R104" i="5" s="1"/>
  <c r="S104" i="5" s="1"/>
  <c r="Q100" i="5"/>
  <c r="R100" i="5" s="1"/>
  <c r="S100" i="5" s="1"/>
  <c r="Q96" i="5"/>
  <c r="R96" i="5" s="1"/>
  <c r="S96" i="5" s="1"/>
  <c r="Q92" i="5"/>
  <c r="R92" i="5" s="1"/>
  <c r="S92" i="5" s="1"/>
  <c r="Q88" i="5"/>
  <c r="R88" i="5" s="1"/>
  <c r="S88" i="5" s="1"/>
  <c r="Q84" i="5"/>
  <c r="R84" i="5" s="1"/>
  <c r="S84" i="5" s="1"/>
  <c r="Q133" i="5"/>
  <c r="R133" i="5" s="1"/>
  <c r="S133" i="5" s="1"/>
  <c r="Q129" i="5"/>
  <c r="R129" i="5" s="1"/>
  <c r="S129" i="5" s="1"/>
  <c r="Q125" i="5"/>
  <c r="R125" i="5" s="1"/>
  <c r="S125" i="5" s="1"/>
  <c r="Q121" i="5"/>
  <c r="R121" i="5" s="1"/>
  <c r="S121" i="5" s="1"/>
  <c r="Q117" i="5"/>
  <c r="R117" i="5" s="1"/>
  <c r="S117" i="5" s="1"/>
  <c r="Q113" i="5"/>
  <c r="R113" i="5" s="1"/>
  <c r="S113" i="5" s="1"/>
  <c r="Q109" i="5"/>
  <c r="R109" i="5" s="1"/>
  <c r="S109" i="5" s="1"/>
  <c r="Q105" i="5"/>
  <c r="R105" i="5" s="1"/>
  <c r="S105" i="5" s="1"/>
  <c r="Q101" i="5"/>
  <c r="R101" i="5" s="1"/>
  <c r="S101" i="5" s="1"/>
  <c r="Q97" i="5"/>
  <c r="R97" i="5" s="1"/>
  <c r="S97" i="5" s="1"/>
  <c r="Q93" i="5"/>
  <c r="R93" i="5" s="1"/>
  <c r="S93" i="5" s="1"/>
  <c r="Q89" i="5"/>
  <c r="R89" i="5" s="1"/>
  <c r="S89" i="5" s="1"/>
  <c r="Q85" i="5"/>
  <c r="R85" i="5" s="1"/>
  <c r="S85" i="5" s="1"/>
  <c r="Q83" i="5"/>
  <c r="R83" i="5" s="1"/>
  <c r="S83" i="5" s="1"/>
  <c r="Q79" i="5"/>
  <c r="R79" i="5" s="1"/>
  <c r="S79" i="5" s="1"/>
  <c r="Q131" i="5"/>
  <c r="R131" i="5" s="1"/>
  <c r="S131" i="5" s="1"/>
  <c r="Q123" i="5"/>
  <c r="R123" i="5" s="1"/>
  <c r="S123" i="5" s="1"/>
  <c r="Q115" i="5"/>
  <c r="R115" i="5" s="1"/>
  <c r="S115" i="5" s="1"/>
  <c r="Q107" i="5"/>
  <c r="R107" i="5" s="1"/>
  <c r="S107" i="5" s="1"/>
  <c r="Q99" i="5"/>
  <c r="R99" i="5" s="1"/>
  <c r="S99" i="5" s="1"/>
  <c r="Q91" i="5"/>
  <c r="R91" i="5" s="1"/>
  <c r="S91" i="5" s="1"/>
  <c r="Q78" i="5"/>
  <c r="R78" i="5" s="1"/>
  <c r="S78" i="5" s="1"/>
  <c r="Q75" i="5"/>
  <c r="R75" i="5" s="1"/>
  <c r="S75" i="5" s="1"/>
  <c r="Q71" i="5"/>
  <c r="R71" i="5" s="1"/>
  <c r="S71" i="5" s="1"/>
  <c r="Q67" i="5"/>
  <c r="R67" i="5" s="1"/>
  <c r="S67" i="5" s="1"/>
  <c r="Q63" i="5"/>
  <c r="R63" i="5" s="1"/>
  <c r="S63" i="5" s="1"/>
  <c r="Q68" i="5"/>
  <c r="R68" i="5" s="1"/>
  <c r="S68" i="5" s="1"/>
  <c r="Q64" i="5"/>
  <c r="R64" i="5" s="1"/>
  <c r="S64" i="5" s="1"/>
  <c r="Q135" i="5"/>
  <c r="R135" i="5" s="1"/>
  <c r="S135" i="5" s="1"/>
  <c r="Q98" i="5"/>
  <c r="R98" i="5" s="1"/>
  <c r="S98" i="5" s="1"/>
  <c r="Q90" i="5"/>
  <c r="R90" i="5" s="1"/>
  <c r="S90" i="5" s="1"/>
  <c r="Q74" i="5"/>
  <c r="R74" i="5" s="1"/>
  <c r="S74" i="5" s="1"/>
  <c r="Q70" i="5"/>
  <c r="R70" i="5" s="1"/>
  <c r="S70" i="5" s="1"/>
  <c r="Q134" i="5"/>
  <c r="R134" i="5" s="1"/>
  <c r="S134" i="5" s="1"/>
  <c r="Q126" i="5"/>
  <c r="R126" i="5" s="1"/>
  <c r="S126" i="5" s="1"/>
  <c r="Q118" i="5"/>
  <c r="R118" i="5" s="1"/>
  <c r="S118" i="5" s="1"/>
  <c r="Q110" i="5"/>
  <c r="R110" i="5" s="1"/>
  <c r="S110" i="5" s="1"/>
  <c r="Q102" i="5"/>
  <c r="R102" i="5" s="1"/>
  <c r="S102" i="5" s="1"/>
  <c r="Q94" i="5"/>
  <c r="R94" i="5" s="1"/>
  <c r="S94" i="5" s="1"/>
  <c r="Q86" i="5"/>
  <c r="R86" i="5" s="1"/>
  <c r="S86" i="5" s="1"/>
  <c r="Q82" i="5"/>
  <c r="R82" i="5" s="1"/>
  <c r="S82" i="5" s="1"/>
  <c r="Q76" i="5"/>
  <c r="R76" i="5" s="1"/>
  <c r="S76" i="5" s="1"/>
  <c r="Q72" i="5"/>
  <c r="R72" i="5" s="1"/>
  <c r="S72" i="5" s="1"/>
  <c r="Q60" i="5"/>
  <c r="R60" i="5" s="1"/>
  <c r="S60" i="5" s="1"/>
  <c r="Q127" i="5"/>
  <c r="R127" i="5" s="1"/>
  <c r="S127" i="5" s="1"/>
  <c r="Q119" i="5"/>
  <c r="R119" i="5" s="1"/>
  <c r="S119" i="5" s="1"/>
  <c r="Q111" i="5"/>
  <c r="R111" i="5" s="1"/>
  <c r="S111" i="5" s="1"/>
  <c r="Q103" i="5"/>
  <c r="R103" i="5" s="1"/>
  <c r="S103" i="5" s="1"/>
  <c r="Q95" i="5"/>
  <c r="R95" i="5" s="1"/>
  <c r="S95" i="5" s="1"/>
  <c r="Q87" i="5"/>
  <c r="R87" i="5" s="1"/>
  <c r="S87" i="5" s="1"/>
  <c r="Q81" i="5"/>
  <c r="R81" i="5" s="1"/>
  <c r="S81" i="5" s="1"/>
  <c r="Q77" i="5"/>
  <c r="R77" i="5" s="1"/>
  <c r="S77" i="5" s="1"/>
  <c r="Q73" i="5"/>
  <c r="R73" i="5" s="1"/>
  <c r="S73" i="5" s="1"/>
  <c r="Q69" i="5"/>
  <c r="R69" i="5" s="1"/>
  <c r="S69" i="5" s="1"/>
  <c r="Q65" i="5"/>
  <c r="R65" i="5" s="1"/>
  <c r="S65" i="5" s="1"/>
  <c r="Q61" i="5"/>
  <c r="R61" i="5" s="1"/>
  <c r="S61" i="5" s="1"/>
  <c r="Q130" i="5"/>
  <c r="R130" i="5" s="1"/>
  <c r="S130" i="5" s="1"/>
  <c r="Q122" i="5"/>
  <c r="R122" i="5" s="1"/>
  <c r="S122" i="5" s="1"/>
  <c r="Q114" i="5"/>
  <c r="R114" i="5" s="1"/>
  <c r="S114" i="5" s="1"/>
  <c r="Q106" i="5"/>
  <c r="R106" i="5" s="1"/>
  <c r="S106" i="5" s="1"/>
  <c r="Q80" i="5"/>
  <c r="R80" i="5" s="1"/>
  <c r="S80" i="5" s="1"/>
  <c r="Q66" i="5"/>
  <c r="R66" i="5" s="1"/>
  <c r="S66" i="5" s="1"/>
  <c r="Q62" i="5"/>
  <c r="R62" i="5" s="1"/>
  <c r="S62" i="5" s="1"/>
  <c r="Q175" i="5"/>
  <c r="R175" i="5" s="1"/>
  <c r="S175" i="5" s="1"/>
  <c r="Q171" i="5"/>
  <c r="R171" i="5" s="1"/>
  <c r="S171" i="5" s="1"/>
  <c r="Q167" i="5"/>
  <c r="R167" i="5" s="1"/>
  <c r="S167" i="5" s="1"/>
  <c r="Q173" i="5"/>
  <c r="R173" i="5" s="1"/>
  <c r="S173" i="5" s="1"/>
  <c r="Q165" i="5"/>
  <c r="R165" i="5" s="1"/>
  <c r="S165" i="5" s="1"/>
  <c r="Q174" i="5"/>
  <c r="R174" i="5" s="1"/>
  <c r="S174" i="5" s="1"/>
  <c r="Q166" i="5"/>
  <c r="R166" i="5" s="1"/>
  <c r="S166" i="5" s="1"/>
  <c r="Q176" i="5"/>
  <c r="R176" i="5" s="1"/>
  <c r="S176" i="5" s="1"/>
  <c r="Q172" i="5"/>
  <c r="R172" i="5" s="1"/>
  <c r="S172" i="5" s="1"/>
  <c r="Q168" i="5"/>
  <c r="R168" i="5" s="1"/>
  <c r="S168" i="5" s="1"/>
  <c r="Q164" i="5"/>
  <c r="R164" i="5" s="1"/>
  <c r="S164" i="5" s="1"/>
  <c r="Q177" i="5"/>
  <c r="R177" i="5" s="1"/>
  <c r="S177" i="5" s="1"/>
  <c r="Q169" i="5"/>
  <c r="R169" i="5" s="1"/>
  <c r="S169" i="5" s="1"/>
  <c r="Q178" i="5"/>
  <c r="R178" i="5" s="1"/>
  <c r="S178" i="5" s="1"/>
  <c r="Q170" i="5"/>
  <c r="R170" i="5" s="1"/>
  <c r="S170" i="5" s="1"/>
  <c r="Q193" i="5"/>
  <c r="R193" i="5" s="1"/>
  <c r="S193" i="5" s="1"/>
  <c r="Q189" i="5"/>
  <c r="R189" i="5" s="1"/>
  <c r="S189" i="5" s="1"/>
  <c r="Q185" i="5"/>
  <c r="R185" i="5" s="1"/>
  <c r="S185" i="5" s="1"/>
  <c r="Q181" i="5"/>
  <c r="R181" i="5" s="1"/>
  <c r="S181" i="5" s="1"/>
  <c r="Q194" i="5"/>
  <c r="R194" i="5" s="1"/>
  <c r="S194" i="5" s="1"/>
  <c r="Q190" i="5"/>
  <c r="R190" i="5" s="1"/>
  <c r="S190" i="5" s="1"/>
  <c r="Q186" i="5"/>
  <c r="R186" i="5" s="1"/>
  <c r="S186" i="5" s="1"/>
  <c r="Q182" i="5"/>
  <c r="R182" i="5" s="1"/>
  <c r="S182" i="5" s="1"/>
  <c r="Q187" i="5"/>
  <c r="R187" i="5" s="1"/>
  <c r="S187" i="5" s="1"/>
  <c r="Q183" i="5"/>
  <c r="R183" i="5" s="1"/>
  <c r="S183" i="5" s="1"/>
  <c r="Q179" i="5"/>
  <c r="R179" i="5" s="1"/>
  <c r="S179" i="5" s="1"/>
  <c r="Q191" i="5"/>
  <c r="R191" i="5" s="1"/>
  <c r="S191" i="5" s="1"/>
  <c r="Q192" i="5"/>
  <c r="R192" i="5" s="1"/>
  <c r="S192" i="5" s="1"/>
  <c r="Q188" i="5"/>
  <c r="R188" i="5" s="1"/>
  <c r="S188" i="5" s="1"/>
  <c r="Q184" i="5"/>
  <c r="R184" i="5" s="1"/>
  <c r="S184" i="5" s="1"/>
  <c r="Q180" i="5"/>
  <c r="R180" i="5" s="1"/>
  <c r="S180" i="5" s="1"/>
  <c r="Q212" i="5"/>
  <c r="R212" i="5" s="1"/>
  <c r="S212" i="5" s="1"/>
  <c r="Q210" i="5"/>
  <c r="R210" i="5" s="1"/>
  <c r="S210" i="5" s="1"/>
  <c r="Q211" i="5"/>
  <c r="R211" i="5" s="1"/>
  <c r="S211" i="5" s="1"/>
  <c r="Q209" i="5"/>
  <c r="R209" i="5" s="1"/>
  <c r="S209" i="5" s="1"/>
  <c r="Q208" i="5"/>
  <c r="R208" i="5" s="1"/>
  <c r="S208" i="5" s="1"/>
  <c r="Q207" i="5"/>
  <c r="R207" i="5" s="1"/>
  <c r="S207" i="5" s="1"/>
  <c r="Q201" i="5"/>
  <c r="R201" i="5" s="1"/>
  <c r="S201" i="5" s="1"/>
  <c r="Q200" i="5"/>
  <c r="R200" i="5" s="1"/>
  <c r="S200" i="5" s="1"/>
  <c r="Q199" i="5"/>
  <c r="R199" i="5" s="1"/>
  <c r="S199" i="5" s="1"/>
  <c r="Q198" i="5"/>
  <c r="R198" i="5" s="1"/>
  <c r="S198" i="5" s="1"/>
  <c r="Q197" i="5"/>
  <c r="R197" i="5" s="1"/>
  <c r="S197" i="5" s="1"/>
  <c r="Q196" i="5"/>
  <c r="R196" i="5" s="1"/>
  <c r="S196" i="5" s="1"/>
  <c r="Q195" i="5"/>
  <c r="R195" i="5" s="1"/>
  <c r="S195" i="5" s="1"/>
  <c r="U250" i="7"/>
  <c r="D17" i="10" s="1"/>
  <c r="Q54" i="5"/>
  <c r="R54" i="5" s="1"/>
  <c r="S54" i="5" s="1"/>
  <c r="Q151" i="5"/>
  <c r="R151" i="5" s="1"/>
  <c r="S151" i="5" s="1"/>
  <c r="Q57" i="5"/>
  <c r="R57" i="5" s="1"/>
  <c r="S57" i="5" s="1"/>
  <c r="Q23" i="5"/>
  <c r="R23" i="5" s="1"/>
  <c r="S23" i="5" s="1"/>
  <c r="Q142" i="5"/>
  <c r="R142" i="5" s="1"/>
  <c r="S142" i="5" s="1"/>
  <c r="Q30" i="5"/>
  <c r="R30" i="5" s="1"/>
  <c r="S30" i="5" s="1"/>
  <c r="F15" i="13"/>
  <c r="D15" i="13" s="1"/>
  <c r="Q157" i="5"/>
  <c r="R157" i="5" s="1"/>
  <c r="S157" i="5" s="1"/>
  <c r="Q40" i="5"/>
  <c r="R40" i="5" s="1"/>
  <c r="S40" i="5" s="1"/>
  <c r="Q26" i="5"/>
  <c r="R26" i="5" s="1"/>
  <c r="S26" i="5" s="1"/>
  <c r="Q56" i="5"/>
  <c r="R56" i="5" s="1"/>
  <c r="S56" i="5" s="1"/>
  <c r="Q47" i="5"/>
  <c r="R47" i="5" s="1"/>
  <c r="S47" i="5" s="1"/>
  <c r="Q33" i="5"/>
  <c r="R33" i="5" s="1"/>
  <c r="S33" i="5" s="1"/>
  <c r="Q24" i="5"/>
  <c r="R24" i="5" s="1"/>
  <c r="S24" i="5" s="1"/>
  <c r="Q144" i="5"/>
  <c r="R144" i="5" s="1"/>
  <c r="S144" i="5" s="1"/>
  <c r="Q22" i="5"/>
  <c r="R22" i="5" s="1"/>
  <c r="S22" i="5" s="1"/>
  <c r="Q42" i="5"/>
  <c r="R42" i="5" s="1"/>
  <c r="S42" i="5" s="1"/>
  <c r="Q25" i="5"/>
  <c r="R25" i="5" s="1"/>
  <c r="S25" i="5" s="1"/>
  <c r="Q59" i="5"/>
  <c r="R59" i="5" s="1"/>
  <c r="S59" i="5" s="1"/>
  <c r="Q141" i="5"/>
  <c r="R141" i="5" s="1"/>
  <c r="S141" i="5" s="1"/>
  <c r="Q140" i="5"/>
  <c r="R140" i="5" s="1"/>
  <c r="S140" i="5" s="1"/>
  <c r="Q136" i="5"/>
  <c r="R136" i="5" s="1"/>
  <c r="S136" i="5" s="1"/>
  <c r="Q155" i="5"/>
  <c r="R155" i="5" s="1"/>
  <c r="S155" i="5" s="1"/>
  <c r="Q137" i="5"/>
  <c r="R137" i="5" s="1"/>
  <c r="S137" i="5" s="1"/>
  <c r="Q20" i="5"/>
  <c r="R20" i="5" s="1"/>
  <c r="S20" i="5" s="1"/>
  <c r="Q161" i="5"/>
  <c r="R161" i="5" s="1"/>
  <c r="S161" i="5" s="1"/>
  <c r="Q146" i="5"/>
  <c r="R146" i="5" s="1"/>
  <c r="S146" i="5" s="1"/>
  <c r="Q19" i="5"/>
  <c r="R19" i="5" s="1"/>
  <c r="S19" i="5" s="1"/>
  <c r="Q18" i="5"/>
  <c r="R18" i="5" s="1"/>
  <c r="Q53" i="5"/>
  <c r="R53" i="5" s="1"/>
  <c r="S53" i="5" s="1"/>
  <c r="Q34" i="5"/>
  <c r="R34" i="5" s="1"/>
  <c r="S34" i="5" s="1"/>
  <c r="Q41" i="5"/>
  <c r="R41" i="5" s="1"/>
  <c r="S41" i="5" s="1"/>
  <c r="Q55" i="5"/>
  <c r="R55" i="5" s="1"/>
  <c r="S55" i="5" s="1"/>
  <c r="Q29" i="5"/>
  <c r="R29" i="5" s="1"/>
  <c r="S29" i="5" s="1"/>
  <c r="Q31" i="5"/>
  <c r="R31" i="5" s="1"/>
  <c r="S31" i="5" s="1"/>
  <c r="Q153" i="5"/>
  <c r="R153" i="5" s="1"/>
  <c r="S153" i="5" s="1"/>
  <c r="Q35" i="5"/>
  <c r="R35" i="5" s="1"/>
  <c r="S35" i="5" s="1"/>
  <c r="Q150" i="5"/>
  <c r="R150" i="5" s="1"/>
  <c r="S150" i="5" s="1"/>
  <c r="Q49" i="5"/>
  <c r="R49" i="5" s="1"/>
  <c r="S49" i="5" s="1"/>
  <c r="Q152" i="5"/>
  <c r="R152" i="5" s="1"/>
  <c r="S152" i="5" s="1"/>
  <c r="Q28" i="5"/>
  <c r="R28" i="5" s="1"/>
  <c r="S28" i="5" s="1"/>
  <c r="Q51" i="5"/>
  <c r="R51" i="5" s="1"/>
  <c r="S51" i="5" s="1"/>
  <c r="Q148" i="5"/>
  <c r="R148" i="5" s="1"/>
  <c r="S148" i="5" s="1"/>
  <c r="Q158" i="5"/>
  <c r="R158" i="5" s="1"/>
  <c r="S158" i="5" s="1"/>
  <c r="Q45" i="5"/>
  <c r="R45" i="5" s="1"/>
  <c r="S45" i="5" s="1"/>
  <c r="Q143" i="5"/>
  <c r="R143" i="5" s="1"/>
  <c r="S143" i="5" s="1"/>
  <c r="Q149" i="5"/>
  <c r="R149" i="5" s="1"/>
  <c r="S149" i="5" s="1"/>
  <c r="Q50" i="5"/>
  <c r="R50" i="5" s="1"/>
  <c r="S50" i="5" s="1"/>
  <c r="Q39" i="5"/>
  <c r="R39" i="5" s="1"/>
  <c r="S39" i="5" s="1"/>
  <c r="Q138" i="5"/>
  <c r="R138" i="5" s="1"/>
  <c r="S138" i="5" s="1"/>
  <c r="Q160" i="5"/>
  <c r="R160" i="5" s="1"/>
  <c r="S160" i="5" s="1"/>
  <c r="Q43" i="5"/>
  <c r="R43" i="5" s="1"/>
  <c r="S43" i="5" s="1"/>
  <c r="Q159" i="5"/>
  <c r="R159" i="5" s="1"/>
  <c r="S159" i="5" s="1"/>
  <c r="Q162" i="5"/>
  <c r="R162" i="5" s="1"/>
  <c r="S162" i="5" s="1"/>
  <c r="Q38" i="5"/>
  <c r="R38" i="5" s="1"/>
  <c r="S38" i="5" s="1"/>
  <c r="Q147" i="5"/>
  <c r="R147" i="5" s="1"/>
  <c r="S147" i="5" s="1"/>
  <c r="Q163" i="5"/>
  <c r="R163" i="5" s="1"/>
  <c r="S163" i="5" s="1"/>
  <c r="Q32" i="5"/>
  <c r="R32" i="5" s="1"/>
  <c r="S32" i="5" s="1"/>
  <c r="Q145" i="5"/>
  <c r="R145" i="5" s="1"/>
  <c r="S145" i="5" s="1"/>
  <c r="Q36" i="5"/>
  <c r="R36" i="5" s="1"/>
  <c r="S36" i="5" s="1"/>
  <c r="Q156" i="5"/>
  <c r="R156" i="5" s="1"/>
  <c r="S156" i="5" s="1"/>
  <c r="Q139" i="5"/>
  <c r="R139" i="5" s="1"/>
  <c r="S139" i="5" s="1"/>
  <c r="Q37" i="5"/>
  <c r="R37" i="5" s="1"/>
  <c r="S37" i="5" s="1"/>
  <c r="Q44" i="5"/>
  <c r="R44" i="5" s="1"/>
  <c r="S44" i="5" s="1"/>
  <c r="Q21" i="5"/>
  <c r="R21" i="5" s="1"/>
  <c r="S21" i="5" s="1"/>
  <c r="Q27" i="5"/>
  <c r="R27" i="5" s="1"/>
  <c r="S27" i="5" s="1"/>
  <c r="Q154" i="5"/>
  <c r="R154" i="5" s="1"/>
  <c r="S154" i="5" s="1"/>
  <c r="Q46" i="5"/>
  <c r="R46" i="5" s="1"/>
  <c r="S46" i="5" s="1"/>
  <c r="Q58" i="5"/>
  <c r="R58" i="5" s="1"/>
  <c r="S58" i="5" s="1"/>
  <c r="Q48" i="5"/>
  <c r="R48" i="5" s="1"/>
  <c r="S48" i="5" s="1"/>
  <c r="Q52" i="5"/>
  <c r="R52" i="5" s="1"/>
  <c r="S52" i="5" s="1"/>
  <c r="S18" i="5" l="1"/>
  <c r="S214" i="5" s="1"/>
  <c r="D15" i="10" s="1"/>
  <c r="D19" i="10" s="1"/>
  <c r="D23" i="13" s="1"/>
  <c r="D28" i="13" s="1"/>
  <c r="H18" i="19" s="1"/>
  <c r="R214" i="5"/>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<sst xmlns="http://schemas.openxmlformats.org/spreadsheetml/2006/main" count="3068" uniqueCount="807">
  <si>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</si>
  <si>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</si>
  <si>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</si>
  <si>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</si>
  <si>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</si>
  <si>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</si>
  <si>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</si>
  <si>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</si>
  <si>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</si>
  <si>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</si>
  <si>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</si>
  <si>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</si>
  <si>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</si>
  <si>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</si>
  <si>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</si>
  <si>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</si>
  <si>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</si>
  <si>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</si>
  <si>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</si>
  <si>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</si>
  <si>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</si>
  <si>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</si>
  <si>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</si>
  <si>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</si>
  <si>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</si>
  <si>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</si>
  <si>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</si>
  <si>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</si>
  <si>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</si>
  <si>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</si>
  <si>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</si>
  <si>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</si>
  <si>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</si>
  <si>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</si>
  <si>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</si>
  <si>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</si>
  <si>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</si>
  <si>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</si>
  <si>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</si>
  <si>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</si>
  <si>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</si>
  <si>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</si>
  <si>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</si>
  <si>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</si>
  <si>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</si>
  <si>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</si>
  <si>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</si>
  <si>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</si>
  <si>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</si>
  <si>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</si>
  <si>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</si>
  <si>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</si>
  <si>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</si>
  <si>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</si>
  <si>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</si>
  <si>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</si>
  <si>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</si>
  <si>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</si>
  <si>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</si>
  <si>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</si>
  <si>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</si>
  <si>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</si>
  <si>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</si>
  <si>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</si>
  <si>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</si>
  <si>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</si>
  <si>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</si>
  <si>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</si>
  <si>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</si>
  <si>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</si>
  <si>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</si>
  <si>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</si>
  <si>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</si>
  <si>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</si>
  <si>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</si>
  <si>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</si>
  <si>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</si>
  <si>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</si>
  <si>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</si>
  <si>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</si>
  <si>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</si>
  <si>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</si>
  <si>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</si>
  <si>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</si>
  <si>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</si>
  <si>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</si>
  <si>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</si>
  <si>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</si>
  <si>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</si>
  <si>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</si>
  <si>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</si>
  <si>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</si>
  <si>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</si>
  <si>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</si>
  <si>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</si>
  <si>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</si>
  <si>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</si>
  <si>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</si>
  <si>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</si>
  <si>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</si>
  <si>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</si>
  <si>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</si>
  <si>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</si>
  <si>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</si>
  <si>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</si>
  <si>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</si>
  <si>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</si>
  <si>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</si>
  <si>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</si>
  <si>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</si>
  <si>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</si>
  <si>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</si>
  <si>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</si>
  <si>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</si>
  <si>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</si>
  <si>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</si>
  <si>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</si>
  <si>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</si>
  <si>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</si>
  <si>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</si>
  <si>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</si>
  <si>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</si>
  <si>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</si>
  <si>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</si>
  <si>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</si>
  <si>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</si>
  <si>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</si>
  <si>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</si>
  <si>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</si>
  <si>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</si>
  <si>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</si>
  <si>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</si>
  <si>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</si>
  <si>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</si>
  <si>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</si>
  <si>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</si>
  <si>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</si>
  <si>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</si>
  <si>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</si>
  <si>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</si>
  <si>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</si>
  <si>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</si>
  <si>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</si>
  <si>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</si>
  <si>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</si>
  <si>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</si>
  <si>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</si>
  <si>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</si>
  <si>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</si>
  <si>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</si>
  <si>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</si>
  <si>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</si>
  <si>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</si>
  <si>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</si>
  <si>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</si>
  <si>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</si>
  <si>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</si>
  <si>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</si>
  <si>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</si>
  <si>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</si>
  <si>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</si>
  <si>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</si>
  <si>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</si>
  <si>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</si>
  <si>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</si>
  <si>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</si>
  <si>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</si>
  <si>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</si>
  <si>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</si>
  <si>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</si>
  <si>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</si>
  <si>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</si>
  <si>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</si>
  <si>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</si>
  <si>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</si>
  <si>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</si>
  <si>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</si>
  <si>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</si>
  <si>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</si>
  <si>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</si>
  <si>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</si>
  <si>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</si>
  <si>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</si>
  <si>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</si>
  <si>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</si>
  <si>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</si>
  <si>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</si>
  <si>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</si>
  <si>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</si>
  <si>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</si>
  <si>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</si>
  <si>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</si>
  <si>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</si>
  <si>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</si>
  <si>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</si>
  <si>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</si>
  <si>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</si>
  <si>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</si>
  <si>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</si>
  <si>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</si>
  <si>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</si>
  <si>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</si>
  <si>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</si>
  <si>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</si>
  <si>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</si>
  <si>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</si>
  <si>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</si>
  <si>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</si>
  <si>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</si>
  <si>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</si>
  <si>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</si>
  <si>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</si>
  <si>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</si>
  <si>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</si>
  <si>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</si>
  <si>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</si>
  <si>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</si>
  <si>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</si>
  <si>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</si>
  <si>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</si>
  <si>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</si>
  <si>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</si>
  <si>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</si>
  <si>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</si>
  <si>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</si>
  <si>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</si>
  <si>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</si>
  <si>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</si>
  <si>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</si>
  <si>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</si>
  <si>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</si>
  <si>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</si>
  <si>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</si>
  <si>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</si>
  <si>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</si>
  <si>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</si>
  <si>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</si>
  <si>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</si>
  <si>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Schedule 5</t>
  </si>
  <si>
    <t>Schedule 6</t>
  </si>
  <si>
    <t>Grand Summary [Schedule 1to 5]</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</si>
  <si>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</si>
  <si>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</si>
  <si>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</si>
  <si>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</si>
  <si>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</si>
  <si>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</si>
  <si>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</si>
  <si>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</si>
  <si>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</si>
  <si>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</si>
  <si>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</si>
  <si>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</si>
  <si>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</si>
  <si>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</si>
  <si>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</si>
  <si>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</si>
  <si>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</si>
  <si>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</si>
  <si>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</si>
  <si>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</si>
  <si>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</si>
  <si>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</si>
  <si>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</si>
  <si>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</si>
  <si>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</si>
  <si>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</si>
  <si>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</si>
  <si>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</si>
  <si>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</si>
  <si>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</si>
  <si>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</si>
  <si>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</si>
  <si>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</si>
  <si>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</si>
  <si>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</si>
  <si>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</si>
  <si>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</si>
  <si>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</si>
  <si>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</si>
  <si>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</si>
  <si>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</si>
  <si>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</si>
  <si>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</si>
  <si>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</si>
  <si>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</si>
  <si>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</si>
  <si>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</si>
  <si>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</si>
  <si>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</si>
  <si>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</si>
  <si>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</si>
  <si>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</si>
  <si>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</si>
  <si>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</si>
  <si>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</si>
  <si>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</si>
  <si>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</si>
  <si>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</si>
  <si>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</si>
  <si>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</si>
  <si>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</si>
  <si>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</si>
  <si>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</si>
  <si>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</si>
  <si>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</si>
  <si>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</si>
  <si>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</si>
  <si>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</si>
  <si>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</si>
  <si>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</si>
  <si>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</si>
  <si>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</si>
  <si>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</si>
  <si>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</si>
  <si>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</si>
  <si>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</si>
  <si>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</si>
  <si>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</si>
  <si>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</si>
  <si>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</si>
  <si>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</si>
  <si>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</si>
  <si>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</si>
  <si>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</si>
  <si>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</si>
  <si>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</si>
  <si>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</si>
  <si>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</si>
  <si>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</si>
  <si>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</si>
  <si>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</si>
  <si>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</si>
  <si>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</si>
  <si>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</si>
  <si>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</si>
  <si>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</si>
  <si>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</si>
  <si>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</si>
  <si>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</si>
  <si>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</si>
  <si>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</si>
  <si>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</si>
  <si>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</si>
  <si>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</si>
  <si>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</si>
  <si>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</si>
  <si>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</si>
  <si>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</si>
  <si>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</si>
  <si>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</si>
  <si>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</si>
  <si>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</si>
  <si>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</si>
  <si>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</si>
  <si>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</si>
  <si>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</si>
  <si>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</si>
  <si>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</si>
  <si>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</si>
  <si>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</si>
  <si>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</si>
  <si>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</si>
  <si>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</si>
  <si>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</si>
  <si>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</si>
  <si>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</si>
  <si>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</si>
  <si>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</si>
  <si>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</si>
  <si>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</si>
  <si>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</si>
  <si>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</si>
  <si>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</si>
  <si>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</si>
  <si>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</si>
  <si>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</si>
  <si>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</si>
  <si>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</si>
  <si>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</si>
  <si>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</si>
  <si>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</si>
  <si>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</si>
  <si>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</si>
  <si>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</si>
  <si>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</si>
  <si>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</si>
  <si>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</si>
  <si>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</si>
  <si>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</si>
  <si>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</si>
  <si>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</si>
  <si>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</si>
  <si>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</si>
  <si>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</si>
  <si>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</si>
  <si>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</si>
  <si>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</si>
  <si>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</si>
  <si>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</si>
  <si>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</si>
  <si>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</si>
  <si>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</si>
  <si>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</si>
  <si>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</si>
  <si>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</si>
  <si>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</si>
  <si>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</si>
  <si>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</si>
  <si>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</si>
  <si>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</si>
  <si>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</si>
  <si>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</si>
  <si>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</si>
  <si>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</si>
  <si>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</si>
  <si>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</si>
  <si>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</si>
  <si>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</si>
  <si>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</si>
  <si>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</si>
  <si>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</si>
  <si>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</si>
  <si>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</si>
  <si>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</si>
  <si>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</si>
  <si>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</si>
  <si>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</si>
  <si>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</si>
  <si>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</si>
  <si>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</si>
  <si>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</si>
  <si>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</si>
  <si>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</si>
  <si>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</si>
  <si>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</si>
  <si>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</si>
  <si>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</si>
  <si>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</si>
  <si>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</si>
  <si>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</si>
  <si>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</si>
  <si>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</si>
  <si>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</si>
  <si>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</si>
  <si>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</si>
  <si>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</si>
  <si>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</si>
  <si>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</si>
  <si>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</si>
  <si>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</si>
  <si>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</si>
  <si>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</si>
  <si>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</si>
  <si>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</si>
  <si>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</si>
  <si>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</si>
  <si>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</si>
  <si>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</si>
  <si>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</si>
  <si>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</si>
  <si>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</si>
  <si>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</si>
  <si>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</si>
  <si>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</si>
  <si>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rate of GST in column ‘10’ is confirmed. If not  indicate applicable rate of GST #</t>
  </si>
  <si>
    <t>Whether SAC in column ‘8’ is confirmed. If not  indicate applicable the SAC #</t>
  </si>
  <si>
    <t>Total of Schedule-3</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</si>
  <si>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</si>
  <si>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Training charges for training to be imparted (Not Applicable)</t>
  </si>
  <si>
    <t>Taxes and Duties not included in Schedule 1 &amp; 3</t>
  </si>
  <si>
    <t>(SUMMARY OF TAXES &amp; DUTIES not included in Schedule 1 &amp; 3)</t>
  </si>
  <si>
    <t>Break-up of Type Test Charges (Not Applicable)</t>
  </si>
  <si>
    <t>Type tests :</t>
  </si>
  <si>
    <t xml:space="preserve">We declare that as specified in Clause 11.5, Section –II:ITB, Vol.-I of the Bidding Documents, prices quoted by us in the Price Schedules in Second Envelope shall be on ‘Firm’ basis during the entire currency of contract and shall not be subject to price variation, what-so-ever during contract execution. </t>
  </si>
  <si>
    <t>Supply of Pipe Type Earthing</t>
  </si>
  <si>
    <t xml:space="preserve">EA </t>
  </si>
  <si>
    <t>Supply of Counterpoise type (120 m length)</t>
  </si>
  <si>
    <t>ROD TYPE EARTHING</t>
  </si>
  <si>
    <t>Supply of Shieldwire Earthing includingPG clamps, downlead clamps butexcluding Earthwire bits for Pipe typeearthing</t>
  </si>
  <si>
    <t>Phase Plate (Set of three)</t>
  </si>
  <si>
    <t>SET</t>
  </si>
  <si>
    <t>Circuit Plate  (Set of two)</t>
  </si>
  <si>
    <t>Supply of Anti-Climbing Devices ofBarbed Wire Type</t>
  </si>
  <si>
    <t xml:space="preserve">KM </t>
  </si>
  <si>
    <t>24 FIBRE (DWSM) OPGW FIBRE OPTIC CABLE</t>
  </si>
  <si>
    <t>TENSION ASSEMBLY - DEAD END FOR 24 FIBER OPGW</t>
  </si>
  <si>
    <t>TENSION  FITTINGS ASSEMBLY ON SUSPENSION TOWER FOR 24F OPGW INCLUDINGALL ACCESSORIES AT JOINT BOX (SPLICING) LOCATION</t>
  </si>
  <si>
    <t>TENSION  FITTINGS ASSEMBLY FOR 24F OPGW INCLUDING ALL ACCESSORIES FORJOINT BOX (SPLICING) LOCATION</t>
  </si>
  <si>
    <t>TENSION ASSEMBLY - DOUBLE TENSION PASS THROUGH ASSEMBLY FOR 24 FIBEROPGW</t>
  </si>
  <si>
    <t>Vibration Damper for 24 fibre OPGW</t>
  </si>
  <si>
    <t>Down Lead clamp Assembly for 24 fibre OPGW</t>
  </si>
  <si>
    <t>Joint Box for 24 fibre OPGW</t>
  </si>
  <si>
    <t>Detailed survey including route alignment, profiling and tower spotting</t>
  </si>
  <si>
    <t>Check survey</t>
  </si>
  <si>
    <t>Detailed soil investigation: All kinds of soils except fissured rock and hard rock</t>
  </si>
  <si>
    <t>Detailed soil investigation: Fissured Rock</t>
  </si>
  <si>
    <t>Benching: All kinds of soils except fissured rock,hard rock and sandy soil</t>
  </si>
  <si>
    <t xml:space="preserve">M3 </t>
  </si>
  <si>
    <t>Installation of earthing of towers: Pipe Type</t>
  </si>
  <si>
    <t>Installation of earthing of towers: Counterpoise type (120 m length)</t>
  </si>
  <si>
    <t>Installation of Shieldwire Earthingincluding PG clamps, Downlead clampsand  Earthwire bits i.e Shield wireearthing (Pipe Type/counterpoise type)shall be an addition to earthing oftowers (Pipe type/ counterpoisetype)-Pipe type</t>
  </si>
  <si>
    <t>Installation of tower accessories : Danger  Plate</t>
  </si>
  <si>
    <t>Installation of tower accessories: Number  Plate</t>
  </si>
  <si>
    <t>Installation of tower accessories: Phase Plate (Set of three)</t>
  </si>
  <si>
    <t>Installation of tower accessories: Circuit Plate  (Set of two)</t>
  </si>
  <si>
    <t>Installation of tower accessories: Anti-Climbing Devices</t>
  </si>
  <si>
    <t>Protection of tower footing (supply and installation): ' Random rubble stone masonary including excavation (1:5 cement mortar)</t>
  </si>
  <si>
    <t>Protection of tower footing (supply and installation): M 15 (1:2:4) mixed concrete for top seal cover of revetment</t>
  </si>
  <si>
    <t>Protection of tower footing (supply and installation): Backfilling and gap levelling of volumes enclosed by revetment</t>
  </si>
  <si>
    <t>Protection of tower footing (supply and installation): Stone Bound in Galvanising wire netting including excavation</t>
  </si>
  <si>
    <t>Installation of Joint box above ground (Including Splicing &amp; Testing) : 24 fibres</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</si>
  <si>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</si>
  <si>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</si>
  <si>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 xml:space="preserve">MT </t>
  </si>
  <si>
    <t>Detailed soil investigation: Hard Rock</t>
  </si>
  <si>
    <t>Benching: Fissured Rock</t>
  </si>
  <si>
    <t>Benching:Hard Rock</t>
  </si>
  <si>
    <t>Excavation: Dry Fissured Rock</t>
  </si>
  <si>
    <t>Rate of GST applicable (in %)</t>
  </si>
  <si>
    <t>Supply of Hexagonal Bolts &amp; Nuts for towers including Step Bolts, SpringWashers etc.</t>
  </si>
  <si>
    <t>Supply of Bolts &amp; Nuts for Stubs including Spring Washers etc.</t>
  </si>
  <si>
    <t>Supply of Span Marker for Aviation</t>
  </si>
  <si>
    <t>Supply of Obstruction Lights (as per IS5613)-1 Medium Intensity + 2 LowIntensity</t>
  </si>
  <si>
    <t xml:space="preserve">M  </t>
  </si>
  <si>
    <t xml:space="preserve">LS </t>
  </si>
  <si>
    <t xml:space="preserve">M2 </t>
  </si>
  <si>
    <t>Installation of stub including bolts and nuts : For Normal Towers</t>
  </si>
  <si>
    <t>Excavation : Dry Soil</t>
  </si>
  <si>
    <t>Erection of various types of towers, tower extensions (complete), bolts &amp; nuts, hangers, d-shackles, step bolts, pack washers etc.including tack welding &amp; supply &amp; application of zinc rich paint : Normal towers</t>
  </si>
  <si>
    <t>Installation of insulator strings complete with arcing horns and necessary hardware, installation and stringing of conductorincluding fixing of conductor accessories, installation and stringing of earthwire/OPGW including fixing of earthwire/OPGWaccessories for powerline crossing location under live line condition.</t>
  </si>
  <si>
    <t>Plum concrete with 50% hard stone of grade 1:2:4 (stone size not more than 150mm)</t>
  </si>
  <si>
    <t>Installation of Span Markers for aviation requirements</t>
  </si>
  <si>
    <t>Total of Schedule-2</t>
  </si>
  <si>
    <t xml:space="preserve">TW01 Navasari-Magarwada-Kala </t>
  </si>
  <si>
    <t xml:space="preserve">Tower Material                          </t>
  </si>
  <si>
    <t xml:space="preserve">HTLS Conductor                          </t>
  </si>
  <si>
    <t xml:space="preserve">Insulators                              </t>
  </si>
  <si>
    <t xml:space="preserve">Hardware Fittings                       </t>
  </si>
  <si>
    <t xml:space="preserve">conductor Accessories                   </t>
  </si>
  <si>
    <t xml:space="preserve">Earthing                                </t>
  </si>
  <si>
    <t xml:space="preserve">TowerAccessories                        </t>
  </si>
  <si>
    <t xml:space="preserve">Aviation Requirement                    </t>
  </si>
  <si>
    <t xml:space="preserve">OPGW                                    </t>
  </si>
  <si>
    <t xml:space="preserve">Earthwire Supply                        </t>
  </si>
  <si>
    <t xml:space="preserve">EARTHWIRE ACCESSORIES                   </t>
  </si>
  <si>
    <t>FABRICATION, GALVANISING AND SUPPLY OF VARIOUS TYPE OF TOWER &amp; TOWERPARTS, TOWER EXTENSIONS (COMPLETE) INCLUDINGÃ‚  BOLTS &amp;NUTS, STEPBOLTS,HANGERS, D-SHACKLES, PACK WASHER ETC AND EXCLUDING STUB FOR 400KV M/C(TWIN HTLS) NORMAL TOWERS (WZ3) DESIGNED AS PER IS 802-2015 FOR PLAINTERRAIN (IN COASTAL REGION); TOWER TYPE QA+0M EXTENSION.</t>
  </si>
  <si>
    <t>FABRICATION, GALVANISING AND SUPPLY OF VARIOUS TYPE OF TOWER &amp; TOWERPARTS, TOWER EXTENSIONS (COMPLETE) INCLUDINGÃ‚  BOLTS &amp;NUTS, STEPBOLTS,HANGERS, D-SHACKLES, PACK WASHER ETC AND EXCLUDING STUB FOR 400KV M/C(TWIN HTLS) NORMAL TOWERS (WZ3) DESIGNED AS PER IS 802-2015 FOR PLAINTERRAIN (IN COASTAL REGION); TOWER TYPE QA+3M EXTENSION.</t>
  </si>
  <si>
    <t>FABRICATION, GALVANISING AND SUPPLY OF VARIOUS TYPE OF TOWER &amp; TOWERPARTS, TOWER EXTENSIONS (COMPLETE) INCLUDINGÃ‚  BOLTS &amp;NUTS, STEPBOLTS,HANGERS, D-SHACKLES, PACK WASHER ETC AND EXCLUDING STUB FOR 400KV M/C(TWIN HTLS) NORMAL TOWERS (WZ3) DESIGNED AS PER IS 802-2015 FOR PLAINTERRAIN (IN COASTAL REGION); TOWER TYPE QA+6M EXTENSION.</t>
  </si>
  <si>
    <t>FABRICATION, GALVANISING AND SUPPLY OF VARIOUS TYPE OF TOWER &amp; TOWERPARTS, TOWER EXTENSIONS (COMPLETE) INCLUDINGÃ‚  BOLTS &amp;NUTS, STEPBOLTS,HANGERS, D-SHACKLES, PACK WASHER ETC AND EXCLUDING STUB FOR 400KV M/C(TWIN HTLS) NORMAL TOWERS (WZ3) DESIGNED AS PER IS 802-2015 FOR PLAINTERRAIN (IN COASTAL REGION); TOWER TYPE QA+9M EXTENSION.</t>
  </si>
  <si>
    <t>FABRICATION, GALVANISING AND SUPPLY OF VARIOUS TYPE OF TOWER &amp; TOWERPARTS, TOWER EXTENSIONS (COMPLETE) INCLUDINGÃ‚  BOLTS &amp;NUTS, STEPBOLTS,HANGERS, D-SHACKLES, PACK WASHER ETC AND EXCLUDING STUB FOR 400KV M/C(TWIN HTLS) NORMAL TOWERS (WZ3) DESIGNED AS PER IS 802-2015 FOR PLAINTERRAIN (IN COASTAL REGION); TOWER TYPE QB+3M EXTENSION.</t>
  </si>
  <si>
    <t>FABRICATION, GALVANISING AND SUPPLY OF VARIOUS TYPE OF TOWER &amp; TOWERPARTS, TOWER EXTENSIONS (COMPLETE) INCLUDINGÃ‚  BOLTS &amp;NUTS, STEPBOLTS,HANGERS, D-SHACKLES, PACK WASHER ETC AND EXCLUDING STUB FOR 400KV M/C(TWIN HTLS) NORMAL TOWERS (WZ3) DESIGNED AS PER IS 802-2015 FOR PLAINTERRAIN (IN COASTAL REGION); TOWER TYPE QB+6M EXTENSION.</t>
  </si>
  <si>
    <t>FABRICATION, GALVANISING AND SUPPLY OF VARIOUS TYPE OF TOWER &amp; TOWERPARTS, TOWER EXTENSIONS (COMPLETE) INCLUDINGÃ‚  BOLTS &amp;NUTS, STEPBOLTS,HANGERS, D-SHACKLES, PACK WASHER ETC AND EXCLUDING STUB FOR 400KV M/C(TWIN HTLS) NORMAL TOWERS (WZ3) DESIGNED AS PER IS 802-2015 FOR PLAINTERRAIN (IN COASTAL REGION); TOWER TYPE QC+6M EXTENSION.</t>
  </si>
  <si>
    <t>FABRICATION, GALVANISING AND SUPPLY OF VARIOUS TYPE OF TOWER &amp; TOWERPARTS, TOWER EXTENSIONS (COMPLETE) INCLUDINGÃ‚  BOLTS &amp;NUTS, STEPBOLTS,HANGERS, D-SHACKLES, PACK WASHER ETC AND EXCLUDING STUB FOR 400KV M/C(TWIN HTLS) NORMAL TOWERS (WZ3) DESIGNED AS PER IS 802-2015 FOR PLAINTERRAIN (IN COASTAL REGION); TOWER TYPE QC+9M EXTENSION.</t>
  </si>
  <si>
    <t>FABRICATION, GALVANISING AND SUPPLY OF VARIOUS TYPE OF TOWER &amp; TOWERPARTS, TOWER EXTENSIONS (COMPLETE) INCLUDINGÃ‚  BOLTS &amp;NUTS, STEPBOLTS,HANGERS, D-SHACKLES, PACK WASHER ETC AND EXCLUDING STUB FOR 400KV M/C(TWIN HTLS) NORMAL TOWERS (WZ3) DESIGNED AS PER IS 802-2015 FOR PLAINTERRAIN (IN COASTAL REGION); TOWER TYPE QD45+6M EXTENSION.</t>
  </si>
  <si>
    <t>FABRICATION, GALVANISING AND SUPPLY OF VARIOUS TYPE OF TOWER &amp; TOWERPARTS, TOWER EXTENSIONS (COMPLETE) INCLUDINGÃ‚  BOLTS &amp;NUTS, STEPBOLTS,HANGERS, D-SHACKLES, PACK WASHER ETC AND EXCLUDING STUB FOR 400KV M/C(TWIN HTLS) NORMAL TOWERS (WZ3) DESIGNED AS PER IS 802-2015 FOR PLAINTERRAIN (IN COASTAL REGION); TOWER TYPE QD45+9M EXTENSION.</t>
  </si>
  <si>
    <t>FABRICATION, GALVANISING AND SUPPLY OF VARIOUS TYPE OF TOWER &amp; TOWERPARTS, TOWER EXTENSIONS (COMPLETE) INCLUDINGÃ‚  BOLTS &amp;NUTS, STEPBOLTS,HANGERS, D-SHACKLES, PACK WASHER ETC AND EXCLUDING STUB FOR 400KV M/C(TWIN HTLS) NORMAL TOWERS (WZ3) DESIGNED AS PER IS 802-2015 FOR PLAINTERRAIN (IN COASTAL REGION); TOWER TYPE QD60+9M EXTENSION.</t>
  </si>
  <si>
    <t>FABRICATION, GALVANISING AND SUPPLY OF VARIOUS TYPE OF TOWER &amp; TOWERPARTS, TOWER EXTENSIONS (COMPLETE) INCLUDINGÃ‚  BOLTS &amp;NUTS, STEPBOLTS,HANGERS, D-SHACKLES, PACK WASHER ETC AND EXCLUDING STUB FOR 400KV M/C(TWIN HTLS) NORMAL TOWERS (WZ3) DESIGNED AS PER IS 802-2015 FOR PLAINTERRAIN (IN COASTAL REGION); TOWER TYPE QD60+25M EXTENSION.</t>
  </si>
  <si>
    <t>FABRICATION, GALVANISING AND SUPPLY OF STUBS &amp; CLEATS FOR VARIOUS TYPEOF TOWERS, TOWER EXTENSIONS (COMPLETE) WITH PACK WASHERS,INCLUDINGBOLTS &amp; NUTS FOR 400KV M/C (TWIN HTLS) NORMAL TOWERS (WZ3) DESIGNED ASPER IS 802-2015 FOR PLAIN TERRAIN (IN COASTAL REGION); TOWER TYPE QA(UP TO +9M EXTENSION)</t>
  </si>
  <si>
    <t>FABRICATION, GALVANISING AND SUPPLY OF STUBS &amp; CLEATS FOR VARIOUS TYPEOF TOWERS, TOWER EXTENSIONS (COMPLETE) WITH PACK WASHERS,INCLUDINGBOLTS &amp; NUTS FOR 400KV M/C (TWIN HTLS) NORMAL TOWERS (WZ3) DESIGNED ASPER IS 802-2015 FOR PLAIN TERRAIN (IN COASTAL REGION); TOWER TYPE QB(UP TO +9M EXTENSION)</t>
  </si>
  <si>
    <t>FABRICATION, GALVANISING AND SUPPLY OF STUBS &amp; CLEATS FOR VARIOUS TYPEOF TOWERS, TOWER EXTENSIONS (COMPLETE) WITH PACK WASHERS,INCLUDINGBOLTS &amp; NUTS FOR 400KV M/C (TWIN HTLS) NORMAL TOWERS (WZ3) DESIGNED ASPER IS 802-2015 FOR PLAIN TERRAIN (IN COASTAL REGION); TOWER TYPE QC(UP TO +9M EXTENSION)</t>
  </si>
  <si>
    <t>FABRICATION, GALVANISING AND SUPPLY OF STUBS &amp; CLEATS FOR VARIOUS TYPEOF TOWERS, TOWER EXTENSIONS (COMPLETE) WITH PACK WASHERS,INCLUDINGBOLTS &amp; NUTS FOR 400KV M/C (TWIN HTLS) NORMAL TOWERS (WZ3) DESIGNED ASPER IS 802-2015 FOR PLAIN TERRAIN (IN COASTAL REGION); TOWER TYPE QD45(UP TO +9M EXTENSION)</t>
  </si>
  <si>
    <t>FABRICATION, GALVANISING AND SUPPLY OF STUBS &amp; CLEATS FOR VARIOUS TYPEOF TOWERS, TOWER EXTENSIONS (COMPLETE) WITH PACK WASHERS,INCLUDINGBOLTS &amp; NUTS FOR 400KV M/C (TWIN HTLS) NORMAL TOWERS (WZ3) DESIGNED ASPER IS 802-2015 FOR PLAIN TERRAIN (IN COASTAL REGION); TOWER TYPE QD60(UP TO +9M EXTENSION)</t>
  </si>
  <si>
    <t>FABRICATION, GALVANISING AND SUPPLY OF STUBS &amp; CLEATS FOR VARIOUS TYPEOF TOWERS, TOWER EXTENSIONS (COMPLETE) WITH PACK WASHERS,INCLUDINGBOLTS &amp; NUTS FOR 400KV M/C (TWIN HTLS) NORMAL TOWERS (WZ3) DESIGNED ASPER IS 802-2015 FOR PLAIN TERRAIN (IN COASTAL REGION); TOWER TYPE QD60(FOR +18/25M EXTENSION)</t>
  </si>
  <si>
    <t>FABRICATION, GALVANISING AND SUPPLY OF 2.0M RC STUBS &amp; CLEATS FORVARIOUS TYPE OF TOWERS INCLUDING  BOLTS &amp; NUTS, PACK WASHER ETC. FOR400KV M/C (TWIN HTLS) NORMAL TOWERS (WZ3) DESIGNED AS PER IS 802-2015FOR PLAIN TERRAIN (IN COASTAL REGION); TOWER TYPE QA (UPTO 9M EXTN.)</t>
  </si>
  <si>
    <t>FABRICATION, GALVANISING AND SUPPLY OF 2.0M RC STUBS &amp; CLEATS FORVARIOUS TYPE OF TOWERS INCLUDING  BOLTS &amp; NUTS, PACK WASHER ETC. FOR400KV M/C (TWIN HTLS) NORMAL TOWERS (WZ3) DESIGNED AS PER IS 802-2015FOR PLAIN TERRAIN (IN COASTAL REGION); TOWER TYPE QC (UPTO 9M EXTN.)</t>
  </si>
  <si>
    <t>FABRICATION, GALVANISING AND SUPPLY OF 4.0M RC STUBS &amp; CLEATS FORVARIOUS TYPE OF TOWERS INCLUDING  BOLTS &amp; NUTS, PACK WASHER ETC. FOR400KV M/C (TWIN HTLS) NORMAL TOWERS (WZ3) DESIGNED AS PER IS 802-2015FOR PLAIN TERRAIN (IN COASTAL REGION); TOWER TYPE QD45 (UPTO 9M EXTN.)</t>
  </si>
  <si>
    <t>HTLS MOOSE CONDUCTOR</t>
  </si>
  <si>
    <t>Composite long rod Insulators for 400kV Transmission Line-120 KN(Length-3335 mm, Creepage-13020 mm)</t>
  </si>
  <si>
    <t>Composite long rod Insulators for 400kV Transmission Line-160 KN(Length-3910 mm, Creepage-13020 mm)</t>
  </si>
  <si>
    <t>Hardware Fittings for Twin HTLS Conductor-Single "I" Suspension String(without clamps)</t>
  </si>
  <si>
    <t>Hardware Fittings for Twin HTLS Conductor-Double TensionString(without clamps)</t>
  </si>
  <si>
    <t>Hardware Fittings for Twin HTLS Conductor-Single I Suspension String(Pilot)(without clamps)</t>
  </si>
  <si>
    <t>SUSPENSION  CLAMP  (FREE CENTRE TYPE SUSPENSION CLAMP ALONGWITHPREFORMED ARMOUR RODS OR ARMOUR GRIP SUSPENSION CLAMP) SUITABLE FORSUSPENSION INSULATOR STRING FOR HTLS MOOSE CONDUCTOR</t>
  </si>
  <si>
    <t>DEAD END CLAMP SUITABLE FOR TENSION INSULATOR STRING FOR  HTLS MOOSECONDUCTOR</t>
  </si>
  <si>
    <t>SUSPENSION  CLAMP SUITABLE FOR SUSPENSION PILOT INSULATOR STRING FORHTLS MOOSE CONDUCTOR</t>
  </si>
  <si>
    <t>MID SPAN COMPRESSION JOINT FOR HTLS MOOSE CONDUCTOR</t>
  </si>
  <si>
    <t>REPAIR SLEEVE FOR HTLS MOOSE CONDUCTOR</t>
  </si>
  <si>
    <t>SPACER DAMPER FOR HTLS MOOSE CONDUCTOR</t>
  </si>
  <si>
    <t>RIGID SPACER FOR HTLS MOOSE CONDUCTOR</t>
  </si>
  <si>
    <t>PIPE TYPE CHEMICAL EARTHING</t>
  </si>
  <si>
    <t>SUPPLY OF CHEMICAL EARTHING: COUNTERPOISE TYPE  (120M LENGTH)</t>
  </si>
  <si>
    <t>Supply of Shieldwire Earthing Counterpoise (4X30M) Type including PGclamps, downlead clamps but excluding Earthwire bits.</t>
  </si>
  <si>
    <t>EARTHING OF PILE FOUNDATION LOCATIONS</t>
  </si>
  <si>
    <t>Danger  Plate for 400kV</t>
  </si>
  <si>
    <t>Number  Plate for 400kV</t>
  </si>
  <si>
    <t>Bird Guard (Set of Three)</t>
  </si>
  <si>
    <t>BIRD DIVERTER</t>
  </si>
  <si>
    <t>Suspension clamp assembly for 24 fibre OPGW</t>
  </si>
  <si>
    <t>FABRICATION, GALVANISING AND SUPPLY OF VARIOUS TYPE OF TOWER &amp; TOWERPARTS, TOWER EXTENSIONS (COMPLETE) INCLUDINGÃ‚  BOLTS &amp;NUTS, STEPBOLTS,HANGERS, D-SHACKLES, PACK WASHER ETC AND EXCLUDING STUB FOR 400KV M/C(TWIN HTLS) NORMAL TOWERS (WZ3) DESIGNED AS PER IS 802-2015 FOR PLAINTERRAIN (IN COASTAL REGION); TOWER TYPE QD60+0M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</si>
  <si>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DA+0M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</si>
  <si>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DA+3M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</si>
  <si>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DA+6M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</si>
  <si>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DA+9M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</si>
  <si>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DB+0M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</si>
  <si>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DB+9M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</si>
  <si>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DB+12M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</si>
  <si>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DC+0M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</si>
  <si>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DC+3M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</si>
  <si>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DC+6M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</si>
  <si>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DC+9M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</si>
  <si>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DC+18M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</si>
  <si>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DD45+3M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</si>
  <si>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DD45+6M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</si>
  <si>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DD45+9M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</si>
  <si>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DD45+12M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</si>
  <si>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DD45+25M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</si>
  <si>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DD60+0M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</si>
  <si>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DD60+3M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</si>
  <si>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DD60+6M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</si>
  <si>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DD60+9M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</si>
  <si>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DD60+12M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</si>
  <si>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DD60+18M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</si>
  <si>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DD60+25M EXTENSION.</t>
  </si>
  <si>
    <t>FABRICATION, GALVANISING AND SUPPLY OF VARIOUS TYPE OF TOWER &amp; TOWERPARTS, TOWER EXTENSIONS (COMPLETE)Ã‚â‚¬Å  INCLUDINGÃ‚â‚¬Å   BOLTS &amp;NUTS,STEPBOLTS, HANGERS, D-SHACKLES, PACK WASHER ETC AND EXCLUDING STUB FOR400KV D/C (TWIN HTLS) NARROW BASE TOWERS (WZ3) DESIGNED IS 802-2015FOR PLAIN TERRAIN (IN COASTAL REGION) ; TOWER TYPE DD60+30M EXTENSION.</t>
  </si>
  <si>
    <t>FABRICATION, GALVANISING AND SUPPLY OF STUBS &amp; CLEATS FOR VARIOUSTYPEOF TOWERS, TOWER EXTENSIONS (COMPLETE) WITH PACK WASHERS,INCLUDINGBOLTS &amp; NUTSFOR 400KV D/C (TWIN HTLS) NARROW BASE TOWERS (WZ3)DESIGNED IS 802-2015 FOR PLAIN TERRAIN (IN COASTAL REGION); TOWER TYPEDA (UP TO +9M EXTENSION)</t>
  </si>
  <si>
    <t>FABRICATION, GALVANISING AND SUPPLY OF STUBS &amp; CLEATS FOR VARIOUSTYPEOF TOWERS, TOWER EXTENSIONS (COMPLETE) WITH PACK WASHERS,INCLUDINGBOLTS &amp; NUTSFOR 400KV D/C (TWIN HTLS) NARROW BASE TOWERS (WZ3)DESIGNED IS 802-2015 FOR PLAIN TERRAIN (IN COASTAL REGION); TOWER TYPEDB (UP TO +9M EXTENSION)</t>
  </si>
  <si>
    <t>FABRICATION, GALVANISING AND SUPPLY OF STUBS &amp; CLEATS FOR VARIOUSTYPEOF TOWERS, TOWER EXTENSIONS (COMPLETE) WITH PACK WASHERS,INCLUDINGBOLTS &amp; NUTSFOR 400KV D/C (TWIN HTLS) NARROW BASE TOWERS (WZ3)DESIGNED IS 802-2015 FOR PLAIN TERRAIN (IN COASTAL REGION); TOWER TYPEDB (FOR +12/15M EXTENSION)</t>
  </si>
  <si>
    <t>FABRICATION, GALVANISING AND SUPPLY OF STUBS &amp; CLEATS FOR VARIOUSTYPEOF TOWERS, TOWER EXTENSIONS (COMPLETE) WITH PACK WASHERS,INCLUDINGBOLTS &amp; NUTSFOR 400KV D/C (TWIN HTLS) NARROW BASE TOWERS (WZ3)DESIGNED IS 802-2015 FOR PLAIN TERRAIN (IN COASTAL REGION); TOWER TYPEDC (UP TO +9M EXTENSION)</t>
  </si>
  <si>
    <t>FABRICATION, GALVANISING AND SUPPLY OF STUBS &amp; CLEATS FOR VARIOUSTYPEOF TOWERS, TOWER EXTENSIONS (COMPLETE) WITH PACK WASHERS,INCLUDINGBOLTS &amp; NUTSFOR 400KV D/C (TWIN HTLS) NARROW BASE TOWERS (WZ3)DESIGNED IS 802-2015 FOR PLAIN TERRAIN (IN COASTAL REGION); TOWER TYPEDC (FOR +18/25M EXTENSION)</t>
  </si>
  <si>
    <t>FABRICATION, GALVANISING AND SUPPLY OF STUBS &amp; CLEATS FOR VARIOUSTYPEOF TOWERS, TOWER EXTENSIONS (COMPLETE) WITH PACK WASHERS,INCLUDINGBOLTS &amp; NUTSFOR 400KV D/C (TWIN HTLS) NARROW BASE TOWERS (WZ3)DESIGNED IS 802-2015 FOR PLAIN TERRAIN (IN COASTAL REGION); TOWER TYPEDD45 (UP TO +9M EXTENSION)</t>
  </si>
  <si>
    <t>FABRICATION, GALVANISING AND SUPPLY OF STUBS &amp; CLEATS FOR VARIOUSTYPEOF TOWERS, TOWER EXTENSIONS (COMPLETE) WITH PACK WASHERS,INCLUDINGBOLTS &amp; NUTSFOR 400KV D/C (TWIN HTLS) NARROW BASE TOWERS (WZ3)DESIGNED IS 802-2015 FOR PLAIN TERRAIN (IN COASTAL REGION); TOWER TYPEDD45 (FOR +12/15M EXTENSION)</t>
  </si>
  <si>
    <t>FABRICATION, GALVANISING AND SUPPLY OF STUBS &amp; CLEATS FOR VARIOUSTYPEOF TOWERS, TOWER EXTENSIONS (COMPLETE) WITH PACK WASHERS,INCLUDINGBOLTS &amp; NUTSFOR 400KV D/C (TWIN HTLS) NARROW BASE TOWERS (WZ3)DESIGNED IS 802-2015 FOR PLAIN TERRAIN (IN COASTAL REGION); TOWER TYPEDD45 (FOR +18/25M EXTENSION)</t>
  </si>
  <si>
    <t>FABRICATION, GALVANISING AND SUPPLY OF STUBS &amp; CLEATS FOR VARIOUSTYPEOF TOWERS, TOWER EXTENSIONS (COMPLETE) WITH PACK WASHERS,INCLUDINGBOLTS &amp; NUTSFOR 400KV D/C (TWIN HTLS) NARROW BASE TOWERS (WZ3)DESIGNED IS 802-2015 FOR PLAIN TERRAIN (IN COASTAL REGION); TOWER TYPEDD60 (UP TO +9M EXTENSION)</t>
  </si>
  <si>
    <t>FABRICATION, GALVANISING AND SUPPLY OF STUBS &amp; CLEATS FOR VARIOUSTYPEOF TOWERS, TOWER EXTENSIONS (COMPLETE) WITH PACK WASHERS,INCLUDINGBOLTS &amp; NUTSFOR 400KV D/C (TWIN HTLS) NARROW BASE TOWERS (WZ3)DESIGNED IS 802-2015 FOR PLAIN TERRAIN (IN COASTAL REGION); TOWER TYPEDD60 (FOR +12/15M EXTENSION)</t>
  </si>
  <si>
    <t>FABRICATION, GALVANISING AND SUPPLY OF STUBS &amp; CLEATS FOR VARIOUSTYPEOF TOWERS, TOWER EXTENSIONS (COMPLETE) WITH PACK WASHERS,INCLUDINGBOLTS &amp; NUTSFOR 400KV D/C (TWIN HTLS) NARROW BASE TOWERS (WZ3)DESIGNED IS 802-2015 FOR PLAIN TERRAIN (IN COASTAL REGION); TOWER TYPEDD60 (FOR +18/25M EXTENSION)</t>
  </si>
  <si>
    <t>FABRICATION, GALVANISING AND SUPPLY OF STUBS &amp; CLEATS FOR VARIOUSTYPEOF TOWERS, TOWER EXTENSIONS (COMPLETE) WITH PACK WASHERS,INCLUDINGBOLTS &amp; NUTSFOR 400KV D/C (TWIN HTLS) NARROW BASE TOWERS (WZ3)DESIGNED IS 802-2015 FOR PLAIN TERRAIN (IN COASTAL REGION); TOWER TYPEDD60 (FOR +30/35M EXTENSION)</t>
  </si>
  <si>
    <t>FABRICATION, GALVANIZING (UNDER MARINE ENVIRONMENT)  AND SUPPLY OFVARIOUS TYPE OF TOWER &amp; TOWER PARTS, TOWER EXTENSIONS (COMPLETE)EXCLUDING BOLTS &amp; NUTS, STEP BOLTS AND STUBS BUT INCLUDING HANGERS,D-SHACKLES, PACK WASHER ETC.- HT STEEL FOR NORMAL TOWERS</t>
  </si>
  <si>
    <t>FABRICATION, GALVANIZING (UNDER MARINE ENVIRONMENT)  AND SUPPLY OFVARIOUS TYPE OF TOWER &amp; TOWER PARTS, TOWER EXTENSIONS (COMPLETE)EXCLUDING BOLTS &amp; NUTS, STEP BOLTS AND STUBS BUT INCLUDING HANGERS,D-SHACKLES, PACK WASHER ETC.- MS STEEL FOR NORMAL TOWERS</t>
  </si>
  <si>
    <t>FABRICATION, GALVANIZING (UNDER MARINE ENVIRONMENT)  AND SUPPLY OFSTUBS &amp; CLEATS FOR VARIOUS TYPE OF TOWERS, TOWER EXTENSIONS (COMPLETE)WITH PACK WASHERS, EXCLUDING BOLTS &amp; NUTS- HT STEEL FOR NORMAL TOWERS</t>
  </si>
  <si>
    <t>7/3.66 G.S. EARTHWIRE</t>
  </si>
  <si>
    <t>Mid Span Compression Joint -7/3.66mm Earth Wire</t>
  </si>
  <si>
    <t>FLEXIBLE ALUMUNIUM BOND</t>
  </si>
  <si>
    <t>Vibration damper -7/3.66mm Earth Wire</t>
  </si>
  <si>
    <t>Suspension clamp assembly -7/3.66mm Earth Wire</t>
  </si>
  <si>
    <t>Tension clamp assembly-7/3.66mm Earth Wire</t>
  </si>
  <si>
    <t xml:space="preserve">Survey                                  </t>
  </si>
  <si>
    <t xml:space="preserve">Soil investigation                      </t>
  </si>
  <si>
    <t xml:space="preserve">Benching                                </t>
  </si>
  <si>
    <t xml:space="preserve">Works Associated with Foundation        </t>
  </si>
  <si>
    <t xml:space="preserve">Works Associated with Pile Foundation   </t>
  </si>
  <si>
    <t xml:space="preserve">Erection                                </t>
  </si>
  <si>
    <t xml:space="preserve">Installation of tower accessories       </t>
  </si>
  <si>
    <t xml:space="preserve">Installation of earthing of towers      </t>
  </si>
  <si>
    <t xml:space="preserve">Protection of tower footing             </t>
  </si>
  <si>
    <t xml:space="preserve">Aviation Service                        </t>
  </si>
  <si>
    <t xml:space="preserve">Stringing                               </t>
  </si>
  <si>
    <t xml:space="preserve">Labour Facilities                       </t>
  </si>
  <si>
    <t xml:space="preserve">OPGW INSTALLATION                       </t>
  </si>
  <si>
    <t xml:space="preserve">Foundation Works (Gujrat&amp;Dnd)           </t>
  </si>
  <si>
    <t xml:space="preserve">Foundation Works (Maharashtra)          </t>
  </si>
  <si>
    <t>Detailed soil investigation- River Crossing Location</t>
  </si>
  <si>
    <t>Design &amp; Installation of  FS foundation including all associated works as specified in TS upto 3.5 m foundation depth for 400KV M/C(Twin HTLS) Normal Towers (WZ3) designed as per IS 802-2015 for plain terrain (in coastal region); Tower type QA(-3.0M ext upto +0Mext)</t>
  </si>
  <si>
    <t>Design &amp; Installation of  WET foundation including all associated works as specified in TS upto 3.5 m foundation depth for 400KV M/C(Twin HTLS) Normal Towers (WZ3) designed as per IS 802-2015 for plain terrain (in coastal region); Tower type QA(+1.5M ext upto +9Mext)</t>
  </si>
  <si>
    <t>Design &amp; Installation of  WET PADDY foundation including all associated works as specified in TS upto 3.5 m foundation depth for400KV M/C (Twin HTLS) Normal Towers (WZ3) designed as per IS 802-2015 for plain terrain (in coastal region); Tower type QA(+1.5M extupto +9M ext)</t>
  </si>
  <si>
    <t>Design &amp; Installation of  FS foundation including all associated works as specified in TS upto 3.5 m foundation depth for 400KV M/C(Twin HTLS) Normal Towers (WZ3) designed as per IS 802-2015 for plain terrain (in coastal region); Tower type QA(+1.5M ext upto +9Mext)</t>
  </si>
  <si>
    <t>Design &amp; Installation of WFR  foundation including all associated works as specified in TS upto 3.5 m foundation depth for 400KV M/C(Twin HTLS) Normal Towers (WZ3) designed as per IS 802-2015 for plain terrain (in coastal region); Tower type QA(+1.5M ext upto +9Mext)</t>
  </si>
  <si>
    <t>Design &amp; Installation of SANDY  foundation including all associated works as specified in TS upto 3.5 m foundation depth for 400KVM/C (Twin HTLS) Normal Towers (WZ3) designed as per IS 802-2015 for plain terrain (in coastal region); Tower type QA(+1.5M ext upto+9M ext)</t>
  </si>
  <si>
    <t>Design &amp; Installation of  WET PADDY foundation including all associated works as specified in TS upto 3.5 m foundation depth for400KV M/C (Twin HTLS) Normal Towers (WZ3) designed as per IS 802-2015 for plain terrain (in coastal region); Tower type QB2(+1.5Mext upto +9M ext)</t>
  </si>
  <si>
    <t>Design &amp; Installation of SANDY  foundation including all associated works as specified in TS upto 3.5 m foundation depth for 400KVM/C (Twin HTLS) Normal Towers (WZ3) designed as per IS 802-2015 for plain terrain (in coastal region); Tower type QB2(+1.5M ext upto+9M ext)</t>
  </si>
  <si>
    <t>Design &amp; Installation of  WET PADDY foundation including all associated works as specified in TS upto 3.5 m foundation depth for400KV M/C (Twin HTLS) Normal Towers (WZ3) designed as per IS 802-2015 for plain terrain (in coastal region); Tower type QC1(+1.5Mext upto +9M ext)</t>
  </si>
  <si>
    <t>Design &amp; Installation of SANDY  foundation including all associated works as specified in TS upto 3.5 m foundation depth for 400KVM/C (Twin HTLS) Normal Towers (WZ3) designed as per IS 802-2015 for plain terrain (in coastal region); Tower type QC1(+1.5M ext upto+9M ext)</t>
  </si>
  <si>
    <t>Design &amp; Installation of  FS foundation including all associated works as specified in TS upto 3.5 m foundation depth for 400KV M/C(Twin HTLS) Normal Towers (WZ3) designed as per IS 802-2015 for plain terrain (in coastal region); Tower type QC2(+1.5M ext upto +9Mext)</t>
  </si>
  <si>
    <t>Design &amp; Installation of  WET PADDY foundation including all associated works as specified in TS upto 3.5 m foundation depth for400KV M/C (Twin HTLS) Normal Towers (WZ3) designed as per IS 802-2015 for plain terrain (in coastal region); Tower type QD45(+1.5Mext upto +9M ext)</t>
  </si>
  <si>
    <t>Design &amp; Installation of  FS foundation including all associated works as specified in TS upto 3.5 m foundation depth for 400KV M/C(Twin HTLS) Normal Towers (WZ3) designed as per IS 802-2015 for plain terrain (in coastal region); Tower type QD45(+1.5M ext upto+9M ext)</t>
  </si>
  <si>
    <t>Design &amp; Installation of SANDY  foundation including all associated works as specified in TS upto 3.5 m foundation depth for 400KVM/C (Twin HTLS) Normal Towers (WZ3) designed as per IS 802-2015 for plain terrain (in coastal region); Tower type QD45(+1.5M extupto +9M ext)</t>
  </si>
  <si>
    <t>Design &amp; Installation of SANDY  foundation including all associated works as specified in TS upto 3.5 m foundation depth for 400KVM/C (Twin HTLS) Normal Towers (WZ3) designed as per IS 802-2015 for plain terrain (in coastal region); Tower type QD60(+1.5M extupto +9M ext)</t>
  </si>
  <si>
    <t>Design &amp; Installation of  FS foundation including all associated works as specified in TS upto 3.5 m foundation depth for 400KV M/C(Twin HTLS) Normal Towers (WZ3) designed as per IS 802-2015 for plain terrain (in coastal region); Tower type QD60(+18/25M ext)</t>
  </si>
  <si>
    <t>Design &amp; Installation of  FS foundation including all works as specified in Volume-II of  TS upto 3.5 m foundation depth for 400KVM/C (twin HTLS) Normal Towers (WZ3) Designed AS PER IS 802-2015 for plain area tower type QA(-3.0M ext upto +0M ext) for 2.0MRC</t>
  </si>
  <si>
    <t>Design &amp; Installation of  FS foundation including all works as specified in Volume-II of  TS upto 3.5 m foundation depth for 400KVM/C (twin HTLS) Normal Towers (WZ3) Designed AS PER IS 802-2015 for plain area tower type QA(+1.5M ext upto +9M ext) for 2.0MRC</t>
  </si>
  <si>
    <t>Design &amp; Installation of  FS foundation including all works as specified in Volume-II of  TS upto 3.5 m foundation depth for 400KVM/C (twin HTLS) Normal Towers (WZ3) Designed AS PER IS 802-2015 for plain area tower type QC2(+1.5M ext upto +9M ext) for 2.0MRC</t>
  </si>
  <si>
    <t>Design &amp; Installation of  FS foundation including all works as specified in Volume-II of  TS upto 3.5 m foundation depth for 400KVM/C (twin HTLS) Normal Towers (WZ3) Designed AS PER IS 802-2015 for plain area tower type QD45(+1.5M ext upto +9M ext) for 4.0MRC</t>
  </si>
  <si>
    <t>Installation of Stub including cleats, bolts and nuts for 400kV M/C (Twin HTLS) Normal Towers (WZ3) IN COASTAL REGION; TOWER TYPE QA(UP TO +9M exten).</t>
  </si>
  <si>
    <t>Installation of Stub including cleats, bolts and nuts for 400kV M/C (Twin HTLS) Normal Towers (WZ3) IN COASTAL REGION; TOWER TYPE QB(UP TO +9M exten).</t>
  </si>
  <si>
    <t>Installation of Stub including cleats, bolts and nuts for 400kV M/C (Twin HTLS) Normal Towers (WZ3) IN COASTAL REGION; TOWER TYPE QC(UP TO +9M exten).</t>
  </si>
  <si>
    <t>Installation of Stub including cleats, bolts and nuts for 400kV M/C (Twin HTLS) Normal Towers (WZ3) IN COASTAL REGION; TOWER TYPEQD45 (UP TO +9M exten).</t>
  </si>
  <si>
    <t>Installation of Stub including cleats, bolts and nuts for 400kV M/C (Twin HTLS) Normal Towers (WZ3) IN COASTAL REGION; TOWER TYPEQD60 (UP TO +9M exten).</t>
  </si>
  <si>
    <t>Installation of Stub including cleats, bolts and nuts for 400kV M/C (Twin HTLS) Normal Towers (WZ3) IN COASTAL REGION; TOWER TYPEQD60 (FOR +18/25M exten).</t>
  </si>
  <si>
    <t>INSTALLATION OF 2.0 MRC STUB INCLUDING CLEATS, BOLTS AND NUTS FOR 400kV M/C (twin HTLS) NORMAL TOWERS (WZ3) IN COASTAL REGION :TOWERTYPE QA (UP TO +9M EXTN.)</t>
  </si>
  <si>
    <t>INSTALLATION OF 2.0 MRC STUB INCLUDING CLEATS, BOLTS AND NUTS FOR 400kV M/C (twin HTLS) NORMAL TOWERS (WZ3) IN COASTAL REGION :TOWERTYPE QC (UP TO +9M EXTN.)</t>
  </si>
  <si>
    <t>INSTALLATION OF 4.0 MRC STUB INCLUDING CLEATS, BOLTS AND NUTS FOR 400kV M/C (twin HTLS) NORMAL TOWERS (WZ3) IN COASTAL REGION :TOWERTYPE QD45 (UP TO +9M EXTN.)</t>
  </si>
  <si>
    <t>Boring, providing and installation of bored Cast-in-situ RCC vertical piles of specified diameter and of any length below the pilecap with M30 grade of cement concrete, excluding the cost of reinforcement steel but including  the cost of boring with temporaryGuide casing, bentonite solution and the length of pile to be embeded in the pile cap (length of pile for payment shall be measuredfrom bottom of pile cap), all necessary labour, materials, plants, tools &amp; tackles etc., complete, as necessary for proper executionof the job. (Boring in all types of rocks excluded). : 1200mm diameter R.C.C.vertical bored pile upto 50 m from bottom of pile cap.</t>
  </si>
  <si>
    <t>Extra rate over item (1200mm diameter R.C.C.vertical bored pile upto 50 m from bottom of pile cap.) for boring including socketing,anchoring (if required) with required size,nos. &amp; depth of Reinforcement in hard rock upto a maximum depth of 10m</t>
  </si>
  <si>
    <t>Excavation where ever required for pile cap /tie etc. (other than boring)  for all depth and size, in all types of soils includingdisposal of excavated materials for all lifts and leads,decent etc.as directed by Engineer - In -charge, together with all labour,tools &amp; tackles, sheeting, sheet piling, dewatering etc. complete as required for proper execution of the job.</t>
  </si>
  <si>
    <t>Back filling with available excavatedearth for all leads and lifts in sidesof foundations and other under groundfacilities in horizontal layers notexceeding 20 cm. in depth consolidatingeach deposited layer by ramming andwatering etc. as per specification andinstruction of Engineer -in-charge.</t>
  </si>
  <si>
    <t>Form work for placing plain or reinforced cement concrete of any type including blockout and section at any elevationshoring,shuttering,strutting,propping, scaffolding,tieing,nailing,including all labour, materials, equipments, waste for form,caulking,dismantling &amp; removal of forms etc. complete.</t>
  </si>
  <si>
    <t>Supply and placing of  reinforcement steel of specified grade for R.C.C. work in pile,pile cap, pedestal / chimney, tie beam (ifrequired) including straightening, cutting, bending, binding etc. all complete for marine location</t>
  </si>
  <si>
    <t>Providing and laying in position M30 Grade reinforced cement concrete for pile caps, pedestal/chimney  and tie beam(if required),excluding reinforcement steel and  form work but including cement, all necessary tools and  tackles,labour, materials, equipmentsfor handling,transpor-tation, batching, mixing,placing, vibrating,dewatering, curing  etc.all complete as per specification and asper instruction of Engineer-In- Charge (excluding cost of concrete in piles which is included in item no.1.1).</t>
  </si>
  <si>
    <t>Providing and laying plain cementconcrete 1:4:8 (1cement : 4 coarsesand: 8 graded stone aggregate 40mmnominal size) including cement, allnecessary tools and tackles,labour,materials, equipments forhandling,transportation,mixing,placing,vibrating,dewatering etc.all completeas per Specification .</t>
  </si>
  <si>
    <t>Conducting Standard Penetration Test (SPT) at various elevations in pile bore holes in all kind of soils including all labour,materials, tools and tackles, equipments etc. required for successful completion of the job.</t>
  </si>
  <si>
    <t>Supply and Providing M.S. liner of 6mm. thick in piles upto 10m. Depth (maxm.) from bottom of pile cap, limited to the  approveddrawing, including supply, straightening, bending, welding,all supports, labours, tools and tackles, plants &amp; equipments, withprimer and paintinting etc. (complete) as required for successful completion of the job</t>
  </si>
  <si>
    <t>Conducting integrity test on pile usingelectronic control unit,hand heldhammer, accelerometer, computer withrequired software to assessas-installed pile characteresticsincluding mobilisation of necessarymanpower, equipments, materials etc.required for successful completion ofthe job</t>
  </si>
  <si>
    <t>Erection of various type of towers,tower parts and tower extension (complete) with bolts and nuts, including tack welding andsupplyand application of zinc rich  paint for 400kV M/C (TWIN HTLS) Normal Towers(WZ3)  Designed for tower type QA+0M</t>
  </si>
  <si>
    <t>Erection of various type of towers,tower parts and tower extension (complete) with bolts and nuts, including tack welding andsupplyand application of zinc rich  paint for 400kV M/C (TWIN HTLS) Normal Towers(WZ3)  Designed for tower type QA+3M</t>
  </si>
  <si>
    <t>Erection of various type of towers,tower parts and tower extension (complete) with bolts and nuts, including tack welding andsupplyand application of zinc rich  paint for 400kV M/C (TWIN HTLS) Normal Towers(WZ3)  Designed for tower type QA+6M</t>
  </si>
  <si>
    <t>Erection of various type of towers,tower parts and tower extension (complete) with bolts and nuts, including tack welding andsupplyand application of zinc rich  paint for 400kV M/C (TWIN HTLS) Normal Towers(WZ3)  Designed for tower type QA+9M</t>
  </si>
  <si>
    <t>Erection of various type of towers,tower parts and tower extension (complete) with bolts and nuts, including tack welding andsupplyand application of zinc rich  paint for 400kV M/C (TWIN HTLS) Normal Towers(WZ3)  Designed for tower type QB+3M</t>
  </si>
  <si>
    <t>Erection of various type of towers,tower parts and tower extension (complete) with bolts and nuts, including tack welding andsupplyand application of zinc rich  paint for 400kV M/C (TWIN HTLS) Normal Towers(WZ3)  Designed for tower type QB+6M</t>
  </si>
  <si>
    <t>Erection of various type of towers,tower parts and tower extension (complete) with bolts and nuts, including tack welding andsupplyand application of zinc rich  paint for 400kV M/C (TWIN HTLS) Normal Towers(WZ3)  Designed for tower type QC+6M</t>
  </si>
  <si>
    <t>Erection of various type of towers,tower parts and tower extension (complete) with bolts and nuts, including tack welding andsupplyand application of zinc rich  paint for 400kV M/C (TWIN HTLS) Normal Towers(WZ3)  Designed for tower type QC+9M</t>
  </si>
  <si>
    <t>Erection of various type of towers,tower parts and tower extension (complete) with bolts and nuts, including tack welding andsupplyand application of zinc rich  paint for 400kV M/C (TWIN HTLS) Normal Towers(WZ3)  Designed for tower type QD45+6M</t>
  </si>
  <si>
    <t>Erection of various type of towers,tower parts and tower extension (complete) with bolts and nuts, including tack welding andsupplyand application of zinc rich  paint for 400kV M/C (TWIN HTLS) Normal Towers(WZ3)  Designed for tower type QD45+9M</t>
  </si>
  <si>
    <t>Erection of various type of towers,tower parts and tower extension (complete) with bolts and nuts, including tack welding andsupplyand application of zinc rich  paint for 400kV M/C (TWIN HTLS) Normal Towers(WZ3)  Designed for tower type QD60+9M</t>
  </si>
  <si>
    <t>Erection of various type of towers,tower parts and tower extension (complete) with bolts and nuts, including tack welding andsupplyand application of zinc rich  paint for 400kV M/C (TWIN HTLS) Normal Towers(WZ3)  Designed for tower type QD60+25M</t>
  </si>
  <si>
    <t>Installation of tower accessories: Bird Guard (Set of Three)</t>
  </si>
  <si>
    <t>Installation of Bird diverter .</t>
  </si>
  <si>
    <t>Installation of Shieldwire Earthing Counterpoise (4X30M) type including PG clamps, Downlead clamps and  Earthwire bits. Shieldwireearthing (Pipe Type/counterpoise type) shall be an in addition to Tower Earthing (Pipe type/counterpoise type)</t>
  </si>
  <si>
    <t>Installation of Chemical earthing of towers: Pipe Type .</t>
  </si>
  <si>
    <t>Installation of Chemical earthing of towers: Counterpoise Type (120m length).</t>
  </si>
  <si>
    <t>CONCRETE NOMINAL MIX 1:3:6 FOR FOUNDATION FOR REVETMENT</t>
  </si>
  <si>
    <t>Painting of Normal Towers</t>
  </si>
  <si>
    <t>Installation of Obstruction Lights for Aviation requirements 1 Medium Intensity Plus 2 Low Intensity</t>
  </si>
  <si>
    <t>Installation of insulator strings complete with arcing horns and necessary hardware, installing and stringing of twin-twin HTLSconductor including fixing of conductor accessories, installing and stringing of earthwire/OPGW including fixing of earthwire/OPGWaccessories for the 400kV M/C line</t>
  </si>
  <si>
    <t>ESTABLISHMENT OF LABOUR CAMPS AS PER PROVISION UNDER FACILITIES TO BE INCORPORATED FOR LABOURERS IN TECHNICAL SPECIFICATION</t>
  </si>
  <si>
    <t>M30 DESIGN MIX CONCRETE</t>
  </si>
  <si>
    <t>Providing and laying of Plain Cement Concrete (PCC) (1:1.5:3)</t>
  </si>
  <si>
    <t>Supply and placement of Fusion Bonded Exopy Coated reinforcement steel (Conforming to IS 13620)</t>
  </si>
  <si>
    <t>Excavation: Wet Soil</t>
  </si>
  <si>
    <t>Excavation: Wet Fissured Rock</t>
  </si>
  <si>
    <t>Design &amp; Installation of  WET PADDY foundation including all associated works as specified in TS upto 3.5 m foundation depth for400KV M/C (Twin HTLS) Normal Towers (WZ3) designed as per IS 802-2015 for plain terrain (in coastal region); Tower type QC2(+1.5Mext upto +9M ext)</t>
  </si>
  <si>
    <t>Design &amp; Installation of  WET PADDY foundation including all associated works as specified in TS upto 3.5 m foundation depth for400KV M/C (Twin HTLS) Normal Towers (WZ3) designed as per IS 802-2015 for plain terrain (in coastal region); Tower type QD60(-3.0Mext upto +0M ext)</t>
  </si>
  <si>
    <t>Design &amp; Installation of  WET foundation including all associated works as specified in TS upto 3.5 m foundation depth for 400KV M/C(Twin HTLS) Normal Towers (WZ3) designed as per IS 802-2015 for plain terrain (in coastal region); Tower type QD60(+1.5M ext upto+9M ext)</t>
  </si>
  <si>
    <t>Design &amp; Installation of  WET PADDY foundation including all associated works as specified in TS upto 3.5 m foundation depth for400KV M/C (Twin HTLS) Normal Towers (WZ3) designed as per IS 802-2015 for plain terrain (in coastal region); Tower type QD60(+1.5Mext upto +9M ext)</t>
  </si>
  <si>
    <t>Design &amp; Installation of  PS foundation including all associated works as specified in TS upto 3.5 m foundation depth for 400KV M/C(Twin HTLS) Normal Towers (WZ3) designed as per IS 802-2015 for plain terrain (in coastal region); Tower type QD60(+1.5M ext upto+9M ext)</t>
  </si>
  <si>
    <t>Design &amp; Installation of  DRY foundation including all associated works as specified in TS upto 3.5 m foundation depth for 400KV D/C(Twin HTLS) Narrow Base Towers (WZ3) designed as per IS 802-2015 for plain terrain (in coastal region); Tower type DA(+1.5M ext upto+9M ext)</t>
  </si>
  <si>
    <t>Design &amp; Installation of  WET foundation including all associated works as specified in TS upto 3.5 m foundation depth for 400KV D/C(Twin HTLS) Narrow Base Towers (WZ3) designed as per IS 802-2015 for plain terrain (in coastal region); Tower type DA(+1.5M ext upto+9M ext)</t>
  </si>
  <si>
    <t>Design &amp; Installation of  WET PADDY foundation including all associated works as specified in TS upto 3.5 m foundation depth for400KV D/C (Twin HTLS) Narrow Base Towers (WZ3) designed as per IS 802-2015 for plain terrain (in coastal region); Tower typeDA(+1.5M ext upto +9M ext)</t>
  </si>
  <si>
    <t>Design &amp; Installation of  PS foundation including all associated works as specified in TS upto 3.5 m foundation depth for 400KV D/C(Twin HTLS) Narrow Base Towers (WZ3) designed as per IS 802-2015 for plain terrain (in coastal region); Tower type DA(+1.5M ext upto+9M ext)</t>
  </si>
  <si>
    <t>Design &amp; Installation of DFR  foundation including all associated works as specified in TS upto 3.5 m foundation depth for 400KV D/C(Twin HTLS) Narrow Base Towers (WZ3) designed as per IS 802-2015 for plain terrain (in coastal region); Tower type DA(+1.5M ext upto+9M ext)</t>
  </si>
  <si>
    <t>Design &amp; Installation of  WET PADDY foundation including all associated works as specified in TS upto 3.5 m foundation depth for400KV D/C (Twin HTLS) Narrow Base Towers (WZ3) designed as per IS 802-2015 for plain terrain (in coastal region); Tower typeDB1(-3.0M ext upto +0M ext)</t>
  </si>
  <si>
    <t>Design &amp; Installation of  WET foundation including all associated works as specified in TS upto 3.5 m foundation depth for 400KV D/C(Twin HTLS) Narrow Base Towers (WZ3) designed as per IS 802-2015 for plain terrain (in coastal region); Tower type DB1(+1.5M extupto +9M ext)</t>
  </si>
  <si>
    <t>Design &amp; Installation of  WET PADDY foundation including all associated works as specified in TS upto 3.5 m foundation depth for400KV D/C (Twin HTLS) Narrow Base Towers (WZ3) designed as per IS 802-2015 for plain terrain (in coastal region); Tower typeDB1(+1.5M ext upto +9M ext)</t>
  </si>
  <si>
    <t>Design &amp; Installation of  WET foundation including all associated works as specified in TS upto 3.5 m foundation depth for 400KV D/C(Twin HTLS) Narrow Base Towers (WZ3) designed as per IS 802-2015 for plain terrain (in coastal region); Tower type DC1(-3.0M extupto +0M ext)</t>
  </si>
  <si>
    <t>Design &amp; Installation of  WET foundation including all associated works as specified in TS upto 3.5 m foundation depth for 400KV D/C(Twin HTLS) Narrow Base Towers (WZ3) designed as per IS 802-2015 for plain terrain (in coastal region); Tower type DC1(+1.5M extupto +9M ext)</t>
  </si>
  <si>
    <t>Design &amp; Installation of WFR  foundation including all associated works as specified in TS upto 3.5 m foundation depth for 400KV D/C(Twin HTLS) Narrow Base Towers (WZ3) designed as per IS 802-2015 for plain terrain (in coastal region); Tower type DC1(+1.5M extupto +9M ext)</t>
  </si>
  <si>
    <t>Design &amp; Installation of  WET foundation including all associated works as specified in TS upto 3.5 m foundation depth for 400KV D/C(Twin HTLS) Narrow Base Towers (WZ3) designed as per IS 802-2015 for plain terrain (in coastal region); Tower type DC2(+1.5M extupto +9M ext)</t>
  </si>
  <si>
    <t>Design &amp; Installation of  WET PADDY foundation including all associated works as specified in TS upto 3.5 m foundation depth for400KV D/C (Twin HTLS) Narrow Base Towers (WZ3) designed as per IS 802-2015 for plain terrain (in coastal region); Tower typeDC2(+1.5M ext upto +9M ext)</t>
  </si>
  <si>
    <t>Design &amp; Installation of  PS foundation including all associated works as specified in TS upto 3.5 m foundation depth for 400KV D/C(Twin HTLS) Narrow Base Towers (WZ3) designed as per IS 802-2015 for plain terrain (in coastal region); Tower type DC2(+1.5M extupto +9M ext)</t>
  </si>
  <si>
    <t>Design &amp; Installation of  WET foundation including all associated works as specified in TS upto 3.5 m foundation depth for 400KV D/C(Twin HTLS) Narrow Base Towers (WZ3) designed as per IS 802-2015 for plain terrain (in coastal region); Tower type DD45(+1.5M extupto +9M ext)</t>
  </si>
  <si>
    <t>Design &amp; Installation of  WET PADDY foundation including all associated works as specified in TS upto 3.5 m foundation depth for400KV D/C (Twin HTLS) Narrow Base Towers (WZ3) designed as per IS 802-2015 for plain terrain (in coastal region); Tower typeDD45(+1.5M ext upto +9M ext)</t>
  </si>
  <si>
    <t>Design &amp; Installation of  WET PADDY foundation including all associated works as specified in TS upto 3.5 m foundation depth for400KV D/C (Twin HTLS) Narrow Base Towers (WZ3) designed as per IS 802-2015 for plain terrain (in coastal region); Tower typeDD60(-3.0M ext upto +0M ext)</t>
  </si>
  <si>
    <t>Design &amp; Installation of  WET foundation including all associated works as specified in TS upto 3.5 m foundation depth for 400KV D/C(Twin HTLS) Narrow Base Towers (WZ3) designed as per IS 802-2015 for plain terrain (in coastal region); Tower type DD60(+1.5M extupto +9M ext)</t>
  </si>
  <si>
    <t>Design &amp; Installation of  WET PADDY foundation including all associated works as specified in TS upto 3.5 m foundation depth for400KV D/C (Twin HTLS) Narrow Base Towers (WZ3) designed as per IS 802-2015 for plain terrain (in coastal region); Tower typeDD60(+1.5M ext upto +9M ext)</t>
  </si>
  <si>
    <t>Design &amp; Installation of  PS foundation including all associated works as specified in TS upto 3.5 m foundation depth for 400KV D/C(Twin HTLS) Narrow Base Towers (WZ3) designed as per IS 802-2015 for plain terrain (in coastal region); Tower type DD60(+1.5M extupto +9M ext)</t>
  </si>
  <si>
    <t>Design &amp; Installation of DFR  foundation including all associated works as specified in TS upto 3.5 m foundation depth for 400KV D/C(Twin HTLS) Narrow Base Towers (WZ3) designed as per IS 802-2015 for plain terrain (in coastal region); Tower type DD60(+1.5M extupto +9M ext)</t>
  </si>
  <si>
    <t>Design &amp; Installation of  WET PADDY foundation including all associated works as specified in TS upto 3.5 m foundation depth for400KV D/C (Twin HTLS) Narrow Base Towers (WZ3) designed as per IS 802-2015 for plain terrain (in coastal region); Tower typeDD60(+12/15M ext)</t>
  </si>
  <si>
    <t>Design &amp; Installation of  PS foundation including all associated works as specified in TS upto 3.5 m foundation depth for 400KV D/C(Twin HTLS) Narrow Base Towers (WZ3) designed as per IS 802-2015 for plain terrain (in coastal region); Tower type DD60(+18/25M ext)</t>
  </si>
  <si>
    <t>INSTALLATION OF STUB INCLUDING CLEATS, BOLTS AND NUTS FOR 400KV D/C (TWIN HTLS) NARROW BASE TOWERS (WZ3) IN COASTAL REGION DESIGNEDDA TOWER (UP TO +9M EXTEN).</t>
  </si>
  <si>
    <t>INSTALLATION OF STUB INCLUDING CLEATS, BOLTS AND NUTS FOR 400KV D/C (TWIN HTLS) NARROW BASE TOWERS (WZ3) IN COASTAL REGION DESIGNEDDB TOWER (UP TO +9M EXTEN).</t>
  </si>
  <si>
    <t>INSTALLATION OF STUB INCLUDING CLEATS, BOLTS AND NUTS FOR 400KV D/C (TWIN HTLS) NARROW BASE TOWERS (WZ3) IN COASTAL REGION DESIGNEDDC TOWER (UP TO +9M EXTEN).</t>
  </si>
  <si>
    <t>INSTALLATION OF STUB INCLUDING CLEATS, BOLTS AND NUTS FOR 400KV D/C (TWIN HTLS) NARROW BASE TOWERS (WZ3) IN COASTAL REGION DESIGNEDDD45 TOWER (UP TO +9M EXTEN).</t>
  </si>
  <si>
    <t>INSTALLATION OF STUB INCLUDING CLEATS, BOLTS AND NUTS FOR 400KV D/C (TWIN HTLS) NARROW BASE TOWERS (WZ3) IN COASTAL REGION DESIGNEDDD60 TOWER (UP TO +9M EXTEN).</t>
  </si>
  <si>
    <t>INSTALLATION OF STUB INCLUDING CLEATS, BOLTS AND NUTS FOR 400KV D/C (TWIN HTLS) NARROW BASE TOWERS (WZ3) IN COASTAL REGION DESIGNEDDD60 TOWER  (FOR +12/15M EXTN.)</t>
  </si>
  <si>
    <t>INSTALLATION OF STUB INCLUDING CLEATS, BOLTS AND NUTS FOR 400KV D/C (TWIN HTLS) NARROW BASE TOWERS (WZ3) IN COASTAL REGION DESIGNEDDD60 TOWER  (FOR +18/25M EXTN.)</t>
  </si>
  <si>
    <t>Design &amp; Installation of  WET PADDY foundation with soil properties of Maharashtra including all associated works as specified in TSupto 3.5 m foundation depth for 400KV D/C (Twin HTLS) Narrow Base Towers (WZ3) designed as per IS 802-2015 for plain terrain (incoastal region); Tower type DA(-3.0M ext upto +0M ext)</t>
  </si>
  <si>
    <t>Design &amp; Installation of  DRY foundation with soil properties of Maharashtra including all associated works as specified in TS upto3.5 m foundation depth for 400KV D/C (Twin HTLS) Narrow Base Towers (WZ3) designed as per IS 802-2015 for plain terrain (in coastalregion); Tower type DA(+1.5M ext upto +9M ext)</t>
  </si>
  <si>
    <t>Design &amp; Installation of  WET foundation with soil properties of Maharashtra including all associated works as specified in TS upto3.5 m foundation depth for 400KV D/C (Twin HTLS) Narrow Base Towers (WZ3) designed as per IS 802-2015 for plain terrain (in coastalregion); Tower type DA(+1.5M ext upto +9M ext)</t>
  </si>
  <si>
    <t>Design &amp; Installation of  WET PADDY foundation with soil properties of Maharashtra including all associated works as specified in TSupto 3.5 m foundation depth for 400KV D/C (Twin HTLS) Narrow Base Towers (WZ3) designed as per IS 802-2015 for plain terrain (incoastal region); Tower type DA(+1.5M ext upto +9M ext)</t>
  </si>
  <si>
    <t>Design &amp; Installation of  WET foundation with soil properties of Maharashtra including all associated works as specified in TS upto3.5 m foundation depth for 400KV D/C (Twin HTLS) Narrow Base Towers (WZ3) designed as per IS 802-2015 for plain terrain (in coastalregion); Tower type DB1(+12/15M ext)</t>
  </si>
  <si>
    <t>Design &amp; Installation of  WET PADDY foundation with soil properties of Maharashtra including all associated works as specified in TSupto 3.5 m foundation depth for 400KV D/C (Twin HTLS) Narrow Base Towers (WZ3) designed as per IS 802-2015 for plain terrain (incoastal region); Tower type DB2(+1.5M ext upto +9M ext)</t>
  </si>
  <si>
    <t>Design &amp; Installation of  WET foundation with soil properties of Maharashtra including all associated works as specified in TS upto3.5 m foundation depth for 400KV D/C (Twin HTLS) Narrow Base Towers (WZ3) designed as per IS 802-2015 for plain terrain (in coastalregion); Tower type DC1(+1.5M ext upto +9M ext)</t>
  </si>
  <si>
    <t>Design &amp; Installation of  WET foundation with soil properties of Maharashtra including all associated works as specified in TS upto3.5 m foundation depth for 400KV D/C (Twin HTLS) Narrow Base Towers (WZ3) designed as per IS 802-2015 for plain terrain (in coastalregion); Tower type DC2(+1.5M ext upto +9M ext)</t>
  </si>
  <si>
    <t>Design &amp; Installation of  PS foundation with soil properties of Maharashtra including all associated works as specified in TS upto3.5 m foundation depth for 400KV D/C (Twin HTLS) Narrow Base Towers (WZ3) designed as per IS 802-2015 for plain terrain (in coastalregion); Tower type DC2(+18/25M ext)</t>
  </si>
  <si>
    <t>Design &amp; Installation of  WET foundation with soil properties of Maharashtra including all associated works as specified in TS upto3.5 m foundation depth for 400KV D/C (Twin HTLS) Narrow Base Towers (WZ3) designed as per IS 802-2015 for plain terrain (in coastalregion); Tower type DD45(+1.5M ext upto +9M ext)</t>
  </si>
  <si>
    <t>Design &amp; Installation of  WET foundation with soil properties of Maharashtra including all associated works as specified in TS upto3.5 m foundation depth for 400KV D/C (Twin HTLS) Narrow Base Towers (WZ3) designed as per IS 802-2015 for plain terrain (in coastalregion); Tower type DD45(+12/15M ext)</t>
  </si>
  <si>
    <t>Design &amp; Installation of  WET foundation with soil properties of Maharashtra including all associated works as specified in TS upto3.5 m foundation depth for 400KV D/C (Twin HTLS) Narrow Base Towers (WZ3) designed as per IS 802-2015 for plain terrain (in coastalregion); Tower type DD45(+18/25M ext)</t>
  </si>
  <si>
    <t>Design &amp; Installation of  WET foundation with soil properties of Maharashtra including all associated works as specified in TS upto3.5 m foundation depth for 400KV D/C (Twin HTLS) Narrow Base Towers (WZ3) designed as per IS 802-2015 for plain terrain (in coastalregion); Tower type DD60(+1.5M ext upto +9M ext)</t>
  </si>
  <si>
    <t>Design &amp; Installation of  PS foundation with soil properties of Maharashtra including all associated works as specified in TS upto3.5 m foundation depth for 400KV D/C (Twin HTLS) Narrow Base Towers (WZ3) designed as per IS 802-2015 for plain terrain (in coastalregion); Tower type DD60(+1.5M ext upto +9M ext)</t>
  </si>
  <si>
    <t>Design &amp; Installation of  WET foundation with soil properties of Maharashtra including all associated works as specified in TS upto3.5 m foundation depth for 400KV D/C (Twin HTLS) Narrow Base Towers (WZ3) designed as per IS 802-2015 for plain terrain (in coastalregion); Tower type DD60(+12/15M ext)</t>
  </si>
  <si>
    <t>Design &amp; Installation of  PS foundation with soil properties of Maharashtra including all associated works as specified in TS upto3.5 m foundation depth for 400KV D/C (Twin HTLS) Narrow Base Towers (WZ3) designed as per IS 802-2015 for plain terrain (in coastalregion); Tower type DD60(+18/25M ext)</t>
  </si>
  <si>
    <t>Design &amp; Installation of  PS foundation with soil properties of Maharashtra including all associated works as specified in TS upto3.5 m foundation depth for 400KV D/C (Twin HTLS) Narrow Base Towers (WZ3) designed as per IS 802-2015 for plain terrain (in coastalregion); Tower type DD60(+30/35M ext)</t>
  </si>
  <si>
    <t>INSTALLATION OF STUB INCLUDING CLEATS, BOLTS AND NUTS FOR 400KV D/C (TWIN HTLS) NARROW BASE TOWERS (WZ3) IN COASTAL REGION DESIGNEDDB TOWER  (FOR +12/15M EXTN.)</t>
  </si>
  <si>
    <t>INSTALLATION OF STUB INCLUDING CLEATS, BOLTS AND NUTS FOR 400KV D/C (TWIN HTLS) NARROW BASE TOWERS (WZ3) IN COASTAL REGION DESIGNEDDC TOWER  (FOR +18/25M EXTN.)</t>
  </si>
  <si>
    <t>INSTALLATION OF STUB INCLUDING CLEATS, BOLTS AND NUTS FOR 400KV D/C (TWIN HTLS) NARROW BASE TOWERS (WZ3) IN COASTAL REGION DESIGNEDDD45 TOWER  (FOR +12/15M EXTN.)</t>
  </si>
  <si>
    <t>INSTALLATION OF STUB INCLUDING CLEATS, BOLTS AND NUTS FOR 400KV D/C (TWIN HTLS) NARROW BASE TOWERS (WZ3) IN COASTAL REGION DESIGNEDDD45 TOWER  (FOR +18/25M EXTN.)</t>
  </si>
  <si>
    <t>INSTALLATION OF STUB INCLUDING CLEATS, BOLTS AND NUTS FOR 400KV D/C (TWIN HTLS) NARROW BASE TOWERS (WZ3) IN COASTAL REGION DESIGNEDDD60 TOWER  (FOR +30/35M EXTN.)</t>
  </si>
  <si>
    <t>Erection of various type of towers,tower parts and tower extension (complete) with bolts and nuts, including tack welding andsupplyand application of zinc rich  paint for 400kV M/C (TWIN HTLS) Normal Towers(WZ3)  Designed for tower type QD60+0M</t>
  </si>
  <si>
    <t>ERECTION OF VARIOUS TYPE OF TOWERS, TOWER PARTS AND TOWER EXTENSION (COMPLETE) WITH BOLTS AND NUTS, INCLUDING TACK WELDING ANDSUPPLYAND APPLICATION OF ZINC RICH PAINT FOR 400KV D/C (TWIN HTLS) NARROW BASE TOWERS (WZ3) IN COASTAL REGION DESIGNED FOR TOWERTYPE DA+0M</t>
  </si>
  <si>
    <t>ERECTION OF VARIOUS TYPE OF TOWERS, TOWER PARTS AND TOWER EXTENSION (COMPLETE) WITH BOLTS AND NUTS, INCLUDING TACK WELDING ANDSUPPLYAND APPLICATION OF ZINC RICH PAINT FOR 400KV D/C (TWIN HTLS) NARROW BASE TOWERS (WZ3) IN COASTAL REGION DESIGNED FOR TOWERTYPE DA+3M</t>
  </si>
  <si>
    <t>ERECTION OF VARIOUS TYPE OF TOWERS, TOWER PARTS AND TOWER EXTENSION (COMPLETE) WITH BOLTS AND NUTS, INCLUDING TACK WELDING ANDSUPPLYAND APPLICATION OF ZINC RICH PAINT FOR 400KV D/C (TWIN HTLS) NARROW BASE TOWERS (WZ3) IN COASTAL REGION DESIGNED FOR TOWERTYPE DA+6M</t>
  </si>
  <si>
    <t>ERECTION OF VARIOUS TYPE OF TOWERS, TOWER PARTS AND TOWER EXTENSION (COMPLETE) WITH BOLTS AND NUTS, INCLUDING TACK WELDING ANDSUPPLYAND APPLICATION OF ZINC RICH PAINT FOR 400KV D/C (TWIN HTLS) NARROW BASE TOWERS (WZ3) IN COASTAL REGION DESIGNED FOR TOWERTYPE DA+9M</t>
  </si>
  <si>
    <t>ERECTION OF VARIOUS TYPE OF TOWERS, TOWER PARTS AND TOWER EXTENSION (COMPLETE) WITH BOLTS AND NUTS, INCLUDING TACK WELDING ANDSUPPLYAND APPLICATION OF ZINC RICH PAINT FOR 400KV D/C (TWIN HTLS) NARROW BASE TOWERS (WZ3) IN COASTAL REGION DESIGNED FOR TOWERTYPE DB+0M</t>
  </si>
  <si>
    <t>ERECTION OF VARIOUS TYPE OF TOWERS, TOWER PARTS AND TOWER EXTENSION (COMPLETE) WITH BOLTS AND NUTS, INCLUDING TACK WELDING ANDSUPPLYAND APPLICATION OF ZINC RICH PAINT FOR 400KV D/C (TWIN HTLS) NARROW BASE TOWERS (WZ3) IN COASTAL REGION DESIGNED FOR TOWERTYPE DB+9M</t>
  </si>
  <si>
    <t>ERECTION OF VARIOUS TYPE OF TOWERS, TOWER PARTS AND TOWER EXTENSION (COMPLETE) WITH BOLTS AND NUTS, INCLUDING TACK WELDING ANDSUPPLYAND APPLICATION OF ZINC RICH PAINT FOR 400KV D/C (TWIN HTLS) NARROW BASE TOWERS (WZ3) IN COASTAL REGION DESIGNED FOR TOWERTYPE DB+12M</t>
  </si>
  <si>
    <t>ERECTION OF VARIOUS TYPE OF TOWERS, TOWER PARTS AND TOWER EXTENSION (COMPLETE) WITH BOLTS AND NUTS, INCLUDING TACK WELDING ANDSUPPLYAND APPLICATION OF ZINC RICH PAINT FOR 400KV D/C (TWIN HTLS) NARROW BASE TOWERS (WZ3) IN COASTAL REGION DESIGNED FOR TOWERTYPE DC+0M</t>
  </si>
  <si>
    <t>ERECTION OF VARIOUS TYPE OF TOWERS, TOWER PARTS AND TOWER EXTENSION (COMPLETE) WITH BOLTS AND NUTS, INCLUDING TACK WELDING ANDSUPPLYAND APPLICATION OF ZINC RICH PAINT FOR 400KV D/C (TWIN HTLS) NARROW BASE TOWERS (WZ3) IN COASTAL REGION DESIGNED FOR TOWERTYPE DC+3M</t>
  </si>
  <si>
    <t>ERECTION OF VARIOUS TYPE OF TOWERS, TOWER PARTS AND TOWER EXTENSION (COMPLETE) WITH BOLTS AND NUTS, INCLUDING TACK WELDING ANDSUPPLYAND APPLICATION OF ZINC RICH PAINT FOR 400KV D/C (TWIN HTLS) NARROW BASE TOWERS (WZ3) IN COASTAL REGION DESIGNED FOR TOWERTYPE DC+6M</t>
  </si>
  <si>
    <t>ERECTION OF VARIOUS TYPE OF TOWERS, TOWER PARTS AND TOWER EXTENSION (COMPLETE) WITH BOLTS AND NUTS, INCLUDING TACK WELDING ANDSUPPLYAND APPLICATION OF ZINC RICH PAINT FOR 400KV D/C (TWIN HTLS) NARROW BASE TOWERS (WZ3) IN COASTAL REGION DESIGNED FOR TOWERTYPE DC+9M</t>
  </si>
  <si>
    <t>ERECTION OF VARIOUS TYPE OF TOWERS, TOWER PARTS AND TOWER EXTENSION (COMPLETE) WITH BOLTS AND NUTS, INCLUDING TACK WELDING ANDSUPPLYAND APPLICATION OF ZINC RICH PAINT FOR 400KV D/C (TWIN HTLS) NARROW BASE TOWERS (WZ3) IN COASTAL REGION DESIGNED FOR TOWERTYPE DC+18M</t>
  </si>
  <si>
    <t>ERECTION OF VARIOUS TYPE OF TOWERS, TOWER PARTS AND TOWER EXTENSION (COMPLETE) WITH BOLTS AND NUTS, INCLUDING TACK WELDING ANDSUPPLYAND APPLICATION OF ZINC RICH PAINT FOR 400KV D/C (TWIN HTLS) NARROW BASE TOWERS (WZ3) IN COASTAL REGION DESIGNED FOR TOWERTYPE DD45+3M</t>
  </si>
  <si>
    <t>ERECTION OF VARIOUS TYPE OF TOWERS, TOWER PARTS AND TOWER EXTENSION (COMPLETE) WITH BOLTS AND NUTS, INCLUDING TACK WELDING ANDSUPPLYAND APPLICATION OF ZINC RICH PAINT FOR 400KV D/C (TWIN HTLS) NARROW BASE TOWERS (WZ3) IN COASTAL REGION DESIGNED FOR TOWERTYPE DD45+6M</t>
  </si>
  <si>
    <t>ERECTION OF VARIOUS TYPE OF TOWERS, TOWER PARTS AND TOWER EXTENSION (COMPLETE) WITH BOLTS AND NUTS, INCLUDING TACK WELDING ANDSUPPLYAND APPLICATION OF ZINC RICH PAINT FOR 400KV D/C (TWIN HTLS) NARROW BASE TOWERS (WZ3) IN COASTAL REGION DESIGNED FOR TOWERTYPE DD45+9M</t>
  </si>
  <si>
    <t>ERECTION OF VARIOUS TYPE OF TOWERS, TOWER PARTS AND TOWER EXTENSION (COMPLETE) WITH BOLTS AND NUTS, INCLUDING TACK WELDING ANDSUPPLYAND APPLICATION OF ZINC RICH PAINT FOR 400KV D/C (TWIN HTLS) NARROW BASE TOWERS (WZ3) IN COASTAL REGION DESIGNED FOR TOWERTYPE DD45+12M</t>
  </si>
  <si>
    <t>ERECTION OF VARIOUS TYPE OF TOWERS, TOWER PARTS AND TOWER EXTENSION (COMPLETE) WITH BOLTS AND NUTS, INCLUDING TACK WELDING ANDSUPPLYAND APPLICATION OF ZINC RICH PAINT FOR 400KV D/C (TWIN HTLS) NARROW BASE TOWERS (WZ3) IN COASTAL REGION DESIGNED FOR TOWERTYPE DD45+25M</t>
  </si>
  <si>
    <t>ERECTION OF VARIOUS TYPE OF TOWERS, TOWER PARTS AND TOWER EXTENSION (COMPLETE) WITH BOLTS AND NUTS, INCLUDING TACK WELDING ANDSUPPLYAND APPLICATION OF ZINC RICH PAINT FOR 400KV D/C (TWIN HTLS) NARROW BASE TOWERS (WZ3) IN COASTAL REGION DESIGNED FOR TOWERTYPE DD60+0M</t>
  </si>
  <si>
    <t>ERECTION OF VARIOUS TYPE OF TOWERS, TOWER PARTS AND TOWER EXTENSION (COMPLETE) WITH BOLTS AND NUTS, INCLUDING TACK WELDING ANDSUPPLYAND APPLICATION OF ZINC RICH PAINT FOR 400KV D/C (TWIN HTLS) NARROW BASE TOWERS (WZ3) IN COASTAL REGION DESIGNED FOR TOWERTYPE DD60+3M</t>
  </si>
  <si>
    <t>ERECTION OF VARIOUS TYPE OF TOWERS, TOWER PARTS AND TOWER EXTENSION (COMPLETE) WITH BOLTS AND NUTS, INCLUDING TACK WELDING ANDSUPPLYAND APPLICATION OF ZINC RICH PAINT FOR 400KV D/C (TWIN HTLS) NARROW BASE TOWERS (WZ3) IN COASTAL REGION DESIGNED FOR TOWERTYPE DD60+6M</t>
  </si>
  <si>
    <t>ERECTION OF VARIOUS TYPE OF TOWERS, TOWER PARTS AND TOWER EXTENSION (COMPLETE) WITH BOLTS AND NUTS, INCLUDING TACK WELDING ANDSUPPLYAND APPLICATION OF ZINC RICH PAINT FOR 400KV D/C (TWIN HTLS) NARROW BASE TOWERS (WZ3) IN COASTAL REGION DESIGNED FOR TOWERTYPE DD60+9M</t>
  </si>
  <si>
    <t>ERECTION OF VARIOUS TYPE OF TOWERS, TOWER PARTS AND TOWER EXTENSION (COMPLETE) WITH BOLTS AND NUTS, INCLUDING TACK WELDING ANDSUPPLYAND APPLICATION OF ZINC RICH PAINT FOR 400KV D/C (TWIN HTLS) NARROW BASE TOWERS (WZ3) IN COASTAL REGION DESIGNED FOR TOWERTYPE DD60+12M</t>
  </si>
  <si>
    <t>ERECTION OF VARIOUS TYPE OF TOWERS, TOWER PARTS AND TOWER EXTENSION (COMPLETE) WITH BOLTS AND NUTS, INCLUDING TACK WELDING ANDSUPPLYAND APPLICATION OF ZINC RICH PAINT FOR 400KV D/C (TWIN HTLS) NARROW BASE TOWERS (WZ3) IN COASTAL REGION DESIGNED FOR TOWERTYPE DD60+18M</t>
  </si>
  <si>
    <t>ERECTION OF VARIOUS TYPE OF TOWERS, TOWER PARTS AND TOWER EXTENSION (COMPLETE) WITH BOLTS AND NUTS, INCLUDING TACK WELDING ANDSUPPLYAND APPLICATION OF ZINC RICH PAINT FOR 400KV D/C (TWIN HTLS) NARROW BASE TOWERS (WZ3) IN COASTAL REGION DESIGNED FOR TOWERTYPE DD60+25M</t>
  </si>
  <si>
    <t>ERECTION OF VARIOUS TYPE OF TOWERS, TOWER PARTS AND TOWER EXTENSION (COMPLETE) WITH BOLTS AND NUTS, INCLUDING TACK WELDING ANDSUPPLYAND APPLICATION OF ZINC RICH PAINT FOR 400KV D/C (TWIN HTLS) NARROW BASE TOWERS (WZ3) IN COASTAL REGION DESIGNED FOR TOWERTYPE DD60+30M</t>
  </si>
  <si>
    <t>Installation of insulator strings complete with arcing horns and necessary hardware, installing and stringing of twin HTLS conductorincluding fixing of conductor accessories, installing and stringing of earthwire/OPGW including fixing of earthwire/OPGW accessoriesfor the 400kV D/C line</t>
  </si>
  <si>
    <t>TW01</t>
  </si>
  <si>
    <t>Transmission Line Tower Package-TW01 including Design &amp; Testing of towers, Design of foundation, Supply of HTLS conductor, Composite long rod insulators, Earthwire/OPGW, Hardware Fittings, Accessories for Conductor &amp; Earthwire for M/C portion of (i) 400 kV D/C (Twin HTLS) Navasari (New) (South Gujarat)-Kala line and (ii) 400 kV D/C (Twin HTLS) Navasari (New) (South Gujarat)-Magarwada line and for D/C portion of (i) 400 kV D/C (twin HTLS) Navasari (New) (South Gujarat)-Kala line (From M/c line common point near Magarwada SS to Kala SS) associated with Transmission Network Expansion in Gujarat to increase its ATC from ISTS: Part B.</t>
  </si>
  <si>
    <t>Transmission Line Package TW01</t>
  </si>
  <si>
    <t>Specification No. : 5002002268/TOWER/DOM/A00 - CC CS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</si>
</sst>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1">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sz val="14"/>
      <color indexed="10"/>
      <name val="Book Antiqua"/>
      <family val="1"/>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2"/>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1006">
    <xf numFmtId="0" fontId="0" fillId="0" borderId="0" xfId="0"/>
    <xf numFmtId="0" fontId="1" fillId="0" borderId="5" xfId="0" applyNumberFormat="1" applyFont="1" applyFill="1" applyBorder="1" applyAlignment="1" applyProtection="1">
      <alignment vertical="center"/>
    </xf>
    <xf numFmtId="0" fontId="1" fillId="0" borderId="5"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1" fillId="0" borderId="5" xfId="0" applyNumberFormat="1" applyFont="1" applyFill="1" applyBorder="1" applyAlignment="1" applyProtection="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Fill="1" applyAlignment="1" applyProtection="1">
      <alignmen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5" applyFont="1" applyBorder="1"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Border="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Border="1" applyAlignment="1" applyProtection="1">
      <alignment vertical="center"/>
      <protection hidden="1"/>
    </xf>
    <xf numFmtId="0" fontId="9" fillId="0" borderId="15"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4"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6"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NumberFormat="1" applyFont="1" applyFill="1" applyBorder="1" applyAlignment="1" applyProtection="1">
      <alignment horizontal="left" vertical="center" indent="1"/>
      <protection hidden="1"/>
    </xf>
    <xf numFmtId="0" fontId="7" fillId="0" borderId="0" xfId="73" applyFont="1" applyFill="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73" applyFont="1" applyAlignment="1" applyProtection="1">
      <alignment vertical="center"/>
      <protection hidden="1"/>
    </xf>
    <xf numFmtId="0" fontId="4" fillId="0" borderId="0" xfId="73" applyProtection="1">
      <protection hidden="1"/>
    </xf>
    <xf numFmtId="0" fontId="4" fillId="0" borderId="0" xfId="73" applyFont="1" applyAlignment="1" applyProtection="1">
      <alignment horizontal="justify" vertical="center"/>
      <protection hidden="1"/>
    </xf>
    <xf numFmtId="0" fontId="4" fillId="0" borderId="0" xfId="107" applyFont="1" applyAlignment="1" applyProtection="1">
      <alignment vertical="center"/>
      <protection hidden="1"/>
    </xf>
    <xf numFmtId="165" fontId="4" fillId="0" borderId="0" xfId="73" applyNumberFormat="1" applyFont="1" applyAlignment="1" applyProtection="1">
      <alignment horizontal="center" vertical="center"/>
      <protection hidden="1"/>
    </xf>
    <xf numFmtId="0" fontId="4" fillId="0" borderId="0" xfId="73" applyFont="1" applyAlignment="1" applyProtection="1">
      <alignment horizontal="right"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70"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4" fillId="3" borderId="22" xfId="73" applyFont="1" applyFill="1" applyBorder="1" applyAlignment="1" applyProtection="1">
      <alignment horizontal="left" vertical="center"/>
      <protection locked="0"/>
    </xf>
    <xf numFmtId="0" fontId="2" fillId="0" borderId="0" xfId="115" applyFont="1" applyFill="1" applyBorder="1" applyAlignment="1" applyProtection="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51"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52"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43"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34" fillId="0" borderId="0" xfId="115" applyFont="1" applyBorder="1" applyAlignment="1" applyProtection="1">
      <alignment horizontal="justify" vertical="center" wrapText="1"/>
      <protection hidden="1"/>
    </xf>
    <xf numFmtId="0" fontId="34"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2" fillId="0" borderId="0" xfId="0" applyNumberFormat="1" applyFont="1" applyFill="1" applyBorder="1" applyAlignment="1" applyProtection="1">
      <alignment horizontal="justify" vertical="center" wrapText="1"/>
    </xf>
    <xf numFmtId="0" fontId="71" fillId="0" borderId="0" xfId="114" applyFont="1" applyBorder="1" applyAlignment="1" applyProtection="1">
      <alignment vertical="top"/>
      <protection hidden="1"/>
    </xf>
    <xf numFmtId="0" fontId="72" fillId="0" borderId="0" xfId="114" applyFont="1" applyBorder="1" applyAlignment="1" applyProtection="1">
      <alignment vertical="top"/>
      <protection hidden="1"/>
    </xf>
    <xf numFmtId="2" fontId="72" fillId="0" borderId="0" xfId="114" applyNumberFormat="1" applyFont="1" applyBorder="1" applyAlignment="1" applyProtection="1">
      <alignment vertical="top"/>
      <protection hidden="1"/>
    </xf>
    <xf numFmtId="174" fontId="71"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justify" vertical="center" wrapText="1"/>
    </xf>
    <xf numFmtId="0" fontId="2" fillId="0" borderId="0" xfId="115" applyFont="1" applyAlignment="1" applyProtection="1">
      <alignment vertical="center" wrapText="1"/>
      <protection hidden="1"/>
    </xf>
    <xf numFmtId="0" fontId="2" fillId="0" borderId="0" xfId="115" applyFont="1" applyFill="1" applyBorder="1" applyAlignment="1" applyProtection="1">
      <alignment horizontal="left" vertical="center" wrapText="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4" fillId="0" borderId="0" xfId="73" applyAlignment="1">
      <alignment horizontal="left"/>
    </xf>
    <xf numFmtId="0" fontId="1" fillId="0" borderId="0" xfId="115" applyFont="1" applyAlignment="1" applyProtection="1">
      <alignment horizontal="center" vertical="center"/>
    </xf>
    <xf numFmtId="0" fontId="2" fillId="0" borderId="0" xfId="115" applyFont="1" applyAlignment="1" applyProtection="1">
      <alignment horizontal="center" vertical="center" wrapText="1"/>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0" fontId="2" fillId="0" borderId="0" xfId="115" applyFont="1" applyFill="1" applyAlignment="1" applyProtection="1">
      <alignment horizontal="center" vertical="center" wrapText="1"/>
    </xf>
    <xf numFmtId="165" fontId="1" fillId="0" borderId="5"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Fill="1" applyAlignment="1" applyProtection="1">
      <alignment vertical="center" wrapText="1"/>
      <protection hidden="1"/>
    </xf>
    <xf numFmtId="0" fontId="5" fillId="0" borderId="0" xfId="0" applyFont="1" applyAlignment="1" applyProtection="1">
      <alignment vertical="center" wrapText="1"/>
    </xf>
    <xf numFmtId="0" fontId="4" fillId="0" borderId="9" xfId="0" applyFont="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Fill="1" applyBorder="1" applyAlignment="1" applyProtection="1">
      <alignment horizontal="left" vertical="center" wrapText="1"/>
      <protection hidden="1"/>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2" fillId="0" borderId="0" xfId="0" applyFont="1" applyAlignment="1" applyProtection="1">
      <alignment vertical="center" wrapText="1"/>
    </xf>
    <xf numFmtId="0" fontId="5" fillId="0" borderId="0" xfId="0" applyFont="1" applyBorder="1" applyAlignment="1" applyProtection="1">
      <alignment vertical="center" wrapText="1"/>
    </xf>
    <xf numFmtId="0" fontId="2" fillId="0" borderId="0" xfId="0" applyNumberFormat="1"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111" applyNumberFormat="1" applyFont="1" applyFill="1" applyBorder="1" applyAlignment="1" applyProtection="1">
      <alignment horizontal="center" vertical="center" wrapText="1"/>
    </xf>
    <xf numFmtId="0" fontId="2" fillId="0" borderId="0" xfId="115" applyFont="1" applyFill="1" applyAlignment="1" applyProtection="1">
      <alignment vertical="center" wrapText="1"/>
      <protection hidden="1"/>
    </xf>
    <xf numFmtId="0" fontId="1" fillId="0" borderId="0" xfId="115"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2" fillId="10" borderId="9" xfId="111" applyNumberFormat="1" applyFont="1" applyFill="1" applyBorder="1" applyAlignment="1" applyProtection="1">
      <alignment horizontal="center" vertical="center" wrapText="1"/>
      <protection locked="0"/>
    </xf>
    <xf numFmtId="0" fontId="5" fillId="10" borderId="0" xfId="0" applyFont="1" applyFill="1" applyAlignment="1" applyProtection="1">
      <alignment vertical="center"/>
    </xf>
    <xf numFmtId="0" fontId="2" fillId="10" borderId="0" xfId="0" applyFont="1" applyFill="1" applyAlignment="1" applyProtection="1">
      <alignment vertical="center"/>
    </xf>
    <xf numFmtId="165" fontId="1" fillId="0" borderId="0" xfId="0" applyNumberFormat="1" applyFont="1" applyFill="1" applyBorder="1" applyAlignment="1" applyProtection="1">
      <alignment horizontal="justify" vertical="center"/>
    </xf>
    <xf numFmtId="0" fontId="1" fillId="0" borderId="0" xfId="0" applyFont="1" applyFill="1" applyBorder="1" applyAlignment="1" applyProtection="1">
      <alignment vertical="center" wrapText="1"/>
    </xf>
    <xf numFmtId="165"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1" fillId="0" borderId="24" xfId="0" applyNumberFormat="1" applyFont="1" applyFill="1" applyBorder="1" applyAlignment="1" applyProtection="1">
      <alignment horizontal="center" vertical="center" wrapText="1"/>
    </xf>
    <xf numFmtId="0" fontId="1" fillId="0" borderId="25" xfId="0" applyNumberFormat="1" applyFont="1" applyFill="1" applyBorder="1" applyAlignment="1" applyProtection="1">
      <alignment horizontal="center" vertical="center" wrapText="1"/>
    </xf>
    <xf numFmtId="0" fontId="2" fillId="0" borderId="0" xfId="115" applyFont="1" applyFill="1" applyBorder="1" applyAlignment="1" applyProtection="1">
      <alignment horizontal="center" vertical="center"/>
    </xf>
    <xf numFmtId="0" fontId="73"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NumberFormat="1" applyFont="1" applyFill="1" applyBorder="1" applyAlignment="1" applyProtection="1">
      <alignment horizontal="left" vertical="center"/>
    </xf>
    <xf numFmtId="0" fontId="2" fillId="0" borderId="0" xfId="115" applyFont="1" applyBorder="1" applyAlignment="1" applyProtection="1">
      <alignment horizontal="left" vertical="center"/>
    </xf>
    <xf numFmtId="4" fontId="7" fillId="0" borderId="0" xfId="106" applyNumberFormat="1" applyFont="1" applyAlignment="1" applyProtection="1">
      <alignment horizontal="left" vertical="center" indent="1"/>
    </xf>
    <xf numFmtId="0" fontId="2" fillId="0" borderId="9" xfId="0" applyNumberFormat="1" applyFont="1" applyFill="1" applyBorder="1" applyAlignment="1" applyProtection="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pplyProtection="1">
      <alignment horizontal="center" vertical="center"/>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1" fillId="0" borderId="0" xfId="0" applyFont="1" applyAlignment="1" applyProtection="1">
      <alignment vertical="center" wrapText="1"/>
    </xf>
    <xf numFmtId="0" fontId="73" fillId="10" borderId="9" xfId="0" applyFont="1" applyFill="1" applyBorder="1" applyAlignment="1">
      <alignment vertical="center" wrapText="1"/>
    </xf>
    <xf numFmtId="0" fontId="73" fillId="0" borderId="0" xfId="0" applyFont="1" applyAlignment="1" applyProtection="1">
      <alignment vertical="center" wrapText="1"/>
    </xf>
    <xf numFmtId="0" fontId="73" fillId="0" borderId="0" xfId="0" applyFont="1" applyAlignment="1" applyProtection="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0" fontId="4" fillId="0" borderId="0" xfId="0" applyFont="1" applyAlignment="1" applyProtection="1">
      <alignment horizontal="center" vertical="center"/>
    </xf>
    <xf numFmtId="0" fontId="74" fillId="0" borderId="0" xfId="0" applyFont="1" applyAlignment="1" applyProtection="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5" fillId="0" borderId="9" xfId="0" applyFont="1" applyFill="1" applyBorder="1" applyAlignment="1">
      <alignment horizontal="center" vertical="center" wrapText="1"/>
    </xf>
    <xf numFmtId="0" fontId="75" fillId="0" borderId="9" xfId="0" applyFont="1" applyFill="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10" fontId="2" fillId="0" borderId="18" xfId="111" applyNumberFormat="1" applyFont="1" applyFill="1" applyBorder="1" applyAlignment="1" applyProtection="1">
      <alignment horizontal="center" vertical="top" wrapText="1"/>
      <protection locked="0" hidden="1"/>
    </xf>
    <xf numFmtId="0" fontId="2" fillId="0" borderId="18" xfId="0" applyNumberFormat="1" applyFont="1" applyFill="1" applyBorder="1" applyAlignment="1" applyProtection="1">
      <alignment horizontal="center" vertical="center"/>
    </xf>
    <xf numFmtId="0" fontId="73" fillId="3" borderId="14" xfId="109" applyFont="1" applyFill="1" applyBorder="1" applyAlignment="1" applyProtection="1">
      <alignment vertical="top" wrapText="1"/>
      <protection locked="0"/>
    </xf>
    <xf numFmtId="0" fontId="73" fillId="0" borderId="9" xfId="0" applyFont="1" applyFill="1" applyBorder="1" applyAlignment="1">
      <alignment vertical="top" wrapText="1"/>
    </xf>
    <xf numFmtId="0" fontId="71" fillId="0" borderId="0" xfId="0" applyFont="1" applyAlignment="1" applyProtection="1">
      <alignment horizontal="center" vertical="center"/>
    </xf>
    <xf numFmtId="0" fontId="76" fillId="0" borderId="0" xfId="0" applyFont="1" applyAlignment="1" applyProtection="1">
      <alignment horizontal="center" vertical="center"/>
    </xf>
    <xf numFmtId="0" fontId="73" fillId="0" borderId="0" xfId="0" applyFont="1" applyAlignment="1">
      <alignment horizontal="center" vertical="center"/>
    </xf>
    <xf numFmtId="0" fontId="73" fillId="0" borderId="9" xfId="0" applyFont="1" applyBorder="1" applyAlignment="1" applyProtection="1">
      <alignment horizontal="center" vertical="center"/>
    </xf>
    <xf numFmtId="0" fontId="73" fillId="0" borderId="0" xfId="0" applyFont="1" applyBorder="1" applyAlignment="1" applyProtection="1">
      <alignment horizontal="center" vertical="center"/>
    </xf>
    <xf numFmtId="0" fontId="73" fillId="0" borderId="0" xfId="0" applyFont="1" applyBorder="1" applyAlignment="1" applyProtection="1">
      <alignment vertical="center"/>
    </xf>
    <xf numFmtId="0" fontId="73" fillId="0" borderId="0" xfId="0" applyFont="1" applyBorder="1" applyAlignment="1" applyProtection="1">
      <alignment horizontal="center" vertical="center" wrapText="1"/>
    </xf>
    <xf numFmtId="0" fontId="73" fillId="0" borderId="9" xfId="0" applyFont="1" applyFill="1" applyBorder="1" applyAlignment="1">
      <alignment horizontal="center" vertical="top" wrapText="1"/>
    </xf>
    <xf numFmtId="164" fontId="73" fillId="3" borderId="18" xfId="8" applyFont="1" applyFill="1" applyBorder="1" applyAlignment="1" applyProtection="1">
      <alignment horizontal="right" vertical="top" wrapText="1"/>
      <protection locked="0"/>
    </xf>
    <xf numFmtId="164" fontId="73" fillId="9" borderId="9" xfId="8" applyFont="1" applyFill="1" applyBorder="1" applyAlignment="1" applyProtection="1">
      <alignment horizontal="right" vertical="top" wrapText="1"/>
    </xf>
    <xf numFmtId="0" fontId="1" fillId="0" borderId="0" xfId="0" applyNumberFormat="1" applyFont="1" applyFill="1" applyBorder="1" applyAlignment="1" applyProtection="1">
      <alignment vertical="center" wrapText="1"/>
    </xf>
    <xf numFmtId="0" fontId="73" fillId="0" borderId="0" xfId="0" applyFont="1" applyBorder="1" applyAlignment="1" applyProtection="1">
      <alignment horizontal="left" vertical="center"/>
    </xf>
    <xf numFmtId="0" fontId="1" fillId="0" borderId="0" xfId="0" applyNumberFormat="1" applyFont="1" applyFill="1" applyBorder="1" applyAlignment="1" applyProtection="1">
      <alignment horizontal="justify" vertical="center" wrapText="1"/>
    </xf>
    <xf numFmtId="175" fontId="1" fillId="0" borderId="0" xfId="0" applyNumberFormat="1" applyFont="1" applyFill="1" applyBorder="1" applyAlignment="1" applyProtection="1">
      <alignment horizontal="justify" vertical="center" wrapText="1"/>
    </xf>
    <xf numFmtId="0" fontId="1" fillId="0" borderId="0" xfId="0" applyFont="1" applyBorder="1" applyAlignment="1" applyProtection="1">
      <alignment horizontal="right" vertical="center" wrapText="1"/>
    </xf>
    <xf numFmtId="0" fontId="1" fillId="0" borderId="0" xfId="0" applyFont="1" applyFill="1" applyBorder="1" applyAlignment="1" applyProtection="1">
      <alignment horizontal="left" vertical="center" wrapText="1"/>
    </xf>
    <xf numFmtId="0" fontId="73" fillId="0" borderId="0" xfId="0" applyFont="1" applyBorder="1" applyAlignment="1" applyProtection="1">
      <alignment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justify" vertical="center" wrapText="1"/>
    </xf>
    <xf numFmtId="2" fontId="2" fillId="0" borderId="9" xfId="111" applyNumberFormat="1" applyFont="1" applyFill="1" applyBorder="1" applyAlignment="1" applyProtection="1">
      <alignment horizontal="right" vertical="top" wrapText="1"/>
    </xf>
    <xf numFmtId="0" fontId="73" fillId="0" borderId="9" xfId="0" applyFont="1" applyBorder="1" applyAlignment="1">
      <alignment vertical="top" wrapText="1"/>
    </xf>
    <xf numFmtId="10" fontId="2" fillId="0" borderId="9" xfId="111" applyNumberFormat="1" applyFont="1" applyFill="1" applyBorder="1" applyAlignment="1" applyProtection="1">
      <alignment horizontal="center" vertical="top" wrapText="1"/>
      <protection locked="0" hidden="1"/>
    </xf>
    <xf numFmtId="0" fontId="73" fillId="0" borderId="9" xfId="0" applyFont="1" applyBorder="1" applyAlignment="1">
      <alignment horizontal="center" vertical="top" wrapText="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Border="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0"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3" fillId="0" borderId="0" xfId="0" applyFont="1" applyFill="1" applyAlignment="1" applyProtection="1">
      <alignment horizontal="center" vertical="center"/>
    </xf>
    <xf numFmtId="0" fontId="73" fillId="0" borderId="0" xfId="0" applyFont="1" applyFill="1" applyAlignment="1" applyProtection="1">
      <alignment horizontal="center" vertical="center"/>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 fillId="0" borderId="0" xfId="115" applyFont="1" applyFill="1" applyAlignment="1" applyProtection="1">
      <alignment vertical="center" wrapText="1"/>
    </xf>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76" fillId="0" borderId="9" xfId="0" applyFont="1" applyBorder="1" applyAlignment="1">
      <alignment horizontal="right" vertical="center"/>
    </xf>
    <xf numFmtId="0" fontId="58" fillId="0" borderId="9" xfId="0" applyNumberFormat="1" applyFont="1" applyFill="1" applyBorder="1" applyAlignment="1" applyProtection="1">
      <alignment horizontal="center" vertical="center"/>
    </xf>
    <xf numFmtId="0" fontId="58" fillId="0" borderId="9" xfId="0" applyNumberFormat="1" applyFont="1" applyFill="1" applyBorder="1" applyAlignment="1" applyProtection="1">
      <alignment horizontal="center" vertical="center" wrapText="1"/>
    </xf>
    <xf numFmtId="0" fontId="58" fillId="0" borderId="24" xfId="0" applyNumberFormat="1" applyFont="1" applyFill="1" applyBorder="1" applyAlignment="1" applyProtection="1">
      <alignment horizontal="center" vertical="center"/>
    </xf>
    <xf numFmtId="0" fontId="58" fillId="0" borderId="25" xfId="0" applyNumberFormat="1" applyFont="1" applyFill="1" applyBorder="1" applyAlignment="1" applyProtection="1">
      <alignment horizontal="center" vertical="center"/>
    </xf>
    <xf numFmtId="0" fontId="78" fillId="0" borderId="0" xfId="0" applyFont="1" applyAlignment="1" applyProtection="1">
      <alignment horizontal="center" vertical="center"/>
    </xf>
    <xf numFmtId="0" fontId="62" fillId="0" borderId="0" xfId="0" applyFont="1" applyBorder="1" applyAlignment="1" applyProtection="1">
      <alignment vertical="center" wrapText="1"/>
    </xf>
    <xf numFmtId="0" fontId="62" fillId="0" borderId="0" xfId="0" applyFont="1" applyAlignment="1" applyProtection="1">
      <alignment vertical="center" wrapText="1"/>
    </xf>
    <xf numFmtId="0" fontId="61" fillId="0" borderId="0" xfId="0" applyFont="1" applyAlignment="1" applyProtection="1">
      <alignment vertical="center" wrapText="1"/>
    </xf>
    <xf numFmtId="0" fontId="75" fillId="0" borderId="0" xfId="0" applyFont="1" applyAlignment="1" applyProtection="1">
      <alignment horizontal="center" vertical="center"/>
    </xf>
    <xf numFmtId="0" fontId="75" fillId="0" borderId="0" xfId="0" applyFont="1" applyBorder="1" applyAlignment="1" applyProtection="1">
      <alignment horizontal="left" vertical="center"/>
    </xf>
    <xf numFmtId="0" fontId="54" fillId="11" borderId="9" xfId="0" applyNumberFormat="1" applyFont="1" applyFill="1" applyBorder="1" applyAlignment="1" applyProtection="1">
      <alignment horizontal="center" vertical="center"/>
    </xf>
    <xf numFmtId="0" fontId="79" fillId="11" borderId="9" xfId="0" applyFont="1" applyFill="1" applyBorder="1" applyAlignment="1">
      <alignment horizontal="center" vertical="top" wrapText="1"/>
    </xf>
    <xf numFmtId="0" fontId="54" fillId="11" borderId="9" xfId="0" applyNumberFormat="1" applyFont="1" applyFill="1" applyBorder="1" applyAlignment="1" applyProtection="1">
      <alignment horizontal="center" vertical="center" wrapText="1"/>
    </xf>
    <xf numFmtId="0" fontId="63" fillId="0" borderId="0" xfId="112" applyNumberFormat="1" applyFont="1" applyFill="1" applyBorder="1" applyAlignment="1" applyProtection="1">
      <alignment horizontal="center" vertical="top"/>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pplyProtection="1">
      <alignment horizontal="right" vertical="center" wrapText="1"/>
    </xf>
    <xf numFmtId="2" fontId="33" fillId="10" borderId="18" xfId="0" applyNumberFormat="1" applyFont="1" applyFill="1" applyBorder="1" applyAlignment="1" applyProtection="1">
      <alignment horizontal="center" vertical="center" wrapText="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73" fillId="0" borderId="9" xfId="0" applyFont="1" applyBorder="1" applyAlignment="1" applyProtection="1">
      <alignment horizontal="right" vertical="center"/>
      <protection locked="0"/>
    </xf>
    <xf numFmtId="164" fontId="73" fillId="0" borderId="9" xfId="8" applyFont="1" applyBorder="1" applyAlignment="1">
      <alignment horizontal="right" vertical="center"/>
    </xf>
    <xf numFmtId="164" fontId="76" fillId="0" borderId="9" xfId="8" applyFont="1" applyBorder="1" applyAlignment="1">
      <alignment horizontal="right" vertical="center"/>
    </xf>
    <xf numFmtId="164" fontId="73" fillId="0" borderId="9" xfId="8" applyFont="1" applyBorder="1" applyAlignment="1" applyProtection="1">
      <alignment horizontal="right" vertical="center"/>
      <protection locked="0"/>
    </xf>
    <xf numFmtId="164" fontId="76" fillId="0" borderId="9" xfId="8" applyFont="1" applyBorder="1" applyAlignment="1" applyProtection="1">
      <alignment horizontal="right" vertical="center"/>
      <protection locked="0"/>
    </xf>
    <xf numFmtId="2" fontId="73" fillId="0" borderId="9" xfId="0" applyNumberFormat="1" applyFont="1" applyBorder="1" applyAlignment="1" applyProtection="1">
      <alignment horizontal="right" vertical="center"/>
      <protection locked="0"/>
    </xf>
    <xf numFmtId="0" fontId="1" fillId="0" borderId="5" xfId="0" applyNumberFormat="1" applyFont="1" applyFill="1" applyBorder="1" applyAlignment="1" applyProtection="1">
      <alignment horizontal="right" vertical="center" wrapText="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164" fontId="1" fillId="0" borderId="0" xfId="8" applyFont="1" applyAlignment="1" applyProtection="1">
      <alignment vertical="center"/>
      <protection locked="0"/>
    </xf>
    <xf numFmtId="0" fontId="73" fillId="0" borderId="0" xfId="0" applyFont="1" applyAlignment="1">
      <alignment vertical="center"/>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Fill="1" applyBorder="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Fill="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Fill="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Fill="1" applyBorder="1" applyAlignment="1" applyProtection="1">
      <alignment vertical="center" wrapText="1"/>
      <protection hidden="1"/>
    </xf>
    <xf numFmtId="4" fontId="59" fillId="0" borderId="44" xfId="114" applyNumberFormat="1" applyFont="1" applyFill="1" applyBorder="1" applyAlignment="1" applyProtection="1">
      <alignment horizontal="right" vertical="center" wrapText="1"/>
      <protection hidden="1"/>
    </xf>
    <xf numFmtId="4" fontId="59" fillId="0" borderId="41" xfId="114" applyNumberFormat="1" applyFont="1" applyFill="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0" fontId="73" fillId="0" borderId="0" xfId="0" applyFont="1" applyAlignment="1" applyProtection="1">
      <alignment horizontal="center" vertical="center" wrapText="1"/>
    </xf>
    <xf numFmtId="43" fontId="2" fillId="0" borderId="0" xfId="111" applyNumberFormat="1" applyFont="1" applyFill="1" applyBorder="1" applyAlignment="1" applyProtection="1">
      <alignment vertical="center"/>
    </xf>
    <xf numFmtId="2" fontId="73" fillId="3" borderId="9" xfId="109" applyNumberFormat="1" applyFont="1" applyFill="1" applyBorder="1" applyAlignment="1" applyProtection="1">
      <alignment vertical="top" wrapText="1"/>
      <protection locked="0"/>
    </xf>
    <xf numFmtId="49" fontId="7" fillId="9" borderId="9" xfId="114" applyNumberFormat="1" applyFont="1" applyFill="1" applyBorder="1" applyAlignment="1" applyProtection="1">
      <alignment horizontal="left" vertical="center" wrapText="1"/>
    </xf>
    <xf numFmtId="49" fontId="7" fillId="9" borderId="9" xfId="114" applyNumberFormat="1" applyFont="1" applyFill="1" applyBorder="1" applyAlignment="1" applyProtection="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76" fillId="0" borderId="9" xfId="8" applyNumberFormat="1" applyFont="1" applyBorder="1" applyAlignment="1" applyProtection="1">
      <alignment horizontal="right" vertical="center"/>
      <protection locked="0"/>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0" fontId="73" fillId="0" borderId="0" xfId="0" applyFont="1" applyBorder="1" applyAlignment="1" applyProtection="1">
      <alignment horizontal="right" vertical="center"/>
    </xf>
    <xf numFmtId="0" fontId="1" fillId="0" borderId="5" xfId="0" applyNumberFormat="1" applyFont="1" applyFill="1" applyBorder="1" applyAlignment="1" applyProtection="1">
      <alignment horizontal="left" vertical="center"/>
    </xf>
    <xf numFmtId="0" fontId="2" fillId="0" borderId="5" xfId="0" applyNumberFormat="1" applyFont="1" applyFill="1" applyBorder="1" applyAlignment="1" applyProtection="1">
      <alignment horizontal="center" vertical="center" wrapText="1"/>
    </xf>
    <xf numFmtId="4" fontId="76" fillId="10" borderId="9" xfId="8" applyNumberFormat="1" applyFont="1" applyFill="1" applyBorder="1" applyAlignment="1" applyProtection="1">
      <alignment horizontal="right" vertical="center" wrapText="1"/>
    </xf>
    <xf numFmtId="1" fontId="2" fillId="0" borderId="9" xfId="111" applyNumberFormat="1" applyFont="1" applyFill="1" applyBorder="1" applyAlignment="1" applyProtection="1">
      <alignment horizontal="center" vertical="top" wrapText="1"/>
    </xf>
    <xf numFmtId="0" fontId="73" fillId="0" borderId="16" xfId="0" applyFont="1" applyBorder="1" applyAlignment="1" applyProtection="1"/>
    <xf numFmtId="0" fontId="74" fillId="0" borderId="16" xfId="0" applyFont="1" applyBorder="1" applyAlignment="1" applyProtection="1"/>
    <xf numFmtId="0" fontId="75" fillId="0" borderId="0" xfId="0" applyFont="1" applyAlignment="1" applyProtection="1">
      <alignment vertical="center"/>
    </xf>
    <xf numFmtId="0" fontId="7" fillId="0" borderId="9" xfId="114" applyNumberFormat="1" applyFont="1" applyFill="1" applyBorder="1" applyAlignment="1" applyProtection="1">
      <alignment horizontal="left" vertical="center" wrapText="1"/>
      <protection hidden="1"/>
    </xf>
    <xf numFmtId="43" fontId="73" fillId="0" borderId="0" xfId="0" applyNumberFormat="1" applyFont="1" applyAlignment="1" applyProtection="1">
      <alignment horizontal="center" vertical="center"/>
    </xf>
    <xf numFmtId="43" fontId="5" fillId="0" borderId="0" xfId="0" applyNumberFormat="1" applyFont="1" applyAlignment="1" applyProtection="1">
      <alignment vertical="center"/>
      <protection locked="0"/>
    </xf>
    <xf numFmtId="165" fontId="1" fillId="0" borderId="5" xfId="115" applyNumberFormat="1" applyFont="1" applyFill="1" applyBorder="1" applyAlignment="1" applyProtection="1">
      <alignment vertical="center"/>
      <protection hidden="1"/>
    </xf>
    <xf numFmtId="164" fontId="73" fillId="3" borderId="18" xfId="8" applyFont="1" applyFill="1" applyBorder="1" applyAlignment="1" applyProtection="1">
      <alignment horizontal="center" vertical="top" wrapText="1"/>
      <protection locked="0"/>
    </xf>
    <xf numFmtId="164" fontId="73" fillId="3" borderId="9" xfId="8" applyFont="1" applyFill="1" applyBorder="1" applyAlignment="1" applyProtection="1">
      <alignment horizontal="right" vertical="top" wrapText="1"/>
      <protection locked="0"/>
    </xf>
    <xf numFmtId="0" fontId="73" fillId="0" borderId="18" xfId="0" applyFont="1" applyBorder="1" applyAlignment="1">
      <alignment horizontal="center" vertical="top" wrapText="1"/>
    </xf>
    <xf numFmtId="0" fontId="58" fillId="15" borderId="18" xfId="0" applyNumberFormat="1" applyFont="1" applyFill="1" applyBorder="1" applyAlignment="1" applyProtection="1">
      <alignment horizontal="center" vertical="center"/>
    </xf>
    <xf numFmtId="0" fontId="58" fillId="15" borderId="9" xfId="0" applyNumberFormat="1" applyFont="1" applyFill="1" applyBorder="1" applyAlignment="1" applyProtection="1">
      <alignment horizontal="center" vertical="center"/>
    </xf>
    <xf numFmtId="0" fontId="58" fillId="15" borderId="14" xfId="0" applyNumberFormat="1" applyFont="1" applyFill="1" applyBorder="1" applyAlignment="1" applyProtection="1">
      <alignment horizontal="center" vertical="center"/>
    </xf>
    <xf numFmtId="0" fontId="58" fillId="15" borderId="15" xfId="0" applyNumberFormat="1" applyFont="1" applyFill="1" applyBorder="1" applyAlignment="1" applyProtection="1">
      <alignment horizontal="center" vertical="center"/>
    </xf>
    <xf numFmtId="0" fontId="58" fillId="15" borderId="9" xfId="0" applyNumberFormat="1" applyFont="1" applyFill="1" applyBorder="1" applyAlignment="1" applyProtection="1">
      <alignment horizontal="center" vertical="center" wrapText="1"/>
    </xf>
    <xf numFmtId="0" fontId="58" fillId="15" borderId="18" xfId="0" applyNumberFormat="1" applyFont="1" applyFill="1" applyBorder="1" applyAlignment="1" applyProtection="1">
      <alignment horizontal="center" vertical="center" wrapText="1"/>
    </xf>
    <xf numFmtId="0" fontId="62" fillId="15" borderId="0" xfId="0" applyFont="1" applyFill="1" applyBorder="1" applyAlignment="1" applyProtection="1">
      <alignment vertical="center" wrapText="1"/>
    </xf>
    <xf numFmtId="0" fontId="62" fillId="15" borderId="0" xfId="0" applyFont="1" applyFill="1" applyAlignment="1" applyProtection="1">
      <alignment vertical="center" wrapText="1"/>
    </xf>
    <xf numFmtId="0" fontId="61" fillId="15" borderId="0" xfId="0" applyFont="1" applyFill="1" applyAlignment="1" applyProtection="1">
      <alignment vertical="center" wrapText="1"/>
    </xf>
    <xf numFmtId="0" fontId="79" fillId="15" borderId="9" xfId="0" applyFont="1" applyFill="1" applyBorder="1" applyAlignment="1">
      <alignment horizontal="center" vertical="center" wrapText="1"/>
    </xf>
    <xf numFmtId="0" fontId="62" fillId="15" borderId="0" xfId="0" applyFont="1" applyFill="1" applyAlignment="1" applyProtection="1">
      <alignment vertical="center"/>
    </xf>
    <xf numFmtId="0" fontId="61" fillId="15" borderId="0" xfId="0" applyFont="1" applyFill="1" applyAlignment="1" applyProtection="1">
      <alignment vertical="center"/>
    </xf>
    <xf numFmtId="0" fontId="2" fillId="0" borderId="9" xfId="111" applyNumberFormat="1" applyFont="1" applyFill="1" applyBorder="1" applyAlignment="1" applyProtection="1">
      <alignment horizontal="center" vertical="top" wrapText="1"/>
    </xf>
    <xf numFmtId="0" fontId="76" fillId="0" borderId="9" xfId="0" applyFont="1" applyBorder="1" applyAlignment="1">
      <alignment vertical="top" wrapText="1"/>
    </xf>
    <xf numFmtId="0" fontId="76" fillId="0" borderId="9" xfId="0" applyFont="1" applyBorder="1" applyAlignment="1">
      <alignment horizontal="center" vertical="top"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Border="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Fill="1" applyBorder="1" applyAlignment="1" applyProtection="1">
      <alignment horizontal="center" vertical="center"/>
      <protection hidden="1"/>
    </xf>
    <xf numFmtId="0" fontId="1" fillId="0" borderId="3" xfId="114" applyFont="1" applyFill="1" applyBorder="1" applyAlignment="1" applyProtection="1">
      <alignment horizontal="center" vertical="center"/>
      <protection hidden="1"/>
    </xf>
    <xf numFmtId="0" fontId="1" fillId="0" borderId="25" xfId="114" applyFont="1" applyFill="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3" borderId="30" xfId="114" applyFont="1" applyFill="1" applyBorder="1" applyAlignment="1" applyProtection="1">
      <alignment horizontal="center" vertical="center" wrapText="1"/>
      <protection hidden="1"/>
    </xf>
    <xf numFmtId="0" fontId="22" fillId="13" borderId="59" xfId="114" applyFont="1" applyFill="1" applyBorder="1" applyAlignment="1" applyProtection="1">
      <alignment horizontal="center" vertical="center" wrapText="1"/>
      <protection hidden="1"/>
    </xf>
    <xf numFmtId="0" fontId="22" fillId="13" borderId="31" xfId="114" applyFont="1" applyFill="1" applyBorder="1" applyAlignment="1" applyProtection="1">
      <alignment horizontal="center" vertical="center" wrapText="1"/>
      <protection hidden="1"/>
    </xf>
    <xf numFmtId="0" fontId="80" fillId="0" borderId="17" xfId="114" applyFont="1" applyBorder="1" applyAlignment="1" applyProtection="1">
      <alignment horizontal="center" vertical="center" textRotation="90"/>
      <protection hidden="1"/>
    </xf>
    <xf numFmtId="0" fontId="80" fillId="0" borderId="19" xfId="114" applyFont="1" applyBorder="1" applyAlignment="1" applyProtection="1">
      <alignment horizontal="center" vertical="center" textRotation="90"/>
      <protection hidden="1"/>
    </xf>
    <xf numFmtId="0" fontId="80" fillId="0" borderId="18" xfId="114" applyFont="1" applyBorder="1" applyAlignment="1" applyProtection="1">
      <alignment horizontal="center" vertical="center" textRotation="90"/>
      <protection hidden="1"/>
    </xf>
    <xf numFmtId="0" fontId="23" fillId="14" borderId="11" xfId="114" applyFont="1" applyFill="1" applyBorder="1" applyAlignment="1" applyProtection="1">
      <alignment horizontal="center" vertical="center"/>
      <protection hidden="1"/>
    </xf>
    <xf numFmtId="0" fontId="23" fillId="14" borderId="22" xfId="114" applyFont="1" applyFill="1" applyBorder="1" applyAlignment="1" applyProtection="1">
      <alignment horizontal="center" vertical="center"/>
      <protection hidden="1"/>
    </xf>
    <xf numFmtId="0" fontId="23" fillId="14" borderId="20" xfId="114" applyFont="1" applyFill="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applyBorder="1"/>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Border="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Border="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73"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24" fillId="13" borderId="5" xfId="109" applyFont="1" applyFill="1" applyBorder="1" applyAlignment="1" applyProtection="1">
      <alignment horizontal="justify" vertical="center" wrapText="1"/>
      <protection hidden="1"/>
    </xf>
    <xf numFmtId="0" fontId="1" fillId="14" borderId="0" xfId="109" applyFont="1" applyFill="1" applyBorder="1" applyAlignment="1" applyProtection="1">
      <alignment horizontal="center" vertical="center"/>
      <protection hidden="1"/>
    </xf>
    <xf numFmtId="0" fontId="3" fillId="6" borderId="0" xfId="109" applyFont="1" applyFill="1" applyBorder="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33" fillId="13" borderId="0" xfId="0" applyNumberFormat="1" applyFont="1" applyFill="1" applyBorder="1" applyAlignment="1" applyProtection="1">
      <alignment horizontal="center" vertical="center" wrapText="1"/>
    </xf>
    <xf numFmtId="0" fontId="3" fillId="6" borderId="0" xfId="0" applyFont="1" applyFill="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wrapText="1"/>
    </xf>
    <xf numFmtId="0" fontId="58" fillId="0" borderId="5" xfId="0" applyNumberFormat="1" applyFont="1" applyFill="1" applyBorder="1" applyAlignment="1" applyProtection="1">
      <alignment horizontal="right" vertical="center"/>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1" fillId="0" borderId="0" xfId="115" applyFont="1" applyAlignment="1" applyProtection="1">
      <alignment horizontal="left" vertical="center"/>
    </xf>
    <xf numFmtId="0" fontId="1" fillId="0" borderId="0" xfId="0" applyNumberFormat="1" applyFont="1" applyFill="1" applyBorder="1" applyAlignment="1" applyProtection="1">
      <alignment horizontal="left" vertical="center" wrapText="1"/>
    </xf>
    <xf numFmtId="0" fontId="73" fillId="0" borderId="0" xfId="0" applyFont="1" applyAlignment="1" applyProtection="1">
      <alignment horizontal="left" vertical="center"/>
    </xf>
    <xf numFmtId="0" fontId="76" fillId="12" borderId="9" xfId="0" applyFont="1" applyFill="1" applyBorder="1" applyAlignment="1" applyProtection="1">
      <alignment horizontal="left" vertical="center"/>
    </xf>
    <xf numFmtId="0" fontId="76" fillId="9" borderId="0" xfId="109" applyFont="1" applyFill="1" applyBorder="1" applyAlignment="1" applyProtection="1">
      <alignment horizontal="left" vertical="center" wrapText="1"/>
    </xf>
    <xf numFmtId="0" fontId="1" fillId="0" borderId="16" xfId="0" applyNumberFormat="1" applyFont="1" applyFill="1" applyBorder="1" applyAlignment="1" applyProtection="1">
      <alignment horizontal="left" vertical="top" wrapText="1"/>
    </xf>
    <xf numFmtId="0" fontId="76" fillId="0" borderId="0" xfId="0" applyFont="1" applyBorder="1" applyAlignment="1" applyProtection="1">
      <alignment horizontal="left" vertical="center"/>
    </xf>
    <xf numFmtId="1" fontId="76" fillId="9" borderId="0" xfId="109" applyNumberFormat="1" applyFont="1" applyFill="1" applyBorder="1" applyAlignment="1" applyProtection="1">
      <alignment horizontal="left" vertical="center" wrapText="1"/>
    </xf>
    <xf numFmtId="0" fontId="2" fillId="0" borderId="24"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0" borderId="25" xfId="0" applyNumberFormat="1" applyFont="1" applyFill="1" applyBorder="1" applyAlignment="1" applyProtection="1">
      <alignment horizontal="center" vertical="center"/>
    </xf>
    <xf numFmtId="0" fontId="58" fillId="15" borderId="24" xfId="0" applyNumberFormat="1" applyFont="1" applyFill="1" applyBorder="1" applyAlignment="1" applyProtection="1">
      <alignment horizontal="left" vertical="center"/>
    </xf>
    <xf numFmtId="0" fontId="58" fillId="15" borderId="3" xfId="0" applyNumberFormat="1" applyFont="1" applyFill="1" applyBorder="1" applyAlignment="1" applyProtection="1">
      <alignment horizontal="left" vertical="center"/>
    </xf>
    <xf numFmtId="0" fontId="58" fillId="15" borderId="25" xfId="0" applyNumberFormat="1" applyFont="1" applyFill="1" applyBorder="1" applyAlignment="1" applyProtection="1">
      <alignment horizontal="left" vertical="center"/>
    </xf>
    <xf numFmtId="0" fontId="5" fillId="0" borderId="0" xfId="0" applyFont="1" applyBorder="1" applyAlignment="1" applyProtection="1">
      <alignment horizontal="center" vertical="center" wrapText="1"/>
    </xf>
    <xf numFmtId="0" fontId="3" fillId="6" borderId="0" xfId="0" applyFont="1" applyFill="1" applyAlignment="1" applyProtection="1">
      <alignment horizontal="center" vertical="center" wrapText="1"/>
    </xf>
    <xf numFmtId="0" fontId="2" fillId="0" borderId="0" xfId="0" applyNumberFormat="1" applyFont="1" applyFill="1" applyBorder="1" applyAlignment="1" applyProtection="1">
      <alignment horizontal="left" vertical="center" wrapText="1"/>
    </xf>
    <xf numFmtId="0" fontId="58" fillId="0" borderId="51" xfId="0" applyNumberFormat="1" applyFont="1" applyFill="1" applyBorder="1" applyAlignment="1" applyProtection="1">
      <alignment horizontal="right" vertical="center"/>
    </xf>
    <xf numFmtId="0" fontId="2" fillId="0" borderId="24" xfId="111" applyNumberFormat="1" applyFont="1" applyFill="1" applyBorder="1" applyAlignment="1" applyProtection="1">
      <alignment horizontal="center" vertical="center" wrapText="1"/>
    </xf>
    <xf numFmtId="0" fontId="2" fillId="0" borderId="3" xfId="111" applyNumberFormat="1" applyFont="1" applyFill="1" applyBorder="1" applyAlignment="1" applyProtection="1">
      <alignment horizontal="center" vertical="center" wrapText="1"/>
    </xf>
    <xf numFmtId="0" fontId="2" fillId="0" borderId="25" xfId="111" applyNumberFormat="1" applyFont="1" applyFill="1" applyBorder="1" applyAlignment="1" applyProtection="1">
      <alignment horizontal="center" vertical="center" wrapText="1"/>
    </xf>
    <xf numFmtId="0" fontId="1" fillId="0" borderId="0" xfId="115" applyFont="1" applyFill="1" applyAlignment="1" applyProtection="1">
      <alignment vertical="center" wrapText="1"/>
      <protection hidden="1"/>
    </xf>
    <xf numFmtId="0" fontId="76" fillId="10" borderId="24" xfId="0" applyFont="1" applyFill="1" applyBorder="1" applyAlignment="1">
      <alignment horizontal="center" vertical="center" wrapText="1"/>
    </xf>
    <xf numFmtId="0" fontId="76" fillId="10" borderId="3" xfId="0" applyFont="1" applyFill="1" applyBorder="1" applyAlignment="1">
      <alignment horizontal="center" vertical="center" wrapText="1"/>
    </xf>
    <xf numFmtId="0" fontId="76" fillId="10" borderId="25" xfId="0" applyFont="1" applyFill="1" applyBorder="1" applyAlignment="1">
      <alignment horizontal="center" vertical="center" wrapText="1"/>
    </xf>
    <xf numFmtId="0" fontId="73" fillId="0" borderId="0" xfId="0" applyFont="1" applyBorder="1" applyAlignment="1" applyProtection="1">
      <alignment horizontal="right" vertical="center"/>
    </xf>
    <xf numFmtId="0" fontId="58" fillId="15" borderId="24" xfId="0" applyNumberFormat="1" applyFont="1" applyFill="1" applyBorder="1" applyAlignment="1" applyProtection="1">
      <alignment horizontal="left" vertical="center" wrapText="1"/>
    </xf>
    <xf numFmtId="0" fontId="58" fillId="15" borderId="3" xfId="0" applyNumberFormat="1" applyFont="1" applyFill="1" applyBorder="1" applyAlignment="1" applyProtection="1">
      <alignment horizontal="left" vertical="center" wrapText="1"/>
    </xf>
    <xf numFmtId="0" fontId="58" fillId="15" borderId="25" xfId="0" applyNumberFormat="1" applyFont="1" applyFill="1" applyBorder="1" applyAlignment="1" applyProtection="1">
      <alignment horizontal="left" vertical="center" wrapText="1"/>
    </xf>
    <xf numFmtId="165" fontId="1" fillId="0" borderId="0" xfId="0" applyNumberFormat="1" applyFont="1" applyFill="1" applyBorder="1" applyAlignment="1" applyProtection="1">
      <alignment horizontal="left" vertical="center"/>
    </xf>
    <xf numFmtId="0" fontId="75" fillId="0" borderId="0" xfId="0" applyFont="1" applyAlignment="1" applyProtection="1">
      <alignment horizontal="left" vertical="center"/>
    </xf>
    <xf numFmtId="0" fontId="75" fillId="9" borderId="0" xfId="109" applyFont="1" applyFill="1" applyBorder="1" applyAlignment="1" applyProtection="1">
      <alignment horizontal="left" vertical="center" wrapText="1"/>
    </xf>
    <xf numFmtId="1" fontId="75" fillId="9" borderId="0" xfId="109" applyNumberFormat="1" applyFont="1" applyFill="1" applyBorder="1" applyAlignment="1" applyProtection="1">
      <alignment horizontal="left" vertical="center" wrapText="1"/>
    </xf>
    <xf numFmtId="0" fontId="75" fillId="9" borderId="0" xfId="109" applyFont="1" applyFill="1" applyBorder="1" applyAlignment="1" applyProtection="1">
      <alignment horizontal="left" vertical="center"/>
    </xf>
    <xf numFmtId="2" fontId="33" fillId="10" borderId="24" xfId="0" applyNumberFormat="1" applyFont="1" applyFill="1" applyBorder="1" applyAlignment="1" applyProtection="1">
      <alignment horizontal="center" vertical="center" wrapText="1"/>
    </xf>
    <xf numFmtId="2" fontId="33" fillId="10" borderId="3" xfId="0" applyNumberFormat="1" applyFont="1" applyFill="1" applyBorder="1" applyAlignment="1" applyProtection="1">
      <alignment horizontal="center" vertical="center" wrapText="1"/>
    </xf>
    <xf numFmtId="2" fontId="33" fillId="10" borderId="25" xfId="0" applyNumberFormat="1" applyFont="1" applyFill="1" applyBorder="1" applyAlignment="1" applyProtection="1">
      <alignment horizontal="center" vertical="center"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165" fontId="1" fillId="0" borderId="0" xfId="115" applyNumberFormat="1" applyFont="1" applyFill="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Fill="1" applyBorder="1" applyAlignment="1" applyProtection="1">
      <alignment horizontal="left" vertical="center" wrapText="1"/>
      <protection hidden="1"/>
    </xf>
    <xf numFmtId="0" fontId="73" fillId="0" borderId="25" xfId="109" applyFont="1" applyFill="1" applyBorder="1" applyAlignment="1" applyProtection="1">
      <alignment horizontal="left" vertical="center" wrapText="1"/>
      <protection hidden="1"/>
    </xf>
    <xf numFmtId="1" fontId="73" fillId="0" borderId="24" xfId="109" applyNumberFormat="1" applyFont="1" applyFill="1" applyBorder="1" applyAlignment="1" applyProtection="1">
      <alignment horizontal="left" vertical="center" wrapText="1"/>
      <protection hidden="1"/>
    </xf>
    <xf numFmtId="0" fontId="73" fillId="9" borderId="0" xfId="109" applyFont="1" applyFill="1" applyBorder="1" applyAlignment="1" applyProtection="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33" fillId="13" borderId="0" xfId="0" applyNumberFormat="1"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Border="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pplyProtection="1">
      <alignment horizontal="center" vertical="center" wrapText="1"/>
    </xf>
    <xf numFmtId="9" fontId="7" fillId="9" borderId="26" xfId="114" applyNumberFormat="1" applyFont="1" applyFill="1" applyBorder="1" applyAlignment="1" applyProtection="1">
      <alignment horizontal="center" vertical="center" wrapText="1"/>
    </xf>
    <xf numFmtId="0" fontId="72" fillId="0" borderId="0" xfId="114" applyFont="1" applyBorder="1" applyAlignment="1" applyProtection="1">
      <alignment horizontal="center" vertical="top"/>
      <protection hidden="1"/>
    </xf>
    <xf numFmtId="0" fontId="59" fillId="13" borderId="0" xfId="114" applyFont="1" applyFill="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NumberFormat="1" applyFont="1" applyFill="1" applyBorder="1" applyAlignment="1" applyProtection="1">
      <alignment horizontal="left" vertical="center" wrapText="1"/>
    </xf>
    <xf numFmtId="0" fontId="7" fillId="9" borderId="25" xfId="114" applyNumberFormat="1" applyFont="1" applyFill="1" applyBorder="1" applyAlignment="1" applyProtection="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7" fillId="9" borderId="9" xfId="114" applyFont="1" applyFill="1" applyBorder="1" applyAlignment="1" applyProtection="1">
      <alignment horizontal="center" vertical="center" wrapText="1"/>
    </xf>
    <xf numFmtId="0" fontId="7" fillId="9" borderId="26" xfId="114" applyFont="1" applyFill="1" applyBorder="1" applyAlignment="1" applyProtection="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59" fillId="0" borderId="0" xfId="114" applyFont="1" applyBorder="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pplyProtection="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Fill="1" applyBorder="1" applyAlignment="1" applyProtection="1">
      <alignment horizontal="left" vertical="center" wrapText="1"/>
      <protection hidden="1"/>
    </xf>
    <xf numFmtId="0" fontId="59" fillId="0" borderId="28"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Font="1" applyFill="1" applyBorder="1" applyAlignment="1" applyProtection="1">
      <alignment horizontal="right" vertical="center"/>
      <protection locked="0"/>
    </xf>
    <xf numFmtId="166" fontId="8" fillId="0" borderId="0" xfId="0" applyNumberFormat="1"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Fill="1" applyBorder="1" applyAlignment="1" applyProtection="1">
      <alignment horizontal="left" vertical="center" wrapText="1"/>
      <protection hidden="1"/>
    </xf>
    <xf numFmtId="0" fontId="74" fillId="0" borderId="25" xfId="109" applyFont="1" applyFill="1" applyBorder="1" applyAlignment="1" applyProtection="1">
      <alignment horizontal="left" vertical="center" wrapText="1"/>
      <protection hidden="1"/>
    </xf>
    <xf numFmtId="0" fontId="34"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59" fillId="13"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Fill="1" applyBorder="1" applyAlignment="1" applyProtection="1">
      <alignment horizontal="left" vertical="center"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Fill="1" applyAlignment="1" applyProtection="1">
      <alignment horizontal="center" vertical="center"/>
      <protection hidden="1"/>
    </xf>
    <xf numFmtId="0" fontId="59" fillId="13" borderId="0" xfId="73" applyNumberFormat="1" applyFont="1" applyFill="1" applyBorder="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Font="1" applyBorder="1" applyAlignment="1" applyProtection="1">
      <alignment horizontal="left" vertical="center" indent="2"/>
    </xf>
    <xf numFmtId="0" fontId="33" fillId="0" borderId="0" xfId="106" quotePrefix="1" applyFont="1" applyAlignment="1" applyProtection="1">
      <alignment horizontal="center" vertical="center"/>
    </xf>
    <xf numFmtId="0" fontId="4" fillId="3" borderId="22" xfId="73" applyFill="1" applyBorder="1" applyAlignment="1" applyProtection="1">
      <alignment horizontal="left" vertical="center"/>
      <protection locked="0"/>
    </xf>
    <xf numFmtId="0" fontId="4" fillId="3" borderId="22" xfId="73" applyFont="1" applyFill="1" applyBorder="1" applyAlignment="1" applyProtection="1">
      <alignment horizontal="left" vertical="center"/>
      <protection locked="0"/>
    </xf>
    <xf numFmtId="0" fontId="4" fillId="0" borderId="69"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0" fontId="4" fillId="0" borderId="69" xfId="73" applyFont="1" applyBorder="1" applyAlignment="1" applyProtection="1">
      <alignment horizontal="justify" vertical="center" wrapText="1"/>
    </xf>
    <xf numFmtId="0" fontId="4" fillId="0" borderId="0" xfId="73" applyFont="1" applyBorder="1" applyAlignment="1" applyProtection="1">
      <alignment horizontal="left" vertical="center" indent="2"/>
    </xf>
    <xf numFmtId="49" fontId="4" fillId="0" borderId="0" xfId="106" applyNumberFormat="1" applyFont="1" applyFill="1" applyAlignment="1" applyProtection="1">
      <alignment horizontal="left" vertical="center"/>
      <protection hidden="1"/>
    </xf>
    <xf numFmtId="0" fontId="4" fillId="0" borderId="0" xfId="106" applyFont="1" applyFill="1" applyAlignment="1" applyProtection="1">
      <alignment horizontal="left" vertical="center"/>
      <protection hidden="1"/>
    </xf>
    <xf numFmtId="0" fontId="4" fillId="0" borderId="0" xfId="106" applyFont="1" applyAlignment="1" applyProtection="1">
      <alignment horizontal="justify" vertical="top"/>
    </xf>
    <xf numFmtId="0" fontId="4" fillId="0" borderId="0" xfId="106" applyFont="1" applyAlignment="1" applyProtection="1">
      <alignment horizontal="left" vertical="top" wrapText="1"/>
    </xf>
    <xf numFmtId="0" fontId="4" fillId="0" borderId="0" xfId="73" applyFont="1" applyAlignment="1" applyProtection="1">
      <alignment horizontal="left" vertical="center" wrapText="1" indent="2"/>
    </xf>
    <xf numFmtId="10" fontId="4" fillId="0" borderId="0" xfId="106" applyNumberFormat="1" applyFont="1" applyFill="1" applyAlignment="1" applyProtection="1">
      <alignment horizontal="left" vertical="center"/>
      <protection hidden="1"/>
    </xf>
    <xf numFmtId="0" fontId="4" fillId="0" borderId="0" xfId="106" applyFont="1" applyAlignment="1" applyProtection="1">
      <alignment horizontal="center" vertical="top"/>
    </xf>
    <xf numFmtId="0" fontId="7" fillId="0" borderId="0" xfId="106" applyFont="1" applyAlignment="1" applyProtection="1">
      <alignment horizontal="justify" vertical="center"/>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60"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59" fillId="13" borderId="0" xfId="106" applyFont="1" applyFill="1" applyAlignment="1" applyProtection="1">
      <alignment horizontal="justify" vertical="top"/>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Fill="1" applyAlignment="1">
      <alignment horizontal="justify" vertical="top" wrapText="1"/>
    </xf>
    <xf numFmtId="0" fontId="2" fillId="0" borderId="0" xfId="0" applyFont="1" applyAlignment="1" applyProtection="1">
      <alignment horizontal="left" vertical="top" wrapText="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Fill="1" applyAlignment="1">
      <alignment horizontal="left" vertical="top" wrapText="1"/>
    </xf>
    <xf numFmtId="0" fontId="7" fillId="0" borderId="13" xfId="0" applyFont="1" applyBorder="1" applyAlignment="1" applyProtection="1">
      <alignment horizontal="left" vertical="center" wrapText="1"/>
      <protection hidden="1"/>
    </xf>
    <xf numFmtId="0" fontId="68"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20">
    <dxf>
      <fill>
        <patternFill>
          <bgColor rgb="FFCCFFCC"/>
        </patternFill>
      </fill>
    </dxf>
    <dxf>
      <font>
        <condense val="0"/>
        <extend val="0"/>
        <color indexed="10"/>
      </font>
    </dxf>
    <dxf>
      <font>
        <condense val="0"/>
        <extend val="0"/>
        <color indexed="9"/>
      </font>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454390" y="104775"/>
          <a:ext cx="453390" cy="79438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076661" y="47625"/>
          <a:ext cx="571500" cy="1829794"/>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2390100" y="279400"/>
          <a:ext cx="0" cy="1885950"/>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605280" y="19050"/>
          <a:ext cx="1125681"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400925" y="19050"/>
          <a:ext cx="1571625"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2" Type="http://schemas.openxmlformats.org/officeDocument/2006/relationships/revisionLog" Target="revisionLog2.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B09DA5E-6050-4A9C-AC72-F0074A2E1229}" diskRevisions="1" revisionId="43" version="2" protected="1">
  <header guid="{F8BBCC33-C494-4DFA-AF8F-1637BCE9FF31}" dateTime="2022-04-19T11:50:51" maxSheetId="23" userName="Adil Iqbal Khan {Adil Iqbal Khan}"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 guid="{6B09DA5E-6050-4A9C-AC72-F0074A2E1229}" dateTime="2022-04-19T17:22:30" maxSheetId="23" userName="Adil Iqbal Khan {Adil Iqbal Khan}" r:id="rId2">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27A88A6-1BB1-46D4-AC44-9DCFC13F5D7E}" action="delete"/>
  <rdn rId="0" localSheetId="1" customView="1" name="Z_027A88A6_1BB1_46D4_AC44_9DCFC13F5D7E_.wvu.Cols" hidden="1" oldHidden="1">
    <formula>Basic!$I:$I</formula>
    <oldFormula>Basic!$I:$I</oldFormula>
  </rdn>
  <rdn rId="0" localSheetId="2" customView="1" name="Z_027A88A6_1BB1_46D4_AC44_9DCFC13F5D7E_.wvu.PrintArea" hidden="1" oldHidden="1">
    <formula>Cover!$A$1:$F$15</formula>
    <oldFormula>Cover!$A$1:$F$15</oldFormula>
  </rdn>
  <rdn rId="0" localSheetId="2" customView="1" name="Z_027A88A6_1BB1_46D4_AC44_9DCFC13F5D7E_.wvu.Rows" hidden="1" oldHidden="1">
    <formula>Cover!$7:$7</formula>
    <oldFormula>Cover!$7:$7</oldFormula>
  </rdn>
  <rdn rId="0" localSheetId="3" customView="1" name="Z_027A88A6_1BB1_46D4_AC44_9DCFC13F5D7E_.wvu.PrintArea" hidden="1" oldHidden="1">
    <formula>Instructions!$A$1:$C$65</formula>
    <oldFormula>Instructions!$A$1:$C$65</oldFormula>
  </rdn>
  <rdn rId="0" localSheetId="4" customView="1" name="Z_027A88A6_1BB1_46D4_AC44_9DCFC13F5D7E_.wvu.PrintArea" hidden="1" oldHidden="1">
    <formula>'Names of Bidder'!$A$1:$F$23</formula>
    <oldFormula>'Names of Bidder'!$A$1:$F$23</oldFormula>
  </rdn>
  <rdn rId="0" localSheetId="4" customView="1" name="Z_027A88A6_1BB1_46D4_AC44_9DCFC13F5D7E_.wvu.Rows" hidden="1" oldHidden="1">
    <formula>'Names of Bidder'!$14:$17</formula>
    <oldFormula>'Names of Bidder'!$14:$17</oldFormula>
  </rdn>
  <rdn rId="0" localSheetId="4" customView="1" name="Z_027A88A6_1BB1_46D4_AC44_9DCFC13F5D7E_.wvu.Cols" hidden="1" oldHidden="1">
    <formula>'Names of Bidder'!$G:$G,'Names of Bidder'!$J:$J</formula>
    <oldFormula>'Names of Bidder'!$G:$G,'Names of Bidder'!$J:$J</oldFormula>
  </rdn>
  <rdn rId="0" localSheetId="5" customView="1" name="Z_027A88A6_1BB1_46D4_AC44_9DCFC13F5D7E_.wvu.PrintArea" hidden="1" oldHidden="1">
    <formula>'Sch-1'!$A$1:$N$221</formula>
    <oldFormula>'Sch-1'!$A$1:$N$221</oldFormula>
  </rdn>
  <rdn rId="0" localSheetId="5" customView="1" name="Z_027A88A6_1BB1_46D4_AC44_9DCFC13F5D7E_.wvu.PrintTitles" hidden="1" oldHidden="1">
    <formula>'Sch-1'!$15:$16</formula>
    <oldFormula>'Sch-1'!$15:$16</oldFormula>
  </rdn>
  <rdn rId="0" localSheetId="5" customView="1" name="Z_027A88A6_1BB1_46D4_AC44_9DCFC13F5D7E_.wvu.Cols" hidden="1" oldHidden="1">
    <formula>'Sch-1'!$O:$T,'Sch-1'!$X:$AK</formula>
    <oldFormula>'Sch-1'!$O:$T,'Sch-1'!$X:$AK</oldFormula>
  </rdn>
  <rdn rId="0" localSheetId="5" customView="1" name="Z_027A88A6_1BB1_46D4_AC44_9DCFC13F5D7E_.wvu.FilterData" hidden="1" oldHidden="1">
    <formula>'Sch-1'!$A$17:$IV$17</formula>
    <oldFormula>'Sch-1'!$A$17:$IV$17</oldFormula>
  </rdn>
  <rdn rId="0" localSheetId="6" customView="1" name="Z_027A88A6_1BB1_46D4_AC44_9DCFC13F5D7E_.wvu.PrintArea" hidden="1" oldHidden="1">
    <formula>'Sch-2'!$A$1:$J$218</formula>
    <oldFormula>'Sch-2'!$A$1:$J$218</oldFormula>
  </rdn>
  <rdn rId="0" localSheetId="6" customView="1" name="Z_027A88A6_1BB1_46D4_AC44_9DCFC13F5D7E_.wvu.PrintTitles" hidden="1" oldHidden="1">
    <formula>'Sch-2'!$15:$16</formula>
    <oldFormula>'Sch-2'!$15:$16</oldFormula>
  </rdn>
  <rdn rId="0" localSheetId="6" customView="1" name="Z_027A88A6_1BB1_46D4_AC44_9DCFC13F5D7E_.wvu.FilterData" hidden="1" oldHidden="1">
    <formula>'Sch-2'!$A$16:$AF$215</formula>
    <oldFormula>'Sch-2'!$A$16:$AF$215</oldFormula>
  </rdn>
  <rdn rId="0" localSheetId="7" customView="1" name="Z_027A88A6_1BB1_46D4_AC44_9DCFC13F5D7E_.wvu.PrintArea" hidden="1" oldHidden="1">
    <formula>'Sch-3'!$A$1:$P$256</formula>
    <oldFormula>'Sch-3'!$A$1:$P$256</oldFormula>
  </rdn>
  <rdn rId="0" localSheetId="7" customView="1" name="Z_027A88A6_1BB1_46D4_AC44_9DCFC13F5D7E_.wvu.PrintTitles" hidden="1" oldHidden="1">
    <formula>'Sch-3'!$15:$16</formula>
    <oldFormula>'Sch-3'!$15:$16</oldFormula>
  </rdn>
  <rdn rId="0" localSheetId="7" customView="1" name="Z_027A88A6_1BB1_46D4_AC44_9DCFC13F5D7E_.wvu.Cols" hidden="1" oldHidden="1">
    <formula>'Sch-3'!$Q:$AB</formula>
    <oldFormula>'Sch-3'!$Q:$AB</oldFormula>
  </rdn>
  <rdn rId="0" localSheetId="8" customView="1" name="Z_027A88A6_1BB1_46D4_AC44_9DCFC13F5D7E_.wvu.PrintArea" hidden="1" oldHidden="1">
    <formula>'Sch-4'!$A$1:$P$24</formula>
    <oldFormula>'Sch-4'!$A$1:$P$24</oldFormula>
  </rdn>
  <rdn rId="0" localSheetId="9" customView="1" name="Z_027A88A6_1BB1_46D4_AC44_9DCFC13F5D7E_.wvu.PrintArea" hidden="1" oldHidden="1">
    <formula>'Sch-5'!$A$1:$E$23</formula>
    <oldFormula>'Sch-5'!$A$1:$E$23</oldFormula>
  </rdn>
  <rdn rId="0" localSheetId="9" customView="1" name="Z_027A88A6_1BB1_46D4_AC44_9DCFC13F5D7E_.wvu.PrintTitles" hidden="1" oldHidden="1">
    <formula>'Sch-5'!$3:$14</formula>
    <oldFormula>'Sch-5'!$3:$14</oldFormula>
  </rdn>
  <rdn rId="0" localSheetId="9" customView="1" name="Z_027A88A6_1BB1_46D4_AC44_9DCFC13F5D7E_.wvu.Cols" hidden="1" oldHidden="1">
    <formula>'Sch-5'!$F:$T</formula>
    <oldFormula>'Sch-5'!$F:$T</oldFormula>
  </rdn>
  <rdn rId="0" localSheetId="10" customView="1" name="Z_027A88A6_1BB1_46D4_AC44_9DCFC13F5D7E_.wvu.PrintArea" hidden="1" oldHidden="1">
    <formula>'Sch-5 after discount'!$A$1:$E$23</formula>
    <oldFormula>'Sch-5 after discount'!$A$1:$E$23</oldFormula>
  </rdn>
  <rdn rId="0" localSheetId="10" customView="1" name="Z_027A88A6_1BB1_46D4_AC44_9DCFC13F5D7E_.wvu.PrintTitles" hidden="1" oldHidden="1">
    <formula>'Sch-5 after discount'!$3:$14</formula>
    <oldFormula>'Sch-5 after discount'!$3:$14</oldFormula>
  </rdn>
  <rdn rId="0" localSheetId="11" customView="1" name="Z_027A88A6_1BB1_46D4_AC44_9DCFC13F5D7E_.wvu.PrintArea" hidden="1" oldHidden="1">
    <formula>'Sch-6'!$A$1:$D$32</formula>
    <oldFormula>'Sch-6'!$A$1:$D$32</oldFormula>
  </rdn>
  <rdn rId="0" localSheetId="11" customView="1" name="Z_027A88A6_1BB1_46D4_AC44_9DCFC13F5D7E_.wvu.PrintTitles" hidden="1" oldHidden="1">
    <formula>'Sch-6'!$3:$14</formula>
    <oldFormula>'Sch-6'!$3:$14</oldFormula>
  </rdn>
  <rdn rId="0" localSheetId="12" customView="1" name="Z_027A88A6_1BB1_46D4_AC44_9DCFC13F5D7E_.wvu.PrintArea" hidden="1" oldHidden="1">
    <formula>'Sch-6 After Discount'!$A$1:$D$31</formula>
    <oldFormula>'Sch-6 After Discount'!$A$1:$D$31</oldFormula>
  </rdn>
  <rdn rId="0" localSheetId="12" customView="1" name="Z_027A88A6_1BB1_46D4_AC44_9DCFC13F5D7E_.wvu.PrintTitles" hidden="1" oldHidden="1">
    <formula>'Sch-6 After Discount'!$3:$13</formula>
    <oldFormula>'Sch-6 After Discount'!$3:$13</oldFormula>
  </rdn>
  <rdn rId="0" localSheetId="13" customView="1" name="Z_027A88A6_1BB1_46D4_AC44_9DCFC13F5D7E_.wvu.PrintArea" hidden="1" oldHidden="1">
    <formula>'Sch-6 (After Discount)'!$A$1:$D$32</formula>
    <oldFormula>'Sch-6 (After Discount)'!$A$1:$D$32</oldFormula>
  </rdn>
  <rdn rId="0" localSheetId="13" customView="1" name="Z_027A88A6_1BB1_46D4_AC44_9DCFC13F5D7E_.wvu.PrintTitles" hidden="1" oldHidden="1">
    <formula>'Sch-6 (After Discount)'!$3:$14</formula>
    <oldFormula>'Sch-6 (After Discount)'!$3:$14</oldFormula>
  </rdn>
  <rdn rId="0" localSheetId="13" customView="1" name="Z_027A88A6_1BB1_46D4_AC44_9DCFC13F5D7E_.wvu.Cols" hidden="1" oldHidden="1">
    <formula>'Sch-6 (After Discount)'!$E:$F</formula>
    <oldFormula>'Sch-6 (After Discount)'!$E:$F</oldFormula>
  </rdn>
  <rdn rId="0" localSheetId="14" customView="1" name="Z_027A88A6_1BB1_46D4_AC44_9DCFC13F5D7E_.wvu.PrintArea" hidden="1" oldHidden="1">
    <formula>'Sch-7'!$A$1:$M$25</formula>
    <oldFormula>'Sch-7'!$A$1:$M$25</oldFormula>
  </rdn>
  <rdn rId="0" localSheetId="14" customView="1" name="Z_027A88A6_1BB1_46D4_AC44_9DCFC13F5D7E_.wvu.Rows" hidden="1" oldHidden="1">
    <formula>'Sch-7'!$62:$180</formula>
    <oldFormula>'Sch-7'!$62:$180</oldFormula>
  </rdn>
  <rdn rId="0" localSheetId="14" customView="1" name="Z_027A88A6_1BB1_46D4_AC44_9DCFC13F5D7E_.wvu.Cols" hidden="1" oldHidden="1">
    <formula>'Sch-7'!$AA:$AG</formula>
    <oldFormula>'Sch-7'!$AA:$AG</oldFormula>
  </rdn>
  <rdn rId="0" localSheetId="15" customView="1" name="Z_027A88A6_1BB1_46D4_AC44_9DCFC13F5D7E_.wvu.PrintArea" hidden="1" oldHidden="1">
    <formula>Discount!$A$2:$G$40</formula>
    <oldFormula>Discount!$A$2:$G$40</oldFormula>
  </rdn>
  <rdn rId="0" localSheetId="15" customView="1" name="Z_027A88A6_1BB1_46D4_AC44_9DCFC13F5D7E_.wvu.Rows" hidden="1" oldHidden="1">
    <formula>Discount!$21:$22,Discount!$27:$32</formula>
    <oldFormula>Discount!$21:$22,Discount!$27:$32</oldFormula>
  </rdn>
  <rdn rId="0" localSheetId="15" customView="1" name="Z_027A88A6_1BB1_46D4_AC44_9DCFC13F5D7E_.wvu.Cols" hidden="1" oldHidden="1">
    <formula>Discount!$H:$L</formula>
    <oldFormula>Discount!$H:$L</oldFormula>
  </rdn>
  <rdn rId="0" localSheetId="16" customView="1" name="Z_027A88A6_1BB1_46D4_AC44_9DCFC13F5D7E_.wvu.PrintArea" hidden="1" oldHidden="1">
    <formula>Octroi!$A$1:$E$16</formula>
    <oldFormula>Octroi!$A$1:$E$16</oldFormula>
  </rdn>
  <rdn rId="0" localSheetId="17" customView="1" name="Z_027A88A6_1BB1_46D4_AC44_9DCFC13F5D7E_.wvu.PrintArea" hidden="1" oldHidden="1">
    <formula>'Entry Tax'!$A$1:$E$16</formula>
    <oldFormula>'Entry Tax'!$A$1:$E$16</oldFormula>
  </rdn>
  <rdn rId="0" localSheetId="18" customView="1" name="Z_027A88A6_1BB1_46D4_AC44_9DCFC13F5D7E_.wvu.PrintArea" hidden="1" oldHidden="1">
    <formula>'Other Taxes &amp; Duties'!$A$1:$F$16</formula>
    <oldFormula>'Other Taxes &amp; Duties'!$A$1:$F$16</oldFormula>
  </rdn>
  <rdn rId="0" localSheetId="19" customView="1" name="Z_027A88A6_1BB1_46D4_AC44_9DCFC13F5D7E_.wvu.PrintArea" hidden="1" oldHidden="1">
    <formula>'Bid Form 2nd Envelope'!$A$1:$F$60</formula>
    <oldFormula>'Bid Form 2nd Envelope'!$A$1:$F$60</oldFormula>
  </rdn>
  <rdn rId="0" localSheetId="19" customView="1" name="Z_027A88A6_1BB1_46D4_AC44_9DCFC13F5D7E_.wvu.Rows" hidden="1" oldHidden="1">
    <formula>'Bid Form 2nd Envelope'!$19:$19</formula>
    <oldFormula>'Bid Form 2nd Envelope'!$19:$19</oldFormula>
  </rdn>
  <rdn rId="0" localSheetId="19" customView="1" name="Z_027A88A6_1BB1_46D4_AC44_9DCFC13F5D7E_.wvu.Cols" hidden="1" oldHidden="1">
    <formula>'Bid Form 2nd Envelope'!$H:$AO</formula>
    <oldFormula>'Bid Form 2nd Envelope'!$H:$AO</oldFormula>
  </rdn>
  <rdn rId="0" localSheetId="22" customView="1" name="Z_027A88A6_1BB1_46D4_AC44_9DCFC13F5D7E_.wvu.Cols" hidden="1" oldHidden="1">
    <formula>'N-W (Cr.)'!$A:$O,'N-W (Cr.)'!$T:$DL</formula>
    <oldFormula>'N-W (Cr.)'!$A:$O,'N-W (Cr.)'!$T:$DL</oldFormula>
  </rdn>
  <rcv guid="{027A88A6-1BB1-46D4-AC44-9DCFC13F5D7E}"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25.bin"/><Relationship Id="rId13" Type="http://schemas.openxmlformats.org/officeDocument/2006/relationships/drawing" Target="../drawings/drawing6.xml"/><Relationship Id="rId3" Type="http://schemas.openxmlformats.org/officeDocument/2006/relationships/printerSettings" Target="../printerSettings/printerSettings120.bin"/><Relationship Id="rId7" Type="http://schemas.openxmlformats.org/officeDocument/2006/relationships/printerSettings" Target="../printerSettings/printerSettings124.bin"/><Relationship Id="rId12" Type="http://schemas.openxmlformats.org/officeDocument/2006/relationships/printerSettings" Target="../printerSettings/printerSettings129.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6" Type="http://schemas.openxmlformats.org/officeDocument/2006/relationships/printerSettings" Target="../printerSettings/printerSettings123.bin"/><Relationship Id="rId11" Type="http://schemas.openxmlformats.org/officeDocument/2006/relationships/printerSettings" Target="../printerSettings/printerSettings128.bin"/><Relationship Id="rId5" Type="http://schemas.openxmlformats.org/officeDocument/2006/relationships/printerSettings" Target="../printerSettings/printerSettings122.bin"/><Relationship Id="rId10" Type="http://schemas.openxmlformats.org/officeDocument/2006/relationships/printerSettings" Target="../printerSettings/printerSettings127.bin"/><Relationship Id="rId4" Type="http://schemas.openxmlformats.org/officeDocument/2006/relationships/printerSettings" Target="../printerSettings/printerSettings121.bin"/><Relationship Id="rId9" Type="http://schemas.openxmlformats.org/officeDocument/2006/relationships/printerSettings" Target="../printerSettings/printerSettings12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37.bin"/><Relationship Id="rId13" Type="http://schemas.openxmlformats.org/officeDocument/2006/relationships/printerSettings" Target="../printerSettings/printerSettings142.bin"/><Relationship Id="rId3" Type="http://schemas.openxmlformats.org/officeDocument/2006/relationships/printerSettings" Target="../printerSettings/printerSettings132.bin"/><Relationship Id="rId7" Type="http://schemas.openxmlformats.org/officeDocument/2006/relationships/printerSettings" Target="../printerSettings/printerSettings136.bin"/><Relationship Id="rId12" Type="http://schemas.openxmlformats.org/officeDocument/2006/relationships/printerSettings" Target="../printerSettings/printerSettings141.bin"/><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 Id="rId6" Type="http://schemas.openxmlformats.org/officeDocument/2006/relationships/printerSettings" Target="../printerSettings/printerSettings135.bin"/><Relationship Id="rId11" Type="http://schemas.openxmlformats.org/officeDocument/2006/relationships/printerSettings" Target="../printerSettings/printerSettings140.bin"/><Relationship Id="rId5" Type="http://schemas.openxmlformats.org/officeDocument/2006/relationships/printerSettings" Target="../printerSettings/printerSettings134.bin"/><Relationship Id="rId10" Type="http://schemas.openxmlformats.org/officeDocument/2006/relationships/printerSettings" Target="../printerSettings/printerSettings139.bin"/><Relationship Id="rId4" Type="http://schemas.openxmlformats.org/officeDocument/2006/relationships/printerSettings" Target="../printerSettings/printerSettings133.bin"/><Relationship Id="rId9" Type="http://schemas.openxmlformats.org/officeDocument/2006/relationships/printerSettings" Target="../printerSettings/printerSettings138.bin"/><Relationship Id="rId14"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50.bin"/><Relationship Id="rId13" Type="http://schemas.openxmlformats.org/officeDocument/2006/relationships/printerSettings" Target="../printerSettings/printerSettings155.bin"/><Relationship Id="rId3" Type="http://schemas.openxmlformats.org/officeDocument/2006/relationships/printerSettings" Target="../printerSettings/printerSettings145.bin"/><Relationship Id="rId7" Type="http://schemas.openxmlformats.org/officeDocument/2006/relationships/printerSettings" Target="../printerSettings/printerSettings149.bin"/><Relationship Id="rId12" Type="http://schemas.openxmlformats.org/officeDocument/2006/relationships/printerSettings" Target="../printerSettings/printerSettings154.bin"/><Relationship Id="rId2" Type="http://schemas.openxmlformats.org/officeDocument/2006/relationships/printerSettings" Target="../printerSettings/printerSettings144.bin"/><Relationship Id="rId1" Type="http://schemas.openxmlformats.org/officeDocument/2006/relationships/printerSettings" Target="../printerSettings/printerSettings143.bin"/><Relationship Id="rId6" Type="http://schemas.openxmlformats.org/officeDocument/2006/relationships/printerSettings" Target="../printerSettings/printerSettings148.bin"/><Relationship Id="rId11" Type="http://schemas.openxmlformats.org/officeDocument/2006/relationships/printerSettings" Target="../printerSettings/printerSettings153.bin"/><Relationship Id="rId5" Type="http://schemas.openxmlformats.org/officeDocument/2006/relationships/printerSettings" Target="../printerSettings/printerSettings147.bin"/><Relationship Id="rId10" Type="http://schemas.openxmlformats.org/officeDocument/2006/relationships/printerSettings" Target="../printerSettings/printerSettings152.bin"/><Relationship Id="rId4" Type="http://schemas.openxmlformats.org/officeDocument/2006/relationships/printerSettings" Target="../printerSettings/printerSettings146.bin"/><Relationship Id="rId9" Type="http://schemas.openxmlformats.org/officeDocument/2006/relationships/printerSettings" Target="../printerSettings/printerSettings151.bin"/><Relationship Id="rId14"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63.bin"/><Relationship Id="rId13" Type="http://schemas.openxmlformats.org/officeDocument/2006/relationships/drawing" Target="../drawings/drawing9.xml"/><Relationship Id="rId3" Type="http://schemas.openxmlformats.org/officeDocument/2006/relationships/printerSettings" Target="../printerSettings/printerSettings158.bin"/><Relationship Id="rId7" Type="http://schemas.openxmlformats.org/officeDocument/2006/relationships/printerSettings" Target="../printerSettings/printerSettings162.bin"/><Relationship Id="rId12" Type="http://schemas.openxmlformats.org/officeDocument/2006/relationships/printerSettings" Target="../printerSettings/printerSettings167.bin"/><Relationship Id="rId2" Type="http://schemas.openxmlformats.org/officeDocument/2006/relationships/printerSettings" Target="../printerSettings/printerSettings157.bin"/><Relationship Id="rId1" Type="http://schemas.openxmlformats.org/officeDocument/2006/relationships/printerSettings" Target="../printerSettings/printerSettings156.bin"/><Relationship Id="rId6" Type="http://schemas.openxmlformats.org/officeDocument/2006/relationships/printerSettings" Target="../printerSettings/printerSettings161.bin"/><Relationship Id="rId11" Type="http://schemas.openxmlformats.org/officeDocument/2006/relationships/printerSettings" Target="../printerSettings/printerSettings166.bin"/><Relationship Id="rId5" Type="http://schemas.openxmlformats.org/officeDocument/2006/relationships/printerSettings" Target="../printerSettings/printerSettings160.bin"/><Relationship Id="rId10" Type="http://schemas.openxmlformats.org/officeDocument/2006/relationships/printerSettings" Target="../printerSettings/printerSettings165.bin"/><Relationship Id="rId4" Type="http://schemas.openxmlformats.org/officeDocument/2006/relationships/printerSettings" Target="../printerSettings/printerSettings159.bin"/><Relationship Id="rId9" Type="http://schemas.openxmlformats.org/officeDocument/2006/relationships/printerSettings" Target="../printerSettings/printerSettings164.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01.bin"/><Relationship Id="rId13" Type="http://schemas.openxmlformats.org/officeDocument/2006/relationships/printerSettings" Target="../printerSettings/printerSettings206.bin"/><Relationship Id="rId3" Type="http://schemas.openxmlformats.org/officeDocument/2006/relationships/printerSettings" Target="../printerSettings/printerSettings196.bin"/><Relationship Id="rId7" Type="http://schemas.openxmlformats.org/officeDocument/2006/relationships/printerSettings" Target="../printerSettings/printerSettings200.bin"/><Relationship Id="rId12" Type="http://schemas.openxmlformats.org/officeDocument/2006/relationships/printerSettings" Target="../printerSettings/printerSettings205.bin"/><Relationship Id="rId2" Type="http://schemas.openxmlformats.org/officeDocument/2006/relationships/printerSettings" Target="../printerSettings/printerSettings195.bin"/><Relationship Id="rId1" Type="http://schemas.openxmlformats.org/officeDocument/2006/relationships/printerSettings" Target="../printerSettings/printerSettings194.bin"/><Relationship Id="rId6" Type="http://schemas.openxmlformats.org/officeDocument/2006/relationships/printerSettings" Target="../printerSettings/printerSettings199.bin"/><Relationship Id="rId11" Type="http://schemas.openxmlformats.org/officeDocument/2006/relationships/printerSettings" Target="../printerSettings/printerSettings204.bin"/><Relationship Id="rId5" Type="http://schemas.openxmlformats.org/officeDocument/2006/relationships/printerSettings" Target="../printerSettings/printerSettings198.bin"/><Relationship Id="rId10" Type="http://schemas.openxmlformats.org/officeDocument/2006/relationships/printerSettings" Target="../printerSettings/printerSettings203.bin"/><Relationship Id="rId4" Type="http://schemas.openxmlformats.org/officeDocument/2006/relationships/printerSettings" Target="../printerSettings/printerSettings197.bin"/><Relationship Id="rId9" Type="http://schemas.openxmlformats.org/officeDocument/2006/relationships/printerSettings" Target="../printerSettings/printerSettings202.bin"/><Relationship Id="rId14"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14.bin"/><Relationship Id="rId13" Type="http://schemas.openxmlformats.org/officeDocument/2006/relationships/printerSettings" Target="../printerSettings/printerSettings219.bin"/><Relationship Id="rId3" Type="http://schemas.openxmlformats.org/officeDocument/2006/relationships/printerSettings" Target="../printerSettings/printerSettings209.bin"/><Relationship Id="rId7" Type="http://schemas.openxmlformats.org/officeDocument/2006/relationships/printerSettings" Target="../printerSettings/printerSettings213.bin"/><Relationship Id="rId12" Type="http://schemas.openxmlformats.org/officeDocument/2006/relationships/printerSettings" Target="../printerSettings/printerSettings218.bin"/><Relationship Id="rId2" Type="http://schemas.openxmlformats.org/officeDocument/2006/relationships/printerSettings" Target="../printerSettings/printerSettings208.bin"/><Relationship Id="rId1" Type="http://schemas.openxmlformats.org/officeDocument/2006/relationships/printerSettings" Target="../printerSettings/printerSettings207.bin"/><Relationship Id="rId6" Type="http://schemas.openxmlformats.org/officeDocument/2006/relationships/printerSettings" Target="../printerSettings/printerSettings212.bin"/><Relationship Id="rId11" Type="http://schemas.openxmlformats.org/officeDocument/2006/relationships/printerSettings" Target="../printerSettings/printerSettings217.bin"/><Relationship Id="rId5" Type="http://schemas.openxmlformats.org/officeDocument/2006/relationships/printerSettings" Target="../printerSettings/printerSettings211.bin"/><Relationship Id="rId10" Type="http://schemas.openxmlformats.org/officeDocument/2006/relationships/printerSettings" Target="../printerSettings/printerSettings216.bin"/><Relationship Id="rId4" Type="http://schemas.openxmlformats.org/officeDocument/2006/relationships/printerSettings" Target="../printerSettings/printerSettings210.bin"/><Relationship Id="rId9" Type="http://schemas.openxmlformats.org/officeDocument/2006/relationships/printerSettings" Target="../printerSettings/printerSettings215.bin"/><Relationship Id="rId14" Type="http://schemas.openxmlformats.org/officeDocument/2006/relationships/drawing" Target="../drawings/drawing11.xml"/></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27.bin"/><Relationship Id="rId13" Type="http://schemas.openxmlformats.org/officeDocument/2006/relationships/printerSettings" Target="../printerSettings/printerSettings232.bin"/><Relationship Id="rId3" Type="http://schemas.openxmlformats.org/officeDocument/2006/relationships/printerSettings" Target="../printerSettings/printerSettings222.bin"/><Relationship Id="rId7" Type="http://schemas.openxmlformats.org/officeDocument/2006/relationships/printerSettings" Target="../printerSettings/printerSettings226.bin"/><Relationship Id="rId12" Type="http://schemas.openxmlformats.org/officeDocument/2006/relationships/printerSettings" Target="../printerSettings/printerSettings231.bin"/><Relationship Id="rId2" Type="http://schemas.openxmlformats.org/officeDocument/2006/relationships/printerSettings" Target="../printerSettings/printerSettings221.bin"/><Relationship Id="rId1" Type="http://schemas.openxmlformats.org/officeDocument/2006/relationships/printerSettings" Target="../printerSettings/printerSettings220.bin"/><Relationship Id="rId6" Type="http://schemas.openxmlformats.org/officeDocument/2006/relationships/printerSettings" Target="../printerSettings/printerSettings225.bin"/><Relationship Id="rId11" Type="http://schemas.openxmlformats.org/officeDocument/2006/relationships/printerSettings" Target="../printerSettings/printerSettings230.bin"/><Relationship Id="rId5" Type="http://schemas.openxmlformats.org/officeDocument/2006/relationships/printerSettings" Target="../printerSettings/printerSettings224.bin"/><Relationship Id="rId10" Type="http://schemas.openxmlformats.org/officeDocument/2006/relationships/printerSettings" Target="../printerSettings/printerSettings229.bin"/><Relationship Id="rId4" Type="http://schemas.openxmlformats.org/officeDocument/2006/relationships/printerSettings" Target="../printerSettings/printerSettings223.bin"/><Relationship Id="rId9" Type="http://schemas.openxmlformats.org/officeDocument/2006/relationships/printerSettings" Target="../printerSettings/printerSettings228.bin"/><Relationship Id="rId14" Type="http://schemas.openxmlformats.org/officeDocument/2006/relationships/drawing" Target="../drawings/drawing12.xml"/></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40.bin"/><Relationship Id="rId13" Type="http://schemas.openxmlformats.org/officeDocument/2006/relationships/printerSettings" Target="../printerSettings/printerSettings245.bin"/><Relationship Id="rId3" Type="http://schemas.openxmlformats.org/officeDocument/2006/relationships/printerSettings" Target="../printerSettings/printerSettings235.bin"/><Relationship Id="rId7" Type="http://schemas.openxmlformats.org/officeDocument/2006/relationships/printerSettings" Target="../printerSettings/printerSettings239.bin"/><Relationship Id="rId12" Type="http://schemas.openxmlformats.org/officeDocument/2006/relationships/printerSettings" Target="../printerSettings/printerSettings244.bin"/><Relationship Id="rId2" Type="http://schemas.openxmlformats.org/officeDocument/2006/relationships/printerSettings" Target="../printerSettings/printerSettings234.bin"/><Relationship Id="rId1" Type="http://schemas.openxmlformats.org/officeDocument/2006/relationships/printerSettings" Target="../printerSettings/printerSettings233.bin"/><Relationship Id="rId6" Type="http://schemas.openxmlformats.org/officeDocument/2006/relationships/printerSettings" Target="../printerSettings/printerSettings238.bin"/><Relationship Id="rId11" Type="http://schemas.openxmlformats.org/officeDocument/2006/relationships/printerSettings" Target="../printerSettings/printerSettings243.bin"/><Relationship Id="rId5" Type="http://schemas.openxmlformats.org/officeDocument/2006/relationships/printerSettings" Target="../printerSettings/printerSettings237.bin"/><Relationship Id="rId10" Type="http://schemas.openxmlformats.org/officeDocument/2006/relationships/printerSettings" Target="../printerSettings/printerSettings242.bin"/><Relationship Id="rId4" Type="http://schemas.openxmlformats.org/officeDocument/2006/relationships/printerSettings" Target="../printerSettings/printerSettings236.bin"/><Relationship Id="rId9" Type="http://schemas.openxmlformats.org/officeDocument/2006/relationships/printerSettings" Target="../printerSettings/printerSettings241.bin"/><Relationship Id="rId14"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 Id="rId14"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53.bin"/><Relationship Id="rId3" Type="http://schemas.openxmlformats.org/officeDocument/2006/relationships/printerSettings" Target="../printerSettings/printerSettings248.bin"/><Relationship Id="rId7" Type="http://schemas.openxmlformats.org/officeDocument/2006/relationships/printerSettings" Target="../printerSettings/printerSettings252.bin"/><Relationship Id="rId2" Type="http://schemas.openxmlformats.org/officeDocument/2006/relationships/printerSettings" Target="../printerSettings/printerSettings247.bin"/><Relationship Id="rId1" Type="http://schemas.openxmlformats.org/officeDocument/2006/relationships/printerSettings" Target="../printerSettings/printerSettings246.bin"/><Relationship Id="rId6" Type="http://schemas.openxmlformats.org/officeDocument/2006/relationships/printerSettings" Target="../printerSettings/printerSettings251.bin"/><Relationship Id="rId5" Type="http://schemas.openxmlformats.org/officeDocument/2006/relationships/printerSettings" Target="../printerSettings/printerSettings250.bin"/><Relationship Id="rId4" Type="http://schemas.openxmlformats.org/officeDocument/2006/relationships/printerSettings" Target="../printerSettings/printerSettings249.bin"/><Relationship Id="rId9" Type="http://schemas.openxmlformats.org/officeDocument/2006/relationships/printerSettings" Target="../printerSettings/printerSettings25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7.bin"/><Relationship Id="rId13" Type="http://schemas.openxmlformats.org/officeDocument/2006/relationships/printerSettings" Target="../printerSettings/printerSettings52.bin"/><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12" Type="http://schemas.openxmlformats.org/officeDocument/2006/relationships/printerSettings" Target="../printerSettings/printerSettings51.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11" Type="http://schemas.openxmlformats.org/officeDocument/2006/relationships/printerSettings" Target="../printerSettings/printerSettings50.bin"/><Relationship Id="rId5" Type="http://schemas.openxmlformats.org/officeDocument/2006/relationships/printerSettings" Target="../printerSettings/printerSettings44.bin"/><Relationship Id="rId10" Type="http://schemas.openxmlformats.org/officeDocument/2006/relationships/printerSettings" Target="../printerSettings/printerSettings49.bin"/><Relationship Id="rId4" Type="http://schemas.openxmlformats.org/officeDocument/2006/relationships/printerSettings" Target="../printerSettings/printerSettings43.bin"/><Relationship Id="rId9" Type="http://schemas.openxmlformats.org/officeDocument/2006/relationships/printerSettings" Target="../printerSettings/printerSettings48.bin"/><Relationship Id="rId1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0.bin"/><Relationship Id="rId13" Type="http://schemas.openxmlformats.org/officeDocument/2006/relationships/printerSettings" Target="../printerSettings/printerSettings65.bin"/><Relationship Id="rId3" Type="http://schemas.openxmlformats.org/officeDocument/2006/relationships/printerSettings" Target="../printerSettings/printerSettings55.bin"/><Relationship Id="rId7" Type="http://schemas.openxmlformats.org/officeDocument/2006/relationships/printerSettings" Target="../printerSettings/printerSettings59.bin"/><Relationship Id="rId12" Type="http://schemas.openxmlformats.org/officeDocument/2006/relationships/printerSettings" Target="../printerSettings/printerSettings64.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6" Type="http://schemas.openxmlformats.org/officeDocument/2006/relationships/printerSettings" Target="../printerSettings/printerSettings58.bin"/><Relationship Id="rId11" Type="http://schemas.openxmlformats.org/officeDocument/2006/relationships/printerSettings" Target="../printerSettings/printerSettings63.bin"/><Relationship Id="rId5" Type="http://schemas.openxmlformats.org/officeDocument/2006/relationships/printerSettings" Target="../printerSettings/printerSettings57.bin"/><Relationship Id="rId10" Type="http://schemas.openxmlformats.org/officeDocument/2006/relationships/printerSettings" Target="../printerSettings/printerSettings62.bin"/><Relationship Id="rId4" Type="http://schemas.openxmlformats.org/officeDocument/2006/relationships/printerSettings" Target="../printerSettings/printerSettings56.bin"/><Relationship Id="rId9" Type="http://schemas.openxmlformats.org/officeDocument/2006/relationships/printerSettings" Target="../printerSettings/printerSettings61.bin"/><Relationship Id="rId1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3.bin"/><Relationship Id="rId13" Type="http://schemas.openxmlformats.org/officeDocument/2006/relationships/printerSettings" Target="../printerSettings/printerSettings78.bin"/><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12" Type="http://schemas.openxmlformats.org/officeDocument/2006/relationships/printerSettings" Target="../printerSettings/printerSettings77.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11" Type="http://schemas.openxmlformats.org/officeDocument/2006/relationships/printerSettings" Target="../printerSettings/printerSettings76.bin"/><Relationship Id="rId5" Type="http://schemas.openxmlformats.org/officeDocument/2006/relationships/printerSettings" Target="../printerSettings/printerSettings70.bin"/><Relationship Id="rId10" Type="http://schemas.openxmlformats.org/officeDocument/2006/relationships/printerSettings" Target="../printerSettings/printerSettings75.bin"/><Relationship Id="rId4" Type="http://schemas.openxmlformats.org/officeDocument/2006/relationships/printerSettings" Target="../printerSettings/printerSettings69.bin"/><Relationship Id="rId9" Type="http://schemas.openxmlformats.org/officeDocument/2006/relationships/printerSettings" Target="../printerSettings/printerSettings7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6.bin"/><Relationship Id="rId13" Type="http://schemas.openxmlformats.org/officeDocument/2006/relationships/printerSettings" Target="../printerSettings/printerSettings91.bin"/><Relationship Id="rId3" Type="http://schemas.openxmlformats.org/officeDocument/2006/relationships/printerSettings" Target="../printerSettings/printerSettings81.bin"/><Relationship Id="rId7" Type="http://schemas.openxmlformats.org/officeDocument/2006/relationships/printerSettings" Target="../printerSettings/printerSettings85.bin"/><Relationship Id="rId12" Type="http://schemas.openxmlformats.org/officeDocument/2006/relationships/printerSettings" Target="../printerSettings/printerSettings90.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11" Type="http://schemas.openxmlformats.org/officeDocument/2006/relationships/printerSettings" Target="../printerSettings/printerSettings89.bin"/><Relationship Id="rId5" Type="http://schemas.openxmlformats.org/officeDocument/2006/relationships/printerSettings" Target="../printerSettings/printerSettings83.bin"/><Relationship Id="rId10" Type="http://schemas.openxmlformats.org/officeDocument/2006/relationships/printerSettings" Target="../printerSettings/printerSettings88.bin"/><Relationship Id="rId4" Type="http://schemas.openxmlformats.org/officeDocument/2006/relationships/printerSettings" Target="../printerSettings/printerSettings82.bin"/><Relationship Id="rId9" Type="http://schemas.openxmlformats.org/officeDocument/2006/relationships/printerSettings" Target="../printerSettings/printerSettings8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9.bin"/><Relationship Id="rId13" Type="http://schemas.openxmlformats.org/officeDocument/2006/relationships/printerSettings" Target="../printerSettings/printerSettings104.bin"/><Relationship Id="rId3" Type="http://schemas.openxmlformats.org/officeDocument/2006/relationships/printerSettings" Target="../printerSettings/printerSettings94.bin"/><Relationship Id="rId7" Type="http://schemas.openxmlformats.org/officeDocument/2006/relationships/printerSettings" Target="../printerSettings/printerSettings98.bin"/><Relationship Id="rId12" Type="http://schemas.openxmlformats.org/officeDocument/2006/relationships/printerSettings" Target="../printerSettings/printerSettings103.bin"/><Relationship Id="rId2" Type="http://schemas.openxmlformats.org/officeDocument/2006/relationships/printerSettings" Target="../printerSettings/printerSettings93.bin"/><Relationship Id="rId1" Type="http://schemas.openxmlformats.org/officeDocument/2006/relationships/printerSettings" Target="../printerSettings/printerSettings92.bin"/><Relationship Id="rId6" Type="http://schemas.openxmlformats.org/officeDocument/2006/relationships/printerSettings" Target="../printerSettings/printerSettings97.bin"/><Relationship Id="rId11" Type="http://schemas.openxmlformats.org/officeDocument/2006/relationships/printerSettings" Target="../printerSettings/printerSettings102.bin"/><Relationship Id="rId5" Type="http://schemas.openxmlformats.org/officeDocument/2006/relationships/printerSettings" Target="../printerSettings/printerSettings96.bin"/><Relationship Id="rId10" Type="http://schemas.openxmlformats.org/officeDocument/2006/relationships/printerSettings" Target="../printerSettings/printerSettings101.bin"/><Relationship Id="rId4" Type="http://schemas.openxmlformats.org/officeDocument/2006/relationships/printerSettings" Target="../printerSettings/printerSettings95.bin"/><Relationship Id="rId9" Type="http://schemas.openxmlformats.org/officeDocument/2006/relationships/printerSettings" Target="../printerSettings/printerSettings100.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12.bin"/><Relationship Id="rId13" Type="http://schemas.openxmlformats.org/officeDocument/2006/relationships/printerSettings" Target="../printerSettings/printerSettings117.bin"/><Relationship Id="rId3" Type="http://schemas.openxmlformats.org/officeDocument/2006/relationships/printerSettings" Target="../printerSettings/printerSettings107.bin"/><Relationship Id="rId7" Type="http://schemas.openxmlformats.org/officeDocument/2006/relationships/printerSettings" Target="../printerSettings/printerSettings111.bin"/><Relationship Id="rId12" Type="http://schemas.openxmlformats.org/officeDocument/2006/relationships/printerSettings" Target="../printerSettings/printerSettings116.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6" Type="http://schemas.openxmlformats.org/officeDocument/2006/relationships/printerSettings" Target="../printerSettings/printerSettings110.bin"/><Relationship Id="rId11" Type="http://schemas.openxmlformats.org/officeDocument/2006/relationships/printerSettings" Target="../printerSettings/printerSettings115.bin"/><Relationship Id="rId5" Type="http://schemas.openxmlformats.org/officeDocument/2006/relationships/printerSettings" Target="../printerSettings/printerSettings109.bin"/><Relationship Id="rId10" Type="http://schemas.openxmlformats.org/officeDocument/2006/relationships/printerSettings" Target="../printerSettings/printerSettings114.bin"/><Relationship Id="rId4" Type="http://schemas.openxmlformats.org/officeDocument/2006/relationships/printerSettings" Target="../printerSettings/printerSettings108.bin"/><Relationship Id="rId9" Type="http://schemas.openxmlformats.org/officeDocument/2006/relationships/printerSettings" Target="../printerSettings/printerSettings113.bin"/><Relationship Id="rId1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workbookViewId="0">
      <selection activeCell="B6" sqref="B6"/>
    </sheetView>
  </sheetViews>
  <sheetFormatPr defaultColWidth="9.109375" defaultRowHeight="14.4"/>
  <cols>
    <col min="1" max="1" width="20.5546875" style="34" customWidth="1"/>
    <col min="2" max="2" width="82.109375" style="34" customWidth="1"/>
    <col min="3" max="8" width="9.109375" style="34"/>
    <col min="9" max="9" width="9.109375" style="34" hidden="1" customWidth="1"/>
    <col min="10" max="16384" width="9.109375" style="34"/>
  </cols>
  <sheetData>
    <row r="1" spans="1:9" ht="90" customHeight="1">
      <c r="A1" s="31" t="s">
        <v>40</v>
      </c>
      <c r="B1" s="32" t="s">
        <v>804</v>
      </c>
      <c r="C1" s="33"/>
      <c r="D1" s="33"/>
      <c r="E1" s="33"/>
      <c r="F1" s="33"/>
      <c r="G1" s="33"/>
      <c r="H1" s="33"/>
    </row>
    <row r="2" spans="1:9">
      <c r="B2" s="35"/>
      <c r="I2" s="34" t="s">
        <v>258</v>
      </c>
    </row>
    <row r="3" spans="1:9">
      <c r="A3" s="34" t="s">
        <v>41</v>
      </c>
      <c r="B3" s="400" t="s">
        <v>803</v>
      </c>
      <c r="I3" s="34" t="s">
        <v>259</v>
      </c>
    </row>
    <row r="5" spans="1:9" ht="15.6">
      <c r="A5" s="34" t="s">
        <v>42</v>
      </c>
      <c r="B5" s="441" t="s">
        <v>806</v>
      </c>
      <c r="C5" s="33"/>
      <c r="D5" s="33"/>
      <c r="E5" s="33"/>
      <c r="F5" s="33"/>
      <c r="G5" s="33"/>
      <c r="H5" s="33"/>
    </row>
  </sheetData>
  <sheetProtection selectLockedCells="1" selectUnlockedCells="1"/>
  <customSheetViews>
    <customSheetView guid="{027A88A6-1BB1-46D4-AC44-9DCFC13F5D7E}" hiddenColumns="1" state="hidden">
      <selection activeCell="B6" sqref="B6"/>
      <pageMargins left="0.75" right="0.75" top="1" bottom="1" header="0.5" footer="0.5"/>
      <pageSetup orientation="portrait" r:id="rId1"/>
      <headerFooter alignWithMargins="0"/>
    </customSheetView>
    <customSheetView guid="{889C3D82-0A24-4765-A688-A80A782F5056}" hiddenColumns="1" state="hidden">
      <selection activeCell="B10" sqref="B10"/>
      <pageMargins left="0.75" right="0.75" top="1" bottom="1" header="0.5" footer="0.5"/>
      <pageSetup orientation="portrait" r:id="rId2"/>
      <headerFooter alignWithMargins="0"/>
    </customSheetView>
    <customSheetView guid="{A58DB4DF-40C7-4BEB-B85E-6BD6F54941CF}" hiddenColumns="1" state="hidden">
      <selection activeCell="B17" sqref="B17"/>
      <pageMargins left="0.75" right="0.75" top="1" bottom="1" header="0.5" footer="0.5"/>
      <pageSetup orientation="portrait" r:id="rId3"/>
      <headerFooter alignWithMargins="0"/>
    </customSheetView>
    <customSheetView guid="{B96E710B-6DD7-4DE1-95AB-C9EE060CD030}" hiddenColumns="1" state="hidden">
      <selection activeCell="B9" sqref="B9:B10"/>
      <pageMargins left="0.75" right="0.75" top="1" bottom="1" header="0.5" footer="0.5"/>
      <pageSetup orientation="portrait" r:id="rId4"/>
      <headerFooter alignWithMargins="0"/>
    </customSheetView>
    <customSheetView guid="{357C9841-BEC3-434B-AC63-C04FB4321BA3}" hiddenColumns="1" state="hidden">
      <selection activeCell="B17" sqref="B17"/>
      <pageMargins left="0.75" right="0.75" top="1" bottom="1" header="0.5" footer="0.5"/>
      <pageSetup orientation="portrait" r:id="rId5"/>
      <headerFooter alignWithMargins="0"/>
    </customSheetView>
    <customSheetView guid="{3C00DDA0-7DDE-4169-A739-550DAF5DCF8D}" hiddenColumns="1" state="hidden">
      <selection activeCell="B11" sqref="B11"/>
      <pageMargins left="0.75" right="0.75" top="1" bottom="1" header="0.5" footer="0.5"/>
      <pageSetup orientation="portrait" r:id="rId6"/>
      <headerFooter alignWithMargins="0"/>
    </customSheetView>
    <customSheetView guid="{63D51328-7CBC-4A1E-B96D-BAE91416501B}" hiddenColumns="1" state="hidden">
      <selection activeCell="B9" sqref="B9:B10"/>
      <pageMargins left="0.75" right="0.75" top="1" bottom="1" header="0.5" footer="0.5"/>
      <pageSetup orientation="portrait" r:id="rId7"/>
      <headerFooter alignWithMargins="0"/>
    </customSheetView>
    <customSheetView guid="{99CA2F10-F926-46DC-8609-4EAE5B9F3585}" hiddenColumns="1" state="hidden">
      <selection activeCell="E14" sqref="E14"/>
      <pageMargins left="0.75" right="0.75" top="1" bottom="1" header="0.5" footer="0.5"/>
      <pageSetup orientation="portrait" r:id="rId8"/>
      <headerFooter alignWithMargins="0"/>
    </customSheetView>
    <customSheetView guid="{CCA37BAE-906F-43D5-9FD9-B13563E4B9D7}" hiddenColumns="1" state="hidden">
      <selection activeCell="B12" sqref="B12"/>
      <pageMargins left="0.75" right="0.75" top="1" bottom="1" header="0.5" footer="0.5"/>
      <pageSetup orientation="portrait" r:id="rId9"/>
      <headerFooter alignWithMargins="0"/>
    </customSheetView>
    <customSheetView guid="{18EA11B4-BD82-47BF-99FA-7AB19BF74D0B}" hiddenColumns="1" state="hidden">
      <selection activeCell="B17" sqref="B17"/>
      <pageMargins left="0.75" right="0.75" top="1" bottom="1" header="0.5" footer="0.5"/>
      <pageSetup orientation="portrait" r:id="rId10"/>
      <headerFooter alignWithMargins="0"/>
    </customSheetView>
    <customSheetView guid="{915C64AD-BD67-44F0-9117-5B9D998BA799}" hiddenColumns="1" state="hidden">
      <selection activeCell="B17" sqref="B17"/>
      <pageMargins left="0.75" right="0.75" top="1" bottom="1" header="0.5" footer="0.5"/>
      <pageSetup orientation="portrait" r:id="rId11"/>
      <headerFooter alignWithMargins="0"/>
    </customSheetView>
    <customSheetView guid="{DACD165C-CB59-4178-94BC-16705741C7B8}" hiddenColumns="1" state="hidden">
      <selection activeCell="B16" sqref="B16"/>
      <pageMargins left="0.75" right="0.75" top="1" bottom="1" header="0.5" footer="0.5"/>
      <pageSetup orientation="portrait" r:id="rId12"/>
      <headerFooter alignWithMargins="0"/>
    </customSheetView>
  </customSheetViews>
  <pageMargins left="0.75" right="0.75" top="1" bottom="1" header="0.5" footer="0.5"/>
  <pageSetup orientation="portrait" r:id="rId1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Normal="100" zoomScaleSheetLayoutView="100" workbookViewId="0">
      <selection activeCell="D16" sqref="D16:E16"/>
    </sheetView>
  </sheetViews>
  <sheetFormatPr defaultColWidth="11.44140625" defaultRowHeight="15.6"/>
  <cols>
    <col min="1" max="1" width="11.88671875" style="28" customWidth="1"/>
    <col min="2" max="2" width="46.6640625" style="28" customWidth="1"/>
    <col min="3" max="3" width="20" style="28" customWidth="1"/>
    <col min="4" max="4" width="23.44140625" style="28" customWidth="1"/>
    <col min="5" max="5" width="22.88671875" style="28" customWidth="1"/>
    <col min="6" max="6" width="11.44140625" style="85" customWidth="1"/>
    <col min="7" max="7" width="34.109375" style="85" customWidth="1"/>
    <col min="8" max="8" width="11.44140625" style="85" customWidth="1"/>
    <col min="9" max="9" width="14" style="382" customWidth="1"/>
    <col min="10" max="10" width="14.44140625" style="382" customWidth="1"/>
    <col min="11" max="11" width="17.109375" style="382" customWidth="1"/>
    <col min="12" max="13" width="11.44140625" style="382" customWidth="1"/>
    <col min="14" max="14" width="21.33203125" style="382" customWidth="1"/>
    <col min="15" max="15" width="18.33203125" style="86" customWidth="1"/>
    <col min="16" max="17" width="11.44140625" style="86" customWidth="1"/>
    <col min="18" max="18" width="11.44140625" style="112" customWidth="1"/>
    <col min="19" max="24" width="11.44140625" style="85" customWidth="1"/>
    <col min="25" max="16384" width="11.44140625" style="112"/>
  </cols>
  <sheetData>
    <row r="1" spans="1:15" ht="18" customHeight="1">
      <c r="A1" s="81" t="str">
        <f>Cover!B3</f>
        <v>Specification No. : 5002002268/TOWER/DOM/A00 - CC CS -1</v>
      </c>
      <c r="B1" s="82"/>
      <c r="C1" s="83"/>
      <c r="D1" s="83"/>
      <c r="E1" s="84" t="s">
        <v>127</v>
      </c>
    </row>
    <row r="2" spans="1:15" ht="8.1" customHeight="1">
      <c r="A2" s="87"/>
      <c r="B2" s="88"/>
      <c r="C2" s="89"/>
      <c r="D2" s="89"/>
      <c r="E2" s="90"/>
      <c r="F2" s="91"/>
    </row>
    <row r="3" spans="1:15" ht="111" customHeight="1">
      <c r="A3" s="892" t="str">
        <f>Cover!$B$2</f>
        <v>Transmission Line Tower Package-TW01 including Design &amp; Testing of towers, Design of foundation, Supply of HTLS conductor, Composite long rod insulators, Earthwire/OPGW, Hardware Fittings, Accessories for Conductor &amp; Earthwire for M/C portion of (i) 400 kV D/C (Twin HTLS) Navasari (New) (South Gujarat)-Kala line and (ii) 400 kV D/C (Twin HTLS) Navasari (New) (South Gujarat)-Magarwada line and for D/C portion of (i) 400 kV D/C (twin HTLS) Navasari (New) (South Gujarat)-Kala line (From M/c line common point near Magarwada SS to Kala SS) associated with Transmission Network Expansion in Gujarat to increase its ATC from ISTS: Part B.</v>
      </c>
      <c r="B3" s="892"/>
      <c r="C3" s="892"/>
      <c r="D3" s="892"/>
      <c r="E3" s="892"/>
    </row>
    <row r="4" spans="1:15" ht="21.9" customHeight="1">
      <c r="A4" s="878" t="s">
        <v>128</v>
      </c>
      <c r="B4" s="878"/>
      <c r="C4" s="878"/>
      <c r="D4" s="878"/>
      <c r="E4" s="878"/>
    </row>
    <row r="5" spans="1:15" ht="12" customHeight="1">
      <c r="A5" s="92"/>
      <c r="B5" s="93"/>
      <c r="C5" s="93"/>
      <c r="D5" s="93"/>
      <c r="E5" s="93"/>
    </row>
    <row r="6" spans="1:15" ht="20.25" customHeight="1">
      <c r="A6" s="813" t="s">
        <v>339</v>
      </c>
      <c r="B6" s="813"/>
      <c r="C6" s="4"/>
      <c r="D6" s="93"/>
      <c r="E6" s="93"/>
    </row>
    <row r="7" spans="1:15" ht="18" customHeight="1">
      <c r="A7" s="818">
        <f>'Sch-1'!A7</f>
        <v>0</v>
      </c>
      <c r="B7" s="818"/>
      <c r="C7" s="818"/>
      <c r="D7" s="94" t="s">
        <v>1</v>
      </c>
    </row>
    <row r="8" spans="1:15" ht="18" customHeight="1">
      <c r="A8" s="814" t="str">
        <f>"Bidder’s Name and Address  (" &amp; MID('Names of Bidder'!A9,9, 20) &amp; ") :"</f>
        <v>Bidder’s Name and Address  (Sole Bidder) :</v>
      </c>
      <c r="B8" s="814"/>
      <c r="C8" s="814"/>
      <c r="D8" s="95" t="str">
        <f>'Sch-1'!K8</f>
        <v>Contract Services</v>
      </c>
    </row>
    <row r="9" spans="1:15" ht="18" customHeight="1">
      <c r="A9" s="457" t="s">
        <v>12</v>
      </c>
      <c r="B9" s="457" t="str">
        <f>IF('Names of Bidder'!C9=0, "", 'Names of Bidder'!C9)</f>
        <v/>
      </c>
      <c r="C9" s="112"/>
      <c r="D9" s="95" t="str">
        <f>'Sch-1'!K9</f>
        <v>Power Grid Corporation of India Ltd.,</v>
      </c>
    </row>
    <row r="10" spans="1:15" ht="18" customHeight="1">
      <c r="A10" s="457" t="s">
        <v>11</v>
      </c>
      <c r="B10" s="588" t="str">
        <f>IF('Names of Bidder'!C10=0, "", 'Names of Bidder'!C10)</f>
        <v/>
      </c>
      <c r="C10" s="112"/>
      <c r="D10" s="95" t="str">
        <f>'Sch-1'!K10</f>
        <v>"Saudamini", Plot No.-2</v>
      </c>
    </row>
    <row r="11" spans="1:15" ht="18" customHeight="1">
      <c r="A11" s="404"/>
      <c r="B11" s="588" t="str">
        <f>IF('Names of Bidder'!C11=0, "", 'Names of Bidder'!C11)</f>
        <v/>
      </c>
      <c r="C11" s="112"/>
      <c r="D11" s="95" t="str">
        <f>'Sch-1'!K11</f>
        <v xml:space="preserve">Sector-29, </v>
      </c>
    </row>
    <row r="12" spans="1:15" ht="18" customHeight="1">
      <c r="A12" s="404"/>
      <c r="B12" s="588" t="str">
        <f>IF('Names of Bidder'!C12=0, "", 'Names of Bidder'!C12)</f>
        <v/>
      </c>
      <c r="C12" s="112"/>
      <c r="D12" s="95" t="str">
        <f>'Sch-1'!K12</f>
        <v>Gurgaon (Haryana) - 122001</v>
      </c>
    </row>
    <row r="13" spans="1:15" ht="8.1" customHeight="1" thickBot="1"/>
    <row r="14" spans="1:15" ht="21.9" customHeight="1">
      <c r="A14" s="652" t="s">
        <v>129</v>
      </c>
      <c r="B14" s="879" t="s">
        <v>130</v>
      </c>
      <c r="C14" s="879"/>
      <c r="D14" s="880" t="s">
        <v>131</v>
      </c>
      <c r="E14" s="881"/>
      <c r="I14" s="876"/>
      <c r="J14" s="876"/>
      <c r="K14" s="876"/>
      <c r="M14" s="869"/>
      <c r="N14" s="869"/>
      <c r="O14" s="869"/>
    </row>
    <row r="15" spans="1:15" ht="24.75" customHeight="1">
      <c r="A15" s="653" t="s">
        <v>134</v>
      </c>
      <c r="B15" s="870" t="s">
        <v>315</v>
      </c>
      <c r="C15" s="870"/>
      <c r="D15" s="888">
        <f>'Sch-1'!S214</f>
        <v>0</v>
      </c>
      <c r="E15" s="889"/>
      <c r="I15" s="383"/>
      <c r="K15" s="383"/>
      <c r="M15" s="383"/>
      <c r="O15" s="97"/>
    </row>
    <row r="16" spans="1:15" ht="81" customHeight="1">
      <c r="A16" s="654"/>
      <c r="B16" s="873" t="s">
        <v>316</v>
      </c>
      <c r="C16" s="873"/>
      <c r="D16" s="890"/>
      <c r="E16" s="891"/>
      <c r="G16" s="98"/>
    </row>
    <row r="17" spans="1:15" ht="24.75" customHeight="1">
      <c r="A17" s="653" t="s">
        <v>136</v>
      </c>
      <c r="B17" s="870" t="s">
        <v>317</v>
      </c>
      <c r="C17" s="870"/>
      <c r="D17" s="871">
        <f>'Sch-3'!U250</f>
        <v>0</v>
      </c>
      <c r="E17" s="872"/>
      <c r="I17" s="383"/>
      <c r="K17" s="384"/>
      <c r="M17" s="383"/>
      <c r="O17" s="100"/>
    </row>
    <row r="18" spans="1:15" ht="81.75" customHeight="1">
      <c r="A18" s="654"/>
      <c r="B18" s="873" t="s">
        <v>318</v>
      </c>
      <c r="C18" s="873"/>
      <c r="D18" s="893"/>
      <c r="E18" s="894"/>
      <c r="G18" s="101"/>
      <c r="I18" s="385"/>
      <c r="M18" s="385"/>
    </row>
    <row r="19" spans="1:15" ht="33" customHeight="1" thickBot="1">
      <c r="A19" s="655"/>
      <c r="B19" s="656" t="s">
        <v>321</v>
      </c>
      <c r="C19" s="657"/>
      <c r="D19" s="884">
        <f>D15+D17</f>
        <v>0</v>
      </c>
      <c r="E19" s="885"/>
    </row>
    <row r="20" spans="1:15" ht="30" customHeight="1">
      <c r="A20" s="102"/>
      <c r="B20" s="102"/>
      <c r="C20" s="103"/>
      <c r="D20" s="102"/>
      <c r="E20" s="102"/>
    </row>
    <row r="21" spans="1:15" ht="30" customHeight="1">
      <c r="A21" s="104" t="s">
        <v>142</v>
      </c>
      <c r="B21" s="660" t="str">
        <f>'Sch-5'!B21</f>
        <v xml:space="preserve">  </v>
      </c>
      <c r="C21" s="103" t="s">
        <v>143</v>
      </c>
      <c r="D21" s="895" t="str">
        <f>'Sch-5'!D21</f>
        <v/>
      </c>
      <c r="E21" s="895"/>
      <c r="F21" s="105"/>
    </row>
    <row r="22" spans="1:15" ht="30" customHeight="1">
      <c r="A22" s="104" t="s">
        <v>144</v>
      </c>
      <c r="B22" s="661" t="str">
        <f>'Sch-5'!B22</f>
        <v/>
      </c>
      <c r="C22" s="103" t="s">
        <v>145</v>
      </c>
      <c r="D22" s="895" t="str">
        <f>'Sch-5'!D22</f>
        <v/>
      </c>
      <c r="E22" s="895"/>
      <c r="F22" s="105"/>
    </row>
    <row r="23" spans="1:15" ht="30" customHeight="1">
      <c r="A23" s="106"/>
      <c r="B23" s="107"/>
      <c r="C23" s="103"/>
      <c r="D23" s="85"/>
      <c r="E23" s="85"/>
      <c r="F23" s="105"/>
    </row>
    <row r="24" spans="1:15" ht="33" customHeight="1">
      <c r="A24" s="106"/>
      <c r="B24" s="107"/>
      <c r="C24" s="91"/>
      <c r="D24" s="108"/>
      <c r="E24" s="109"/>
      <c r="F24" s="105"/>
    </row>
    <row r="25" spans="1:15" ht="21.9" customHeight="1">
      <c r="A25" s="110"/>
      <c r="B25" s="110"/>
      <c r="C25" s="110"/>
      <c r="D25" s="110"/>
      <c r="E25" s="111"/>
    </row>
    <row r="26" spans="1:15" ht="21.9" customHeight="1">
      <c r="A26" s="110"/>
      <c r="B26" s="110"/>
      <c r="C26" s="110"/>
      <c r="D26" s="110"/>
      <c r="E26" s="111"/>
    </row>
    <row r="27" spans="1:15" ht="21.9" customHeight="1">
      <c r="A27" s="110"/>
      <c r="B27" s="110"/>
      <c r="C27" s="110"/>
      <c r="D27" s="110"/>
      <c r="E27" s="111"/>
    </row>
    <row r="28" spans="1:15" ht="21.9" customHeight="1">
      <c r="A28" s="110"/>
      <c r="B28" s="110"/>
      <c r="C28" s="110"/>
      <c r="D28" s="110"/>
      <c r="E28" s="111"/>
    </row>
    <row r="29" spans="1:15" ht="21.9" customHeight="1">
      <c r="A29" s="110"/>
      <c r="B29" s="110"/>
      <c r="C29" s="110"/>
      <c r="D29" s="110"/>
      <c r="E29" s="111"/>
    </row>
    <row r="30" spans="1:15" ht="21.9" customHeight="1">
      <c r="A30" s="110"/>
      <c r="B30" s="110"/>
      <c r="C30" s="110"/>
      <c r="D30" s="110"/>
      <c r="E30" s="111"/>
    </row>
    <row r="31" spans="1:15" ht="24.9" customHeight="1">
      <c r="A31" s="109"/>
      <c r="B31" s="109"/>
      <c r="C31" s="109"/>
      <c r="D31" s="109"/>
      <c r="E31" s="109"/>
    </row>
    <row r="32" spans="1:15" ht="24.9" customHeight="1">
      <c r="A32" s="109"/>
      <c r="B32" s="109"/>
      <c r="C32" s="109"/>
      <c r="D32" s="109"/>
      <c r="E32" s="109"/>
    </row>
    <row r="33" spans="1:5" ht="24.9" customHeight="1">
      <c r="A33" s="109"/>
      <c r="B33" s="109"/>
      <c r="C33" s="109"/>
      <c r="D33" s="109"/>
      <c r="E33" s="109"/>
    </row>
    <row r="34" spans="1:5" ht="24.9" customHeight="1">
      <c r="A34" s="109"/>
      <c r="B34" s="109"/>
      <c r="C34" s="109"/>
      <c r="D34" s="109"/>
      <c r="E34" s="109"/>
    </row>
    <row r="35" spans="1:5" ht="24.9" customHeight="1">
      <c r="A35" s="109"/>
      <c r="B35" s="109"/>
      <c r="C35" s="109"/>
      <c r="D35" s="109"/>
      <c r="E35" s="109"/>
    </row>
    <row r="36" spans="1:5" ht="24.9" customHeight="1">
      <c r="A36" s="109"/>
      <c r="B36" s="109"/>
      <c r="C36" s="109"/>
      <c r="D36" s="109"/>
      <c r="E36" s="109"/>
    </row>
    <row r="37" spans="1:5" ht="24.9" customHeight="1">
      <c r="A37" s="109"/>
      <c r="B37" s="109"/>
      <c r="C37" s="109"/>
      <c r="D37" s="109"/>
      <c r="E37" s="109"/>
    </row>
    <row r="38" spans="1:5" ht="24.9" customHeight="1">
      <c r="A38" s="109"/>
      <c r="B38" s="109"/>
      <c r="C38" s="109"/>
      <c r="D38" s="109"/>
      <c r="E38" s="109"/>
    </row>
    <row r="39" spans="1:5" ht="24.9" customHeight="1">
      <c r="A39" s="109"/>
      <c r="B39" s="109"/>
      <c r="C39" s="109"/>
      <c r="D39" s="109"/>
      <c r="E39" s="109"/>
    </row>
    <row r="40" spans="1:5" ht="24.9" customHeight="1">
      <c r="A40" s="109"/>
      <c r="B40" s="109"/>
      <c r="C40" s="109"/>
      <c r="D40" s="109"/>
      <c r="E40" s="109"/>
    </row>
    <row r="41" spans="1:5" ht="24.9" customHeight="1">
      <c r="A41" s="109"/>
      <c r="B41" s="109"/>
      <c r="C41" s="109"/>
      <c r="D41" s="109"/>
      <c r="E41" s="109"/>
    </row>
    <row r="42" spans="1:5" ht="24.9" customHeight="1">
      <c r="A42" s="109"/>
      <c r="B42" s="109"/>
      <c r="C42" s="109"/>
      <c r="D42" s="109"/>
      <c r="E42" s="109"/>
    </row>
    <row r="43" spans="1:5" ht="24.9" customHeight="1">
      <c r="A43" s="109"/>
      <c r="B43" s="109"/>
      <c r="C43" s="109"/>
      <c r="D43" s="109"/>
      <c r="E43" s="109"/>
    </row>
    <row r="44" spans="1:5" ht="24.9" customHeight="1">
      <c r="A44" s="109"/>
      <c r="B44" s="109"/>
      <c r="C44" s="109"/>
      <c r="D44" s="109"/>
      <c r="E44" s="109"/>
    </row>
    <row r="45" spans="1:5" ht="24.9" customHeight="1">
      <c r="A45" s="109"/>
      <c r="B45" s="109"/>
      <c r="C45" s="109"/>
      <c r="D45" s="109"/>
      <c r="E45" s="109"/>
    </row>
    <row r="46" spans="1:5" ht="24.9" customHeight="1">
      <c r="A46" s="109"/>
      <c r="B46" s="109"/>
      <c r="C46" s="109"/>
      <c r="D46" s="109"/>
      <c r="E46" s="109"/>
    </row>
    <row r="47" spans="1:5" ht="24.9" customHeight="1">
      <c r="A47" s="109"/>
      <c r="B47" s="109"/>
      <c r="C47" s="109"/>
      <c r="D47" s="109"/>
      <c r="E47" s="109"/>
    </row>
    <row r="48" spans="1:5" ht="24.9" customHeight="1">
      <c r="A48" s="109"/>
      <c r="B48" s="109"/>
      <c r="C48" s="109"/>
      <c r="D48" s="109"/>
      <c r="E48" s="109"/>
    </row>
    <row r="49" spans="1:5" ht="24.9" customHeight="1">
      <c r="A49" s="109"/>
      <c r="B49" s="109"/>
      <c r="C49" s="109"/>
      <c r="D49" s="109"/>
      <c r="E49" s="109"/>
    </row>
    <row r="50" spans="1:5" ht="24.9" customHeight="1">
      <c r="A50" s="109"/>
      <c r="B50" s="109"/>
      <c r="C50" s="109"/>
      <c r="D50" s="109"/>
      <c r="E50" s="109"/>
    </row>
    <row r="51" spans="1:5" ht="24.9" customHeight="1">
      <c r="A51" s="109"/>
      <c r="B51" s="109"/>
      <c r="C51" s="109"/>
      <c r="D51" s="109"/>
      <c r="E51" s="109"/>
    </row>
    <row r="52" spans="1:5" ht="24.9" customHeight="1">
      <c r="A52" s="109"/>
      <c r="B52" s="109"/>
      <c r="C52" s="109"/>
      <c r="D52" s="109"/>
      <c r="E52" s="109"/>
    </row>
    <row r="53" spans="1:5" ht="24.9"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password="EE0B" sheet="1" objects="1" scenarios="1" formatColumns="0" formatRows="0" selectLockedCells="1"/>
  <dataConsolidate/>
  <customSheetViews>
    <customSheetView guid="{027A88A6-1BB1-46D4-AC44-9DCFC13F5D7E}"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5"/>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DACD165C-CB59-4178-94BC-16705741C7B8}"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2"/>
  <headerFooter alignWithMargins="0">
    <oddFooter>&amp;R&amp;"Book Antiqua,Bold"&amp;10Schedule-5/ Page &amp;P of &amp;N</oddFooter>
  </headerFooter>
  <ignoredErrors>
    <ignoredError sqref="D15" evalError="1"/>
  </ignoredErrors>
  <drawing r:id="rId1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4" zoomScale="110" zoomScaleNormal="100" zoomScaleSheetLayoutView="110" workbookViewId="0">
      <selection activeCell="A3" sqref="A3:D3"/>
    </sheetView>
  </sheetViews>
  <sheetFormatPr defaultColWidth="11.44140625" defaultRowHeight="15.6"/>
  <cols>
    <col min="1" max="1" width="12.109375" style="28" customWidth="1"/>
    <col min="2" max="2" width="31.44140625" style="28" customWidth="1"/>
    <col min="3" max="3" width="24" style="28" customWidth="1"/>
    <col min="4" max="4" width="39.33203125" style="28" customWidth="1"/>
    <col min="5" max="16384" width="11.44140625" style="112"/>
  </cols>
  <sheetData>
    <row r="1" spans="1:6" ht="18" customHeight="1">
      <c r="A1" s="113" t="str">
        <f>Cover!B3</f>
        <v>Specification No. : 5002002268/TOWER/DOM/A00 - CC CS -1</v>
      </c>
      <c r="B1" s="114"/>
      <c r="C1" s="115"/>
      <c r="D1" s="116" t="s">
        <v>146</v>
      </c>
    </row>
    <row r="2" spans="1:6" ht="18" customHeight="1">
      <c r="A2" s="117"/>
      <c r="B2" s="118"/>
      <c r="C2" s="119"/>
      <c r="D2" s="119"/>
    </row>
    <row r="3" spans="1:6" ht="148.80000000000001" customHeight="1">
      <c r="A3" s="877" t="str">
        <f>Cover!$B$2</f>
        <v>Transmission Line Tower Package-TW01 including Design &amp; Testing of towers, Design of foundation, Supply of HTLS conductor, Composite long rod insulators, Earthwire/OPGW, Hardware Fittings, Accessories for Conductor &amp; Earthwire for M/C portion of (i) 400 kV D/C (Twin HTLS) Navasari (New) (South Gujarat)-Kala line and (ii) 400 kV D/C (Twin HTLS) Navasari (New) (South Gujarat)-Magarwada line and for D/C portion of (i) 400 kV D/C (twin HTLS) Navasari (New) (South Gujarat)-Kala line (From M/c line common point near Magarwada SS to Kala SS) associated with Transmission Network Expansion in Gujarat to increase its ATC from ISTS: Part B.</v>
      </c>
      <c r="B3" s="877"/>
      <c r="C3" s="877"/>
      <c r="D3" s="877"/>
      <c r="E3" s="120"/>
      <c r="F3" s="120"/>
    </row>
    <row r="4" spans="1:6" ht="21.9" customHeight="1">
      <c r="A4" s="878" t="s">
        <v>147</v>
      </c>
      <c r="B4" s="878"/>
      <c r="C4" s="878"/>
      <c r="D4" s="878"/>
    </row>
    <row r="5" spans="1:6" ht="18" customHeight="1">
      <c r="A5" s="121"/>
    </row>
    <row r="6" spans="1:6" ht="18" customHeight="1">
      <c r="A6" s="813" t="s">
        <v>339</v>
      </c>
      <c r="B6" s="813"/>
      <c r="C6" s="4"/>
    </row>
    <row r="7" spans="1:6" ht="18" customHeight="1">
      <c r="A7" s="818">
        <f>'Sch-1'!A7</f>
        <v>0</v>
      </c>
      <c r="B7" s="818"/>
      <c r="C7" s="818"/>
      <c r="D7" s="94" t="s">
        <v>1</v>
      </c>
    </row>
    <row r="8" spans="1:6" ht="21.75" customHeight="1">
      <c r="A8" s="814" t="str">
        <f>"Bidder’s Name and Address  (" &amp; MID('Names of Bidder'!A9,9, 20) &amp; ") :"</f>
        <v>Bidder’s Name and Address  (Sole Bidder) :</v>
      </c>
      <c r="B8" s="814"/>
      <c r="C8" s="814"/>
      <c r="D8" s="95" t="str">
        <f>'Sch-1'!K8</f>
        <v>Contract Services</v>
      </c>
    </row>
    <row r="9" spans="1:6" ht="18" customHeight="1">
      <c r="A9" s="457" t="s">
        <v>12</v>
      </c>
      <c r="B9" s="457" t="str">
        <f>IF('Names of Bidder'!C9=0, "", 'Names of Bidder'!C9)</f>
        <v/>
      </c>
      <c r="C9" s="112"/>
      <c r="D9" s="95" t="str">
        <f>'Sch-1'!K9</f>
        <v>Power Grid Corporation of India Ltd.,</v>
      </c>
    </row>
    <row r="10" spans="1:6" ht="18" customHeight="1">
      <c r="A10" s="457" t="s">
        <v>11</v>
      </c>
      <c r="B10" s="588" t="str">
        <f>IF('Names of Bidder'!C10=0, "", 'Names of Bidder'!C10)</f>
        <v/>
      </c>
      <c r="C10" s="112"/>
      <c r="D10" s="95" t="str">
        <f>'Sch-1'!K10</f>
        <v>"Saudamini", Plot No.-2</v>
      </c>
    </row>
    <row r="11" spans="1:6" ht="18" customHeight="1">
      <c r="A11" s="404"/>
      <c r="B11" s="588" t="str">
        <f>IF('Names of Bidder'!C11=0, "", 'Names of Bidder'!C11)</f>
        <v/>
      </c>
      <c r="C11" s="112"/>
      <c r="D11" s="95" t="str">
        <f>'Sch-1'!K11</f>
        <v xml:space="preserve">Sector-29, </v>
      </c>
    </row>
    <row r="12" spans="1:6" ht="18" customHeight="1">
      <c r="A12" s="404"/>
      <c r="B12" s="588" t="str">
        <f>IF('Names of Bidder'!C12=0, "", 'Names of Bidder'!C12)</f>
        <v/>
      </c>
      <c r="C12" s="112"/>
      <c r="D12" s="95" t="str">
        <f>'Sch-1'!K12</f>
        <v>Gurgaon (Haryana) - 122001</v>
      </c>
    </row>
    <row r="13" spans="1:6" ht="18" customHeight="1" thickBot="1">
      <c r="A13" s="640"/>
      <c r="B13" s="640"/>
      <c r="C13" s="640"/>
      <c r="D13" s="123"/>
    </row>
    <row r="14" spans="1:6" ht="21.9" customHeight="1">
      <c r="A14" s="641" t="s">
        <v>129</v>
      </c>
      <c r="B14" s="896" t="s">
        <v>15</v>
      </c>
      <c r="C14" s="897"/>
      <c r="D14" s="642" t="s">
        <v>131</v>
      </c>
    </row>
    <row r="15" spans="1:6" ht="21.9" customHeight="1">
      <c r="A15" s="643" t="s">
        <v>134</v>
      </c>
      <c r="B15" s="898" t="s">
        <v>148</v>
      </c>
      <c r="C15" s="898"/>
      <c r="D15" s="644">
        <f>'Sch-1'!N214</f>
        <v>0</v>
      </c>
    </row>
    <row r="16" spans="1:6" ht="35.1" customHeight="1">
      <c r="A16" s="645"/>
      <c r="B16" s="899" t="s">
        <v>149</v>
      </c>
      <c r="C16" s="900"/>
      <c r="D16" s="646"/>
    </row>
    <row r="17" spans="1:6" ht="21.9" customHeight="1">
      <c r="A17" s="643" t="s">
        <v>136</v>
      </c>
      <c r="B17" s="898" t="s">
        <v>150</v>
      </c>
      <c r="C17" s="898"/>
      <c r="D17" s="644">
        <f>'Sch-2'!J214</f>
        <v>0</v>
      </c>
    </row>
    <row r="18" spans="1:6" ht="35.1" customHeight="1">
      <c r="A18" s="645"/>
      <c r="B18" s="899" t="s">
        <v>305</v>
      </c>
      <c r="C18" s="900"/>
      <c r="D18" s="646"/>
    </row>
    <row r="19" spans="1:6" ht="21.9" customHeight="1">
      <c r="A19" s="643" t="s">
        <v>138</v>
      </c>
      <c r="B19" s="898" t="s">
        <v>152</v>
      </c>
      <c r="C19" s="898"/>
      <c r="D19" s="644">
        <f>'Sch-3'!P250</f>
        <v>0</v>
      </c>
    </row>
    <row r="20" spans="1:6" ht="30" customHeight="1">
      <c r="A20" s="645"/>
      <c r="B20" s="899" t="s">
        <v>153</v>
      </c>
      <c r="C20" s="900"/>
      <c r="D20" s="646"/>
    </row>
    <row r="21" spans="1:6" ht="21.9" customHeight="1">
      <c r="A21" s="643" t="s">
        <v>139</v>
      </c>
      <c r="B21" s="898" t="s">
        <v>154</v>
      </c>
      <c r="C21" s="898"/>
      <c r="D21" s="647" t="s">
        <v>328</v>
      </c>
    </row>
    <row r="22" spans="1:6" ht="30" customHeight="1">
      <c r="A22" s="645"/>
      <c r="B22" s="899" t="s">
        <v>155</v>
      </c>
      <c r="C22" s="900"/>
      <c r="D22" s="646"/>
    </row>
    <row r="23" spans="1:6" ht="30" customHeight="1">
      <c r="A23" s="643">
        <v>5</v>
      </c>
      <c r="B23" s="898" t="s">
        <v>156</v>
      </c>
      <c r="C23" s="898"/>
      <c r="D23" s="644">
        <f>'Sch-5'!D19:E19</f>
        <v>0</v>
      </c>
    </row>
    <row r="24" spans="1:6" ht="23.25" customHeight="1">
      <c r="A24" s="645"/>
      <c r="B24" s="899" t="s">
        <v>157</v>
      </c>
      <c r="C24" s="900"/>
      <c r="D24" s="648"/>
    </row>
    <row r="25" spans="1:6" ht="21.9" customHeight="1">
      <c r="A25" s="643" t="s">
        <v>141</v>
      </c>
      <c r="B25" s="898" t="s">
        <v>158</v>
      </c>
      <c r="C25" s="898"/>
      <c r="D25" s="647" t="s">
        <v>328</v>
      </c>
    </row>
    <row r="26" spans="1:6" ht="35.1" customHeight="1">
      <c r="A26" s="645"/>
      <c r="B26" s="899" t="s">
        <v>159</v>
      </c>
      <c r="C26" s="900"/>
      <c r="D26" s="646"/>
    </row>
    <row r="27" spans="1:6" ht="18.75" customHeight="1">
      <c r="A27" s="901"/>
      <c r="B27" s="903" t="s">
        <v>336</v>
      </c>
      <c r="C27" s="903"/>
      <c r="D27" s="649"/>
    </row>
    <row r="28" spans="1:6" ht="18.75" customHeight="1" thickBot="1">
      <c r="A28" s="902"/>
      <c r="B28" s="904"/>
      <c r="C28" s="904"/>
      <c r="D28" s="650">
        <f>D15+D17+D19+D23</f>
        <v>0</v>
      </c>
    </row>
    <row r="29" spans="1:6" ht="18.75" customHeight="1">
      <c r="A29" s="132"/>
      <c r="B29" s="133"/>
      <c r="C29" s="133"/>
      <c r="D29" s="134"/>
    </row>
    <row r="30" spans="1:6" ht="27.9" customHeight="1">
      <c r="A30" s="132"/>
      <c r="B30" s="135"/>
      <c r="C30" s="135"/>
      <c r="D30" s="134"/>
    </row>
    <row r="31" spans="1:6" ht="27.9" customHeight="1">
      <c r="A31" s="136" t="s">
        <v>161</v>
      </c>
      <c r="B31" s="660" t="str">
        <f>'Sch-5 after discount'!B21</f>
        <v xml:space="preserve">  </v>
      </c>
      <c r="C31" s="135" t="s">
        <v>143</v>
      </c>
      <c r="D31" s="721" t="str">
        <f>'Sch-5 after discount'!D21</f>
        <v/>
      </c>
      <c r="F31" s="137"/>
    </row>
    <row r="32" spans="1:6" ht="27.9" customHeight="1">
      <c r="A32" s="136" t="s">
        <v>162</v>
      </c>
      <c r="B32" s="661" t="str">
        <f>'Sch-5 after discount'!B22</f>
        <v/>
      </c>
      <c r="C32" s="135" t="s">
        <v>145</v>
      </c>
      <c r="D32" s="721" t="str">
        <f>'Sch-5 after discount'!D22</f>
        <v/>
      </c>
      <c r="F32" s="138"/>
    </row>
    <row r="33" spans="1:6" ht="27.9" customHeight="1">
      <c r="A33" s="139"/>
      <c r="B33" s="118"/>
      <c r="C33" s="135"/>
      <c r="F33" s="138"/>
    </row>
    <row r="34" spans="1:6" ht="30" customHeight="1">
      <c r="A34" s="139"/>
      <c r="B34" s="118"/>
      <c r="C34" s="135"/>
      <c r="D34" s="139"/>
      <c r="F34" s="137"/>
    </row>
    <row r="35" spans="1:6" ht="30" customHeight="1">
      <c r="A35" s="140"/>
      <c r="B35" s="140"/>
      <c r="C35" s="141"/>
      <c r="E35" s="142"/>
    </row>
  </sheetData>
  <sheetProtection password="CC6F" sheet="1" objects="1" scenarios="1" formatColumns="0" formatRows="0" selectLockedCells="1"/>
  <customSheetViews>
    <customSheetView guid="{027A88A6-1BB1-46D4-AC44-9DCFC13F5D7E}" scale="110" showPageBreaks="1" printArea="1" view="pageBreakPreview" topLeftCell="A4">
      <selection activeCell="A3" sqref="A3:D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cale="145" showPageBreaks="1" printArea="1" view="pageBreakPreview">
      <selection activeCell="A3" sqref="A3:D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DACD165C-CB59-4178-94BC-16705741C7B8}" scale="145" showPageBreaks="1" printArea="1" view="pageBreakPreview">
      <selection activeCell="A3" sqref="A3:D3"/>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4140625" defaultRowHeight="15.6"/>
  <cols>
    <col min="1" max="1" width="12.109375" style="28" customWidth="1"/>
    <col min="2" max="2" width="31.44140625" style="28" customWidth="1"/>
    <col min="3" max="3" width="24" style="28" customWidth="1"/>
    <col min="4" max="4" width="39.33203125" style="28" customWidth="1"/>
    <col min="5" max="16384" width="11.44140625" style="112"/>
  </cols>
  <sheetData>
    <row r="1" spans="1:6" ht="18" customHeight="1">
      <c r="A1" s="113" t="str">
        <f>Cover!B3</f>
        <v>Specification No. : 5002002268/TOWER/DOM/A00 - CC CS -1</v>
      </c>
      <c r="B1" s="114"/>
      <c r="C1" s="115"/>
      <c r="D1" s="116" t="s">
        <v>163</v>
      </c>
    </row>
    <row r="2" spans="1:6" ht="18" customHeight="1">
      <c r="A2" s="117"/>
      <c r="B2" s="118"/>
      <c r="C2" s="119"/>
      <c r="D2" s="119"/>
    </row>
    <row r="3" spans="1:6" ht="73.5" customHeight="1">
      <c r="A3" s="910" t="str">
        <f>Cover!$B$2</f>
        <v>Transmission Line Tower Package-TW01 including Design &amp; Testing of towers, Design of foundation, Supply of HTLS conductor, Composite long rod insulators, Earthwire/OPGW, Hardware Fittings, Accessories for Conductor &amp; Earthwire for M/C portion of (i) 400 kV D/C (Twin HTLS) Navasari (New) (South Gujarat)-Kala line and (ii) 400 kV D/C (Twin HTLS) Navasari (New) (South Gujarat)-Magarwada line and for D/C portion of (i) 400 kV D/C (twin HTLS) Navasari (New) (South Gujarat)-Kala line (From M/c line common point near Magarwada SS to Kala SS) associated with Transmission Network Expansion in Gujarat to increase its ATC from ISTS: Part B.</v>
      </c>
      <c r="B3" s="910"/>
      <c r="C3" s="910"/>
      <c r="D3" s="910"/>
      <c r="E3" s="120"/>
      <c r="F3" s="120"/>
    </row>
    <row r="4" spans="1:6" ht="21.9" customHeight="1">
      <c r="A4" s="878" t="s">
        <v>147</v>
      </c>
      <c r="B4" s="878"/>
      <c r="C4" s="878"/>
      <c r="D4" s="878"/>
    </row>
    <row r="5" spans="1:6" ht="18" customHeight="1">
      <c r="A5" s="121"/>
    </row>
    <row r="6" spans="1:6" ht="18" customHeight="1">
      <c r="A6" s="25" t="e">
        <f>'Sch-1'!#REF!</f>
        <v>#REF!</v>
      </c>
      <c r="D6" s="94" t="s">
        <v>1</v>
      </c>
    </row>
    <row r="7" spans="1:6" ht="36" customHeight="1">
      <c r="A7" s="911" t="str">
        <f>'Sch-1'!A8</f>
        <v>Bidder’s Name and Address  (Sole Bidder) :</v>
      </c>
      <c r="B7" s="911"/>
      <c r="C7" s="911"/>
      <c r="D7" s="95" t="str">
        <f>'Sch-1'!K8</f>
        <v>Contract Services</v>
      </c>
    </row>
    <row r="8" spans="1:6" ht="18" customHeight="1">
      <c r="A8" s="29" t="s">
        <v>31</v>
      </c>
      <c r="B8" s="909" t="str">
        <f>IF('Sch-1'!C9=0, "", 'Sch-1'!C9)</f>
        <v/>
      </c>
      <c r="C8" s="909"/>
      <c r="D8" s="95" t="str">
        <f>'Sch-1'!K9</f>
        <v>Power Grid Corporation of India Ltd.,</v>
      </c>
    </row>
    <row r="9" spans="1:6" ht="18" customHeight="1">
      <c r="A9" s="29" t="s">
        <v>32</v>
      </c>
      <c r="B9" s="909" t="str">
        <f>IF('Sch-1'!C10=0, "", 'Sch-1'!C10)</f>
        <v/>
      </c>
      <c r="C9" s="909"/>
      <c r="D9" s="95" t="str">
        <f>'Sch-1'!K10</f>
        <v>"Saudamini", Plot No.-2</v>
      </c>
    </row>
    <row r="10" spans="1:6" ht="18" customHeight="1">
      <c r="A10" s="30"/>
      <c r="B10" s="909" t="str">
        <f>IF('Sch-1'!C11=0, "", 'Sch-1'!C11)</f>
        <v/>
      </c>
      <c r="C10" s="909"/>
      <c r="D10" s="95" t="str">
        <f>'Sch-1'!K11</f>
        <v xml:space="preserve">Sector-29, </v>
      </c>
    </row>
    <row r="11" spans="1:6" ht="18" customHeight="1">
      <c r="A11" s="30"/>
      <c r="B11" s="909" t="str">
        <f>IF('Sch-1'!C12=0, "", 'Sch-1'!C12)</f>
        <v/>
      </c>
      <c r="C11" s="909"/>
      <c r="D11" s="95" t="str">
        <f>'Sch-1'!K12</f>
        <v>Gurgaon (Haryana) - 122001</v>
      </c>
    </row>
    <row r="12" spans="1:6" ht="18" customHeight="1">
      <c r="A12" s="122"/>
      <c r="B12" s="122"/>
      <c r="C12" s="122"/>
      <c r="D12" s="123"/>
    </row>
    <row r="13" spans="1:6" ht="21.9" customHeight="1">
      <c r="A13" s="124" t="s">
        <v>129</v>
      </c>
      <c r="B13" s="905" t="s">
        <v>15</v>
      </c>
      <c r="C13" s="906"/>
      <c r="D13" s="125" t="s">
        <v>131</v>
      </c>
    </row>
    <row r="14" spans="1:6" ht="21.9" customHeight="1">
      <c r="A14" s="96" t="s">
        <v>134</v>
      </c>
      <c r="B14" s="898" t="s">
        <v>148</v>
      </c>
      <c r="C14" s="898"/>
      <c r="D14" s="126"/>
    </row>
    <row r="15" spans="1:6" ht="35.1" customHeight="1">
      <c r="A15" s="127"/>
      <c r="B15" s="899" t="s">
        <v>149</v>
      </c>
      <c r="C15" s="900"/>
      <c r="D15" s="128"/>
    </row>
    <row r="16" spans="1:6" ht="21.9" customHeight="1">
      <c r="A16" s="96" t="s">
        <v>136</v>
      </c>
      <c r="B16" s="898" t="s">
        <v>150</v>
      </c>
      <c r="C16" s="898"/>
      <c r="D16" s="126"/>
    </row>
    <row r="17" spans="1:6" ht="35.1" customHeight="1">
      <c r="A17" s="127"/>
      <c r="B17" s="899" t="s">
        <v>151</v>
      </c>
      <c r="C17" s="900"/>
      <c r="D17" s="128"/>
    </row>
    <row r="18" spans="1:6" ht="21.9" customHeight="1">
      <c r="A18" s="96" t="s">
        <v>138</v>
      </c>
      <c r="B18" s="898" t="s">
        <v>152</v>
      </c>
      <c r="C18" s="898"/>
      <c r="D18" s="126"/>
    </row>
    <row r="19" spans="1:6" ht="30" customHeight="1">
      <c r="A19" s="127"/>
      <c r="B19" s="899" t="s">
        <v>153</v>
      </c>
      <c r="C19" s="900"/>
      <c r="D19" s="128"/>
    </row>
    <row r="20" spans="1:6" ht="21.9" customHeight="1">
      <c r="A20" s="96" t="s">
        <v>139</v>
      </c>
      <c r="B20" s="898" t="s">
        <v>154</v>
      </c>
      <c r="C20" s="898"/>
      <c r="D20" s="129"/>
    </row>
    <row r="21" spans="1:6" ht="30" customHeight="1">
      <c r="A21" s="127"/>
      <c r="B21" s="899" t="s">
        <v>155</v>
      </c>
      <c r="C21" s="900"/>
      <c r="D21" s="128"/>
    </row>
    <row r="22" spans="1:6" ht="30" customHeight="1">
      <c r="A22" s="96">
        <v>5</v>
      </c>
      <c r="B22" s="898" t="s">
        <v>156</v>
      </c>
      <c r="C22" s="898"/>
      <c r="D22" s="126"/>
    </row>
    <row r="23" spans="1:6" ht="33" customHeight="1">
      <c r="A23" s="127"/>
      <c r="B23" s="899" t="s">
        <v>157</v>
      </c>
      <c r="C23" s="900"/>
      <c r="D23" s="143"/>
    </row>
    <row r="24" spans="1:6" ht="21.9" customHeight="1">
      <c r="A24" s="96" t="s">
        <v>141</v>
      </c>
      <c r="B24" s="898" t="s">
        <v>158</v>
      </c>
      <c r="C24" s="898"/>
      <c r="D24" s="129"/>
    </row>
    <row r="25" spans="1:6" ht="35.1" customHeight="1">
      <c r="A25" s="127"/>
      <c r="B25" s="899" t="s">
        <v>159</v>
      </c>
      <c r="C25" s="900"/>
      <c r="D25" s="128"/>
    </row>
    <row r="26" spans="1:6" ht="24" customHeight="1">
      <c r="A26" s="907"/>
      <c r="B26" s="908" t="s">
        <v>160</v>
      </c>
      <c r="C26" s="908"/>
      <c r="D26" s="130"/>
    </row>
    <row r="27" spans="1:6" ht="25.5" customHeight="1">
      <c r="A27" s="907"/>
      <c r="B27" s="908"/>
      <c r="C27" s="908"/>
      <c r="D27" s="131"/>
    </row>
    <row r="28" spans="1:6" ht="18.75" customHeight="1">
      <c r="A28" s="132"/>
      <c r="B28" s="133"/>
      <c r="C28" s="133"/>
      <c r="D28" s="134"/>
    </row>
    <row r="29" spans="1:6" ht="27.9" customHeight="1">
      <c r="A29" s="132"/>
      <c r="B29" s="133"/>
      <c r="C29" s="135"/>
      <c r="D29" s="134"/>
    </row>
    <row r="30" spans="1:6" ht="27.9" customHeight="1">
      <c r="A30" s="136" t="s">
        <v>161</v>
      </c>
      <c r="B30" s="99"/>
      <c r="C30" s="135" t="s">
        <v>143</v>
      </c>
      <c r="D30" s="99"/>
      <c r="F30" s="137"/>
    </row>
    <row r="31" spans="1:6" ht="27.9" customHeight="1">
      <c r="A31" s="136" t="s">
        <v>162</v>
      </c>
      <c r="B31" s="99"/>
      <c r="C31" s="135" t="s">
        <v>145</v>
      </c>
      <c r="D31" s="99"/>
      <c r="F31" s="138"/>
    </row>
    <row r="32" spans="1:6" ht="27.9" customHeight="1">
      <c r="A32" s="139"/>
      <c r="B32" s="118"/>
      <c r="C32" s="135"/>
      <c r="F32" s="138"/>
    </row>
    <row r="33" spans="1:6" ht="30" customHeight="1">
      <c r="A33" s="139"/>
      <c r="B33" s="118"/>
      <c r="C33" s="135"/>
      <c r="D33" s="139"/>
      <c r="F33" s="137"/>
    </row>
    <row r="34" spans="1:6" ht="30" customHeight="1">
      <c r="A34" s="140"/>
      <c r="B34" s="140"/>
      <c r="C34" s="141"/>
      <c r="E34" s="142"/>
    </row>
  </sheetData>
  <sheetProtection selectLockedCells="1"/>
  <customSheetViews>
    <customSheetView guid="{027A88A6-1BB1-46D4-AC44-9DCFC13F5D7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DACD165C-CB59-4178-94BC-16705741C7B8}"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34" zoomScaleNormal="100" zoomScaleSheetLayoutView="100" workbookViewId="0">
      <selection activeCell="D23" sqref="D23"/>
    </sheetView>
  </sheetViews>
  <sheetFormatPr defaultColWidth="11.44140625" defaultRowHeight="15.6"/>
  <cols>
    <col min="1" max="1" width="12.109375" style="28" customWidth="1"/>
    <col min="2" max="2" width="31.44140625" style="28" customWidth="1"/>
    <col min="3" max="3" width="24" style="28" customWidth="1"/>
    <col min="4" max="4" width="39.33203125" style="28" customWidth="1"/>
    <col min="5" max="5" width="18.44140625" style="112" hidden="1" customWidth="1"/>
    <col min="6" max="6" width="18.6640625" style="112" hidden="1" customWidth="1"/>
    <col min="7" max="16384" width="11.44140625" style="112"/>
  </cols>
  <sheetData>
    <row r="1" spans="1:6" ht="18" customHeight="1">
      <c r="A1" s="113" t="str">
        <f>Cover!B3</f>
        <v>Specification No. : 5002002268/TOWER/DOM/A00 - CC CS -1</v>
      </c>
      <c r="B1" s="114"/>
      <c r="C1" s="115"/>
      <c r="D1" s="116" t="s">
        <v>146</v>
      </c>
    </row>
    <row r="2" spans="1:6" ht="18" customHeight="1">
      <c r="A2" s="117"/>
      <c r="B2" s="118"/>
      <c r="C2" s="119"/>
      <c r="D2" s="119"/>
    </row>
    <row r="3" spans="1:6" ht="150.6" customHeight="1">
      <c r="A3" s="877" t="str">
        <f>Cover!$B$2</f>
        <v>Transmission Line Tower Package-TW01 including Design &amp; Testing of towers, Design of foundation, Supply of HTLS conductor, Composite long rod insulators, Earthwire/OPGW, Hardware Fittings, Accessories for Conductor &amp; Earthwire for M/C portion of (i) 400 kV D/C (Twin HTLS) Navasari (New) (South Gujarat)-Kala line and (ii) 400 kV D/C (Twin HTLS) Navasari (New) (South Gujarat)-Magarwada line and for D/C portion of (i) 400 kV D/C (twin HTLS) Navasari (New) (South Gujarat)-Kala line (From M/c line common point near Magarwada SS to Kala SS) associated with Transmission Network Expansion in Gujarat to increase its ATC from ISTS: Part B.</v>
      </c>
      <c r="B3" s="877"/>
      <c r="C3" s="877"/>
      <c r="D3" s="877"/>
      <c r="E3" s="120"/>
      <c r="F3" s="120"/>
    </row>
    <row r="4" spans="1:6" ht="21.9" customHeight="1">
      <c r="A4" s="878" t="s">
        <v>147</v>
      </c>
      <c r="B4" s="878"/>
      <c r="C4" s="878"/>
      <c r="D4" s="878"/>
    </row>
    <row r="5" spans="1:6" ht="18" customHeight="1">
      <c r="A5" s="121"/>
    </row>
    <row r="6" spans="1:6" ht="18" customHeight="1">
      <c r="A6" s="813" t="s">
        <v>339</v>
      </c>
      <c r="B6" s="813"/>
      <c r="C6" s="4"/>
    </row>
    <row r="7" spans="1:6" ht="18" customHeight="1">
      <c r="A7" s="818">
        <f>'Sch-1'!A7</f>
        <v>0</v>
      </c>
      <c r="B7" s="818"/>
      <c r="C7" s="818"/>
      <c r="D7" s="94" t="s">
        <v>1</v>
      </c>
    </row>
    <row r="8" spans="1:6" ht="22.5" customHeight="1">
      <c r="A8" s="814" t="str">
        <f>"Bidder’s Name and Address  (" &amp; MID('Names of Bidder'!A9,9, 20) &amp; ") :"</f>
        <v>Bidder’s Name and Address  (Sole Bidder) :</v>
      </c>
      <c r="B8" s="814"/>
      <c r="C8" s="814"/>
      <c r="D8" s="95" t="str">
        <f>'Sch-1'!K8</f>
        <v>Contract Services</v>
      </c>
    </row>
    <row r="9" spans="1:6" ht="18" customHeight="1">
      <c r="A9" s="457" t="s">
        <v>12</v>
      </c>
      <c r="B9" s="457" t="str">
        <f>IF('Names of Bidder'!C9=0, "", 'Names of Bidder'!C9)</f>
        <v/>
      </c>
      <c r="C9" s="112"/>
      <c r="D9" s="95" t="str">
        <f>'Sch-1'!K9</f>
        <v>Power Grid Corporation of India Ltd.,</v>
      </c>
    </row>
    <row r="10" spans="1:6" ht="18" customHeight="1">
      <c r="A10" s="457" t="s">
        <v>11</v>
      </c>
      <c r="B10" s="588" t="str">
        <f>IF('Names of Bidder'!C10=0, "", 'Names of Bidder'!C10)</f>
        <v/>
      </c>
      <c r="C10" s="112"/>
      <c r="D10" s="95" t="str">
        <f>'Sch-1'!K10</f>
        <v>"Saudamini", Plot No.-2</v>
      </c>
    </row>
    <row r="11" spans="1:6" ht="18" customHeight="1">
      <c r="A11" s="404"/>
      <c r="B11" s="588" t="str">
        <f>IF('Names of Bidder'!C11=0, "", 'Names of Bidder'!C11)</f>
        <v/>
      </c>
      <c r="C11" s="112"/>
      <c r="D11" s="95" t="str">
        <f>'Sch-1'!K11</f>
        <v xml:space="preserve">Sector-29, </v>
      </c>
    </row>
    <row r="12" spans="1:6" ht="18" customHeight="1">
      <c r="A12" s="404"/>
      <c r="B12" s="588" t="str">
        <f>IF('Names of Bidder'!C12=0, "", 'Names of Bidder'!C12)</f>
        <v/>
      </c>
      <c r="C12" s="112"/>
      <c r="D12" s="95" t="str">
        <f>'Sch-1'!K12</f>
        <v>Gurgaon (Haryana) - 122001</v>
      </c>
    </row>
    <row r="13" spans="1:6" ht="18" customHeight="1" thickBot="1">
      <c r="A13" s="640"/>
      <c r="B13" s="640"/>
      <c r="C13" s="640"/>
      <c r="D13" s="123"/>
    </row>
    <row r="14" spans="1:6" ht="21.9" customHeight="1">
      <c r="A14" s="641" t="s">
        <v>129</v>
      </c>
      <c r="B14" s="896" t="s">
        <v>15</v>
      </c>
      <c r="C14" s="897"/>
      <c r="D14" s="642" t="s">
        <v>131</v>
      </c>
      <c r="E14" s="613" t="s">
        <v>350</v>
      </c>
      <c r="F14" s="614" t="s">
        <v>349</v>
      </c>
    </row>
    <row r="15" spans="1:6" ht="21.9" customHeight="1">
      <c r="A15" s="643" t="s">
        <v>134</v>
      </c>
      <c r="B15" s="898" t="s">
        <v>148</v>
      </c>
      <c r="C15" s="898"/>
      <c r="D15" s="644">
        <f>E15*F15</f>
        <v>0</v>
      </c>
      <c r="E15" s="615">
        <f>'Sch-6'!D15</f>
        <v>0</v>
      </c>
      <c r="F15" s="637">
        <f>IF(Discount!H36&lt;0,0,Discount!H36)</f>
        <v>0</v>
      </c>
    </row>
    <row r="16" spans="1:6" ht="35.1" customHeight="1">
      <c r="A16" s="645"/>
      <c r="B16" s="899" t="s">
        <v>149</v>
      </c>
      <c r="C16" s="900"/>
      <c r="D16" s="646"/>
      <c r="E16" s="617"/>
      <c r="F16" s="637"/>
    </row>
    <row r="17" spans="1:6" ht="21.9" customHeight="1">
      <c r="A17" s="643" t="s">
        <v>136</v>
      </c>
      <c r="B17" s="898" t="s">
        <v>150</v>
      </c>
      <c r="C17" s="898"/>
      <c r="D17" s="644">
        <f>E17*F17</f>
        <v>0</v>
      </c>
      <c r="E17" s="615">
        <f>'Sch-6'!D17</f>
        <v>0</v>
      </c>
      <c r="F17" s="637">
        <f>IF(Discount!I36&lt;0,0,Discount!I36)</f>
        <v>0</v>
      </c>
    </row>
    <row r="18" spans="1:6" ht="35.1" customHeight="1">
      <c r="A18" s="645"/>
      <c r="B18" s="899" t="s">
        <v>305</v>
      </c>
      <c r="C18" s="900"/>
      <c r="D18" s="646"/>
      <c r="E18" s="617"/>
      <c r="F18" s="637"/>
    </row>
    <row r="19" spans="1:6" ht="21.9" customHeight="1">
      <c r="A19" s="643" t="s">
        <v>138</v>
      </c>
      <c r="B19" s="898" t="s">
        <v>152</v>
      </c>
      <c r="C19" s="898"/>
      <c r="D19" s="644">
        <f>E19*F19</f>
        <v>0</v>
      </c>
      <c r="E19" s="615">
        <f>'Sch-6'!D19</f>
        <v>0</v>
      </c>
      <c r="F19" s="637">
        <f>IF(Discount!J36&lt;0,0,Discount!J36)</f>
        <v>0</v>
      </c>
    </row>
    <row r="20" spans="1:6" ht="30" customHeight="1">
      <c r="A20" s="645"/>
      <c r="B20" s="899" t="s">
        <v>153</v>
      </c>
      <c r="C20" s="900"/>
      <c r="D20" s="646"/>
      <c r="E20" s="617"/>
      <c r="F20" s="616"/>
    </row>
    <row r="21" spans="1:6" ht="21.9" customHeight="1">
      <c r="A21" s="643" t="s">
        <v>139</v>
      </c>
      <c r="B21" s="898" t="s">
        <v>154</v>
      </c>
      <c r="C21" s="898"/>
      <c r="D21" s="647" t="s">
        <v>328</v>
      </c>
      <c r="E21" s="617"/>
      <c r="F21" s="616"/>
    </row>
    <row r="22" spans="1:6" ht="30" customHeight="1">
      <c r="A22" s="645"/>
      <c r="B22" s="899" t="s">
        <v>155</v>
      </c>
      <c r="C22" s="900"/>
      <c r="D22" s="646"/>
      <c r="E22" s="617"/>
      <c r="F22" s="616"/>
    </row>
    <row r="23" spans="1:6" ht="30" customHeight="1">
      <c r="A23" s="643">
        <v>5</v>
      </c>
      <c r="B23" s="898" t="s">
        <v>156</v>
      </c>
      <c r="C23" s="898"/>
      <c r="D23" s="644">
        <f>IF('Sch-5 after discount'!D19&lt;0,0,'Sch-5 after discount'!D19)</f>
        <v>0</v>
      </c>
      <c r="E23" s="617"/>
      <c r="F23" s="616"/>
    </row>
    <row r="24" spans="1:6" ht="25.5" customHeight="1">
      <c r="A24" s="645"/>
      <c r="B24" s="899" t="s">
        <v>157</v>
      </c>
      <c r="C24" s="900"/>
      <c r="D24" s="648"/>
      <c r="E24" s="617"/>
      <c r="F24" s="616"/>
    </row>
    <row r="25" spans="1:6" ht="21.9" customHeight="1">
      <c r="A25" s="643" t="s">
        <v>141</v>
      </c>
      <c r="B25" s="898" t="s">
        <v>158</v>
      </c>
      <c r="C25" s="898"/>
      <c r="D25" s="647" t="s">
        <v>328</v>
      </c>
      <c r="E25" s="617"/>
      <c r="F25" s="616"/>
    </row>
    <row r="26" spans="1:6" ht="35.1" customHeight="1">
      <c r="A26" s="645"/>
      <c r="B26" s="899" t="s">
        <v>159</v>
      </c>
      <c r="C26" s="900"/>
      <c r="D26" s="646"/>
      <c r="E26" s="617"/>
      <c r="F26" s="616"/>
    </row>
    <row r="27" spans="1:6" ht="18.75" customHeight="1">
      <c r="A27" s="901"/>
      <c r="B27" s="903" t="s">
        <v>336</v>
      </c>
      <c r="C27" s="903"/>
      <c r="D27" s="651"/>
      <c r="E27" s="617"/>
      <c r="F27" s="616"/>
    </row>
    <row r="28" spans="1:6" ht="18.75" customHeight="1" thickBot="1">
      <c r="A28" s="902"/>
      <c r="B28" s="904"/>
      <c r="C28" s="904"/>
      <c r="D28" s="650">
        <f>SUM(D15:D26)</f>
        <v>0</v>
      </c>
      <c r="E28" s="618"/>
      <c r="F28" s="619"/>
    </row>
    <row r="29" spans="1:6" ht="18.75" customHeight="1">
      <c r="A29" s="132"/>
      <c r="B29" s="133"/>
      <c r="C29" s="133"/>
      <c r="D29" s="134"/>
    </row>
    <row r="30" spans="1:6" ht="27.9" customHeight="1">
      <c r="A30" s="132"/>
      <c r="B30" s="135"/>
      <c r="C30" s="135"/>
      <c r="D30" s="134"/>
    </row>
    <row r="31" spans="1:6" ht="27.9" customHeight="1">
      <c r="A31" s="136" t="s">
        <v>161</v>
      </c>
      <c r="B31" s="660" t="str">
        <f>'Sch-6'!B31</f>
        <v xml:space="preserve">  </v>
      </c>
      <c r="C31" s="135" t="s">
        <v>143</v>
      </c>
      <c r="D31" s="722" t="str">
        <f>'Sch-6'!D31</f>
        <v/>
      </c>
      <c r="F31" s="137"/>
    </row>
    <row r="32" spans="1:6" ht="27.9" customHeight="1">
      <c r="A32" s="136" t="s">
        <v>162</v>
      </c>
      <c r="B32" s="661" t="str">
        <f>'Sch-6'!B32</f>
        <v/>
      </c>
      <c r="C32" s="135" t="s">
        <v>145</v>
      </c>
      <c r="D32" s="722" t="str">
        <f>'Sch-6'!D32</f>
        <v/>
      </c>
      <c r="F32" s="138"/>
    </row>
    <row r="33" spans="1:6" ht="27.9" customHeight="1">
      <c r="A33" s="139"/>
      <c r="B33" s="118"/>
      <c r="C33" s="135"/>
      <c r="F33" s="138"/>
    </row>
    <row r="34" spans="1:6" ht="30" customHeight="1">
      <c r="A34" s="139"/>
      <c r="B34" s="118"/>
      <c r="C34" s="135"/>
      <c r="D34" s="139"/>
      <c r="F34" s="137"/>
    </row>
    <row r="35" spans="1:6" ht="30" customHeight="1">
      <c r="A35" s="140"/>
      <c r="B35" s="140"/>
      <c r="C35" s="141"/>
      <c r="E35" s="142"/>
    </row>
  </sheetData>
  <sheetProtection password="CC6F" sheet="1" objects="1" scenarios="1" formatColumns="0" formatRows="0" selectLockedCells="1"/>
  <customSheetViews>
    <customSheetView guid="{027A88A6-1BB1-46D4-AC44-9DCFC13F5D7E}" showPageBreaks="1" printArea="1" hiddenColumns="1" view="pageBreakPreview" topLeftCell="A34">
      <selection activeCell="D23" sqref="D23"/>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howPageBreaks="1" printArea="1" hiddenColumns="1" view="pageBreakPreview">
      <selection activeCell="D23" sqref="D23"/>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DACD165C-CB59-4178-94BC-16705741C7B8}" showPageBreaks="1" printArea="1" hiddenColumns="1" view="pageBreakPreview">
      <selection activeCell="D23" sqref="D2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2"/>
  <headerFooter alignWithMargins="0">
    <oddFooter>&amp;R&amp;"Book Antiqua,Bold"&amp;10Schedule-6/ Page &amp;P of &amp;N</oddFooter>
  </headerFooter>
  <drawing r:id="rId1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zoomScaleNormal="100" zoomScaleSheetLayoutView="100" workbookViewId="0">
      <selection activeCell="A16" sqref="A16"/>
    </sheetView>
  </sheetViews>
  <sheetFormatPr defaultColWidth="8.6640625" defaultRowHeight="14.4"/>
  <cols>
    <col min="1" max="1" width="6.5546875" style="294" customWidth="1"/>
    <col min="2" max="2" width="11.44140625" style="294" customWidth="1"/>
    <col min="3" max="3" width="15" style="294" customWidth="1"/>
    <col min="4" max="4" width="10.33203125" style="294" customWidth="1"/>
    <col min="5" max="8" width="15.109375" style="294" customWidth="1"/>
    <col min="9" max="9" width="22.88671875" style="399" customWidth="1"/>
    <col min="10" max="10" width="8.6640625" style="264" customWidth="1"/>
    <col min="11" max="11" width="10.33203125" style="264" customWidth="1"/>
    <col min="12" max="12" width="13.5546875" style="264" customWidth="1"/>
    <col min="13" max="13" width="14.33203125" style="264" customWidth="1"/>
    <col min="14" max="26" width="9.109375" style="299" customWidth="1"/>
    <col min="27" max="27" width="0" style="299" hidden="1" customWidth="1"/>
    <col min="28" max="28" width="15.88671875" style="299" hidden="1" customWidth="1"/>
    <col min="29" max="29" width="15.5546875" style="299" hidden="1" customWidth="1"/>
    <col min="30" max="30" width="24.44140625" style="299" hidden="1" customWidth="1"/>
    <col min="31" max="31" width="13.6640625" style="299" hidden="1" customWidth="1"/>
    <col min="32" max="33" width="0" style="299" hidden="1" customWidth="1"/>
    <col min="34" max="100" width="9.109375" style="299" customWidth="1"/>
    <col min="101" max="253" width="9.109375" style="261" customWidth="1"/>
    <col min="254" max="254" width="13" style="261" customWidth="1"/>
    <col min="255" max="255" width="35.88671875" style="261" customWidth="1"/>
    <col min="256" max="16384" width="8.6640625" style="261"/>
  </cols>
  <sheetData>
    <row r="1" spans="1:100" s="299" customFormat="1" ht="18" customHeight="1">
      <c r="A1" s="295" t="str">
        <f>Cover!B3</f>
        <v>Specification No. : 5002002268/TOWER/DOM/A00 - CC CS -1</v>
      </c>
      <c r="B1" s="295"/>
      <c r="C1" s="295"/>
      <c r="D1" s="295"/>
      <c r="E1" s="295"/>
      <c r="F1" s="295"/>
      <c r="G1" s="295"/>
      <c r="H1" s="295"/>
      <c r="I1" s="390"/>
      <c r="J1" s="296"/>
      <c r="K1" s="296"/>
      <c r="L1" s="296"/>
      <c r="M1" s="297" t="s">
        <v>30</v>
      </c>
    </row>
    <row r="2" spans="1:100" s="299" customFormat="1" ht="12.75" customHeight="1">
      <c r="A2" s="300"/>
      <c r="B2" s="300"/>
      <c r="C2" s="300"/>
      <c r="D2" s="300"/>
      <c r="E2" s="300"/>
      <c r="F2" s="300"/>
      <c r="G2" s="300"/>
      <c r="H2" s="300"/>
      <c r="I2" s="391"/>
      <c r="J2" s="301"/>
      <c r="K2" s="301"/>
      <c r="L2" s="301"/>
      <c r="M2" s="301"/>
    </row>
    <row r="3" spans="1:100" s="299" customFormat="1" ht="51.75" customHeight="1">
      <c r="A3" s="928" t="str">
        <f>Cover!$B$2</f>
        <v>Transmission Line Tower Package-TW01 including Design &amp; Testing of towers, Design of foundation, Supply of HTLS conductor, Composite long rod insulators, Earthwire/OPGW, Hardware Fittings, Accessories for Conductor &amp; Earthwire for M/C portion of (i) 400 kV D/C (Twin HTLS) Navasari (New) (South Gujarat)-Kala line and (ii) 400 kV D/C (Twin HTLS) Navasari (New) (South Gujarat)-Magarwada line and for D/C portion of (i) 400 kV D/C (twin HTLS) Navasari (New) (South Gujarat)-Kala line (From M/c line common point near Magarwada SS to Kala SS) associated with Transmission Network Expansion in Gujarat to increase its ATC from ISTS: Part B.</v>
      </c>
      <c r="B3" s="928"/>
      <c r="C3" s="928"/>
      <c r="D3" s="928"/>
      <c r="E3" s="928"/>
      <c r="F3" s="928"/>
      <c r="G3" s="928"/>
      <c r="H3" s="928"/>
      <c r="I3" s="928"/>
      <c r="J3" s="928"/>
      <c r="K3" s="928"/>
      <c r="L3" s="928"/>
      <c r="M3" s="928"/>
      <c r="AA3" s="299" t="s">
        <v>18</v>
      </c>
      <c r="AC3" s="299">
        <f>IF(ISERROR(#REF!/('[6]Sch-6'!D14+'[6]Sch-6'!D16+'[6]Sch-6'!D18)),0,#REF!/( '[6]Sch-6'!D14+'[6]Sch-6'!D16+'[6]Sch-6'!D18))</f>
        <v>0</v>
      </c>
    </row>
    <row r="4" spans="1:100" s="299" customFormat="1" ht="21.9" customHeight="1">
      <c r="A4" s="929" t="s">
        <v>19</v>
      </c>
      <c r="B4" s="929"/>
      <c r="C4" s="929"/>
      <c r="D4" s="929"/>
      <c r="E4" s="929"/>
      <c r="F4" s="929"/>
      <c r="G4" s="929"/>
      <c r="H4" s="929"/>
      <c r="I4" s="929"/>
      <c r="J4" s="929"/>
      <c r="K4" s="929"/>
      <c r="L4" s="929"/>
      <c r="M4" s="929"/>
      <c r="AA4" s="299" t="s">
        <v>20</v>
      </c>
      <c r="AC4" s="299" t="e">
        <f>#REF!</f>
        <v>#REF!</v>
      </c>
    </row>
    <row r="5" spans="1:100" s="299" customFormat="1" ht="27.9" customHeight="1">
      <c r="A5" s="304"/>
      <c r="B5" s="304"/>
      <c r="C5" s="304"/>
      <c r="D5" s="304"/>
      <c r="E5" s="461"/>
      <c r="F5" s="461"/>
      <c r="G5" s="461"/>
      <c r="H5" s="461"/>
      <c r="I5" s="392"/>
      <c r="K5" s="303"/>
      <c r="L5" s="302"/>
      <c r="M5" s="461"/>
    </row>
    <row r="6" spans="1:100" s="299" customFormat="1" ht="27.9" customHeight="1">
      <c r="A6" s="591"/>
      <c r="B6" s="813" t="s">
        <v>339</v>
      </c>
      <c r="C6" s="813"/>
      <c r="D6" s="4"/>
      <c r="E6" s="461"/>
      <c r="F6" s="461"/>
      <c r="G6" s="461"/>
      <c r="H6" s="461"/>
      <c r="I6" s="392"/>
      <c r="K6" s="303"/>
      <c r="L6" s="302"/>
      <c r="M6" s="461"/>
    </row>
    <row r="7" spans="1:100" s="299" customFormat="1" ht="27.9" customHeight="1">
      <c r="A7" s="587"/>
      <c r="B7" s="818">
        <f>'Sch-1'!A7</f>
        <v>0</v>
      </c>
      <c r="C7" s="818"/>
      <c r="D7" s="818"/>
      <c r="E7" s="818"/>
      <c r="F7" s="818"/>
      <c r="G7" s="818"/>
      <c r="H7" s="818"/>
      <c r="I7" s="392"/>
      <c r="K7" s="303"/>
      <c r="L7" s="302"/>
      <c r="M7" s="461"/>
    </row>
    <row r="8" spans="1:100" s="517" customFormat="1" ht="16.5" customHeight="1">
      <c r="A8" s="590"/>
      <c r="B8" s="814" t="str">
        <f>'Sch-1'!A8</f>
        <v>Bidder’s Name and Address  (Sole Bidder) :</v>
      </c>
      <c r="C8" s="814"/>
      <c r="D8" s="814"/>
      <c r="E8" s="814"/>
      <c r="F8" s="814"/>
      <c r="G8" s="814"/>
      <c r="H8" s="814"/>
      <c r="I8" s="26"/>
      <c r="J8" s="26"/>
      <c r="K8" s="94" t="s">
        <v>1</v>
      </c>
      <c r="L8" s="24"/>
      <c r="N8" s="299"/>
      <c r="O8" s="299"/>
      <c r="P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299"/>
      <c r="AP8" s="299"/>
      <c r="AQ8" s="299"/>
      <c r="AR8" s="299"/>
      <c r="AS8" s="299"/>
      <c r="AT8" s="299"/>
      <c r="AU8" s="299"/>
      <c r="AV8" s="299"/>
      <c r="AW8" s="299"/>
      <c r="AX8" s="299"/>
      <c r="AY8" s="299"/>
      <c r="AZ8" s="299"/>
      <c r="BA8" s="299"/>
      <c r="BB8" s="299"/>
      <c r="BC8" s="299"/>
      <c r="BD8" s="299"/>
      <c r="BE8" s="299"/>
      <c r="BF8" s="299"/>
      <c r="BG8" s="299"/>
      <c r="BH8" s="299"/>
      <c r="BI8" s="299"/>
      <c r="BJ8" s="299"/>
      <c r="BK8" s="299"/>
      <c r="BL8" s="299"/>
      <c r="BM8" s="299"/>
      <c r="BN8" s="299"/>
      <c r="BO8" s="299"/>
      <c r="BP8" s="299"/>
      <c r="BQ8" s="299"/>
      <c r="BR8" s="299"/>
      <c r="BS8" s="299"/>
      <c r="BT8" s="299"/>
      <c r="BU8" s="299"/>
      <c r="BV8" s="299"/>
      <c r="BW8" s="299"/>
      <c r="BX8" s="299"/>
      <c r="BY8" s="299"/>
      <c r="BZ8" s="299"/>
      <c r="CA8" s="299"/>
      <c r="CB8" s="299"/>
      <c r="CC8" s="299"/>
      <c r="CD8" s="299"/>
      <c r="CE8" s="299"/>
      <c r="CF8" s="299"/>
      <c r="CG8" s="299"/>
      <c r="CH8" s="299"/>
      <c r="CI8" s="299"/>
      <c r="CJ8" s="299"/>
      <c r="CK8" s="299"/>
      <c r="CL8" s="299"/>
      <c r="CM8" s="299"/>
      <c r="CN8" s="299"/>
      <c r="CO8" s="299"/>
      <c r="CP8" s="299"/>
      <c r="CQ8" s="299"/>
      <c r="CR8" s="299"/>
      <c r="CS8" s="299"/>
      <c r="CT8" s="299"/>
      <c r="CU8" s="299"/>
      <c r="CV8" s="299"/>
    </row>
    <row r="9" spans="1:100" s="517" customFormat="1" ht="15.6">
      <c r="A9" s="457"/>
      <c r="B9" s="457" t="s">
        <v>12</v>
      </c>
      <c r="C9" s="817" t="str">
        <f>'Sch-1'!C9</f>
        <v/>
      </c>
      <c r="D9" s="817"/>
      <c r="E9" s="817"/>
      <c r="F9" s="817"/>
      <c r="G9" s="257"/>
      <c r="H9" s="257"/>
      <c r="I9" s="257"/>
      <c r="J9" s="257"/>
      <c r="K9" s="95" t="s">
        <v>2</v>
      </c>
      <c r="L9" s="24"/>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299"/>
      <c r="BA9" s="299"/>
      <c r="BB9" s="299"/>
      <c r="BC9" s="299"/>
      <c r="BD9" s="299"/>
      <c r="BE9" s="299"/>
      <c r="BF9" s="299"/>
      <c r="BG9" s="299"/>
      <c r="BH9" s="299"/>
      <c r="BI9" s="299"/>
      <c r="BJ9" s="299"/>
      <c r="BK9" s="299"/>
      <c r="BL9" s="299"/>
      <c r="BM9" s="299"/>
      <c r="BN9" s="299"/>
      <c r="BO9" s="299"/>
      <c r="BP9" s="299"/>
      <c r="BQ9" s="299"/>
      <c r="BR9" s="299"/>
      <c r="BS9" s="299"/>
      <c r="BT9" s="299"/>
      <c r="BU9" s="299"/>
      <c r="BV9" s="299"/>
      <c r="BW9" s="299"/>
      <c r="BX9" s="299"/>
      <c r="BY9" s="299"/>
      <c r="BZ9" s="299"/>
      <c r="CA9" s="299"/>
      <c r="CB9" s="299"/>
      <c r="CC9" s="299"/>
      <c r="CD9" s="299"/>
      <c r="CE9" s="299"/>
      <c r="CF9" s="299"/>
      <c r="CG9" s="299"/>
      <c r="CH9" s="299"/>
      <c r="CI9" s="299"/>
      <c r="CJ9" s="299"/>
      <c r="CK9" s="299"/>
      <c r="CL9" s="299"/>
      <c r="CM9" s="299"/>
      <c r="CN9" s="299"/>
      <c r="CO9" s="299"/>
      <c r="CP9" s="299"/>
      <c r="CQ9" s="299"/>
      <c r="CR9" s="299"/>
      <c r="CS9" s="299"/>
      <c r="CT9" s="299"/>
      <c r="CU9" s="299"/>
      <c r="CV9" s="299"/>
    </row>
    <row r="10" spans="1:100" s="517" customFormat="1" ht="15.6">
      <c r="A10" s="457"/>
      <c r="B10" s="457" t="s">
        <v>11</v>
      </c>
      <c r="C10" s="816" t="str">
        <f>'Sch-1'!C10</f>
        <v/>
      </c>
      <c r="D10" s="816"/>
      <c r="E10" s="816"/>
      <c r="F10" s="816"/>
      <c r="G10" s="257"/>
      <c r="H10" s="257"/>
      <c r="I10" s="257"/>
      <c r="J10" s="257"/>
      <c r="K10" s="95" t="s">
        <v>3</v>
      </c>
      <c r="L10" s="24"/>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99"/>
      <c r="BA10" s="299"/>
      <c r="BB10" s="299"/>
      <c r="BC10" s="299"/>
      <c r="BD10" s="299"/>
      <c r="BE10" s="299"/>
      <c r="BF10" s="299"/>
      <c r="BG10" s="299"/>
      <c r="BH10" s="299"/>
      <c r="BI10" s="299"/>
      <c r="BJ10" s="299"/>
      <c r="BK10" s="299"/>
      <c r="BL10" s="299"/>
      <c r="BM10" s="299"/>
      <c r="BN10" s="299"/>
      <c r="BO10" s="299"/>
      <c r="BP10" s="299"/>
      <c r="BQ10" s="299"/>
      <c r="BR10" s="299"/>
      <c r="BS10" s="299"/>
      <c r="BT10" s="299"/>
      <c r="BU10" s="299"/>
      <c r="BV10" s="299"/>
      <c r="BW10" s="299"/>
      <c r="BX10" s="299"/>
      <c r="BY10" s="299"/>
      <c r="BZ10" s="299"/>
      <c r="CA10" s="299"/>
      <c r="CB10" s="299"/>
      <c r="CC10" s="299"/>
      <c r="CD10" s="299"/>
      <c r="CE10" s="299"/>
      <c r="CF10" s="299"/>
      <c r="CG10" s="299"/>
      <c r="CH10" s="299"/>
      <c r="CI10" s="299"/>
      <c r="CJ10" s="299"/>
      <c r="CK10" s="299"/>
      <c r="CL10" s="299"/>
      <c r="CM10" s="299"/>
      <c r="CN10" s="299"/>
      <c r="CO10" s="299"/>
      <c r="CP10" s="299"/>
      <c r="CQ10" s="299"/>
      <c r="CR10" s="299"/>
      <c r="CS10" s="299"/>
      <c r="CT10" s="299"/>
      <c r="CU10" s="299"/>
      <c r="CV10" s="299"/>
    </row>
    <row r="11" spans="1:100" s="517" customFormat="1" ht="15.6">
      <c r="A11" s="404"/>
      <c r="B11" s="404"/>
      <c r="C11" s="816" t="str">
        <f>'Sch-1'!C11</f>
        <v/>
      </c>
      <c r="D11" s="816"/>
      <c r="E11" s="816"/>
      <c r="F11" s="816"/>
      <c r="G11" s="257"/>
      <c r="H11" s="257"/>
      <c r="I11" s="257"/>
      <c r="J11" s="257"/>
      <c r="K11" s="95" t="s">
        <v>4</v>
      </c>
      <c r="L11" s="24"/>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c r="BA11" s="299"/>
      <c r="BB11" s="299"/>
      <c r="BC11" s="299"/>
      <c r="BD11" s="299"/>
      <c r="BE11" s="299"/>
      <c r="BF11" s="299"/>
      <c r="BG11" s="299"/>
      <c r="BH11" s="299"/>
      <c r="BI11" s="299"/>
      <c r="BJ11" s="299"/>
      <c r="BK11" s="299"/>
      <c r="BL11" s="299"/>
      <c r="BM11" s="299"/>
      <c r="BN11" s="299"/>
      <c r="BO11" s="299"/>
      <c r="BP11" s="299"/>
      <c r="BQ11" s="299"/>
      <c r="BR11" s="299"/>
      <c r="BS11" s="299"/>
      <c r="BT11" s="299"/>
      <c r="BU11" s="299"/>
      <c r="BV11" s="299"/>
      <c r="BW11" s="299"/>
      <c r="BX11" s="299"/>
      <c r="BY11" s="299"/>
      <c r="BZ11" s="299"/>
      <c r="CA11" s="299"/>
      <c r="CB11" s="299"/>
      <c r="CC11" s="299"/>
      <c r="CD11" s="299"/>
      <c r="CE11" s="299"/>
      <c r="CF11" s="299"/>
      <c r="CG11" s="299"/>
      <c r="CH11" s="299"/>
      <c r="CI11" s="299"/>
      <c r="CJ11" s="299"/>
      <c r="CK11" s="299"/>
      <c r="CL11" s="299"/>
      <c r="CM11" s="299"/>
      <c r="CN11" s="299"/>
      <c r="CO11" s="299"/>
      <c r="CP11" s="299"/>
      <c r="CQ11" s="299"/>
      <c r="CR11" s="299"/>
      <c r="CS11" s="299"/>
      <c r="CT11" s="299"/>
      <c r="CU11" s="299"/>
      <c r="CV11" s="299"/>
    </row>
    <row r="12" spans="1:100" s="517" customFormat="1" ht="15.6">
      <c r="A12" s="404"/>
      <c r="B12" s="404"/>
      <c r="C12" s="816" t="str">
        <f>'Sch-1'!C12</f>
        <v/>
      </c>
      <c r="D12" s="816"/>
      <c r="E12" s="816"/>
      <c r="F12" s="816"/>
      <c r="G12" s="257"/>
      <c r="H12" s="257"/>
      <c r="I12" s="257"/>
      <c r="J12" s="257"/>
      <c r="K12" s="95" t="s">
        <v>5</v>
      </c>
      <c r="L12" s="24"/>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299"/>
      <c r="AW12" s="299"/>
      <c r="AX12" s="299"/>
      <c r="AY12" s="299"/>
      <c r="AZ12" s="299"/>
      <c r="BA12" s="299"/>
      <c r="BB12" s="299"/>
      <c r="BC12" s="299"/>
      <c r="BD12" s="299"/>
      <c r="BE12" s="299"/>
      <c r="BF12" s="299"/>
      <c r="BG12" s="299"/>
      <c r="BH12" s="299"/>
      <c r="BI12" s="299"/>
      <c r="BJ12" s="299"/>
      <c r="BK12" s="299"/>
      <c r="BL12" s="299"/>
      <c r="BM12" s="299"/>
      <c r="BN12" s="299"/>
      <c r="BO12" s="299"/>
      <c r="BP12" s="299"/>
      <c r="BQ12" s="299"/>
      <c r="BR12" s="299"/>
      <c r="BS12" s="299"/>
      <c r="BT12" s="299"/>
      <c r="BU12" s="299"/>
      <c r="BV12" s="299"/>
      <c r="BW12" s="299"/>
      <c r="BX12" s="299"/>
      <c r="BY12" s="299"/>
      <c r="BZ12" s="299"/>
      <c r="CA12" s="299"/>
      <c r="CB12" s="299"/>
      <c r="CC12" s="299"/>
      <c r="CD12" s="299"/>
      <c r="CE12" s="299"/>
      <c r="CF12" s="299"/>
      <c r="CG12" s="299"/>
      <c r="CH12" s="299"/>
      <c r="CI12" s="299"/>
      <c r="CJ12" s="299"/>
      <c r="CK12" s="299"/>
      <c r="CL12" s="299"/>
      <c r="CM12" s="299"/>
      <c r="CN12" s="299"/>
      <c r="CO12" s="299"/>
      <c r="CP12" s="299"/>
      <c r="CQ12" s="299"/>
      <c r="CR12" s="299"/>
      <c r="CS12" s="299"/>
      <c r="CT12" s="299"/>
      <c r="CU12" s="299"/>
      <c r="CV12" s="299"/>
    </row>
    <row r="13" spans="1:100" s="299" customFormat="1" ht="21" customHeight="1">
      <c r="A13" s="304"/>
      <c r="B13" s="304"/>
      <c r="C13" s="304"/>
      <c r="D13" s="304"/>
      <c r="E13" s="304"/>
      <c r="F13" s="304"/>
      <c r="G13" s="304"/>
      <c r="H13" s="304"/>
      <c r="I13" s="393"/>
      <c r="J13" s="461"/>
      <c r="K13" s="95" t="s">
        <v>6</v>
      </c>
      <c r="L13" s="298"/>
      <c r="M13" s="298"/>
    </row>
    <row r="14" spans="1:100" s="299" customFormat="1" ht="27.9" customHeight="1">
      <c r="A14" s="919" t="s">
        <v>473</v>
      </c>
      <c r="B14" s="919"/>
      <c r="C14" s="919"/>
      <c r="D14" s="919"/>
      <c r="E14" s="919"/>
      <c r="F14" s="919"/>
      <c r="G14" s="919"/>
      <c r="H14" s="919"/>
      <c r="I14" s="919"/>
      <c r="J14" s="919"/>
      <c r="K14" s="919"/>
      <c r="L14" s="919"/>
      <c r="M14" s="919"/>
    </row>
    <row r="15" spans="1:100" s="299" customFormat="1" ht="115.5" customHeight="1">
      <c r="A15" s="514" t="s">
        <v>33</v>
      </c>
      <c r="B15" s="386" t="s">
        <v>260</v>
      </c>
      <c r="C15" s="386" t="s">
        <v>261</v>
      </c>
      <c r="D15" s="514" t="s">
        <v>39</v>
      </c>
      <c r="E15" s="518" t="s">
        <v>319</v>
      </c>
      <c r="F15" s="519" t="s">
        <v>320</v>
      </c>
      <c r="G15" s="519" t="s">
        <v>301</v>
      </c>
      <c r="H15" s="519" t="s">
        <v>310</v>
      </c>
      <c r="I15" s="515" t="s">
        <v>34</v>
      </c>
      <c r="J15" s="515" t="s">
        <v>9</v>
      </c>
      <c r="K15" s="515" t="s">
        <v>16</v>
      </c>
      <c r="L15" s="515" t="s">
        <v>35</v>
      </c>
      <c r="M15" s="516" t="s">
        <v>36</v>
      </c>
      <c r="AB15" s="299" t="s">
        <v>37</v>
      </c>
      <c r="AD15" s="299" t="s">
        <v>22</v>
      </c>
      <c r="AE15" s="299" t="s">
        <v>38</v>
      </c>
    </row>
    <row r="16" spans="1:100">
      <c r="A16" s="521"/>
      <c r="B16" s="521"/>
      <c r="C16" s="521"/>
      <c r="D16" s="521"/>
      <c r="E16" s="521"/>
      <c r="F16" s="521"/>
      <c r="G16" s="521"/>
      <c r="H16" s="521"/>
      <c r="I16" s="522"/>
      <c r="J16" s="523"/>
      <c r="K16" s="523"/>
      <c r="L16" s="523"/>
      <c r="M16" s="523"/>
    </row>
    <row r="17" spans="1:100" s="412" customFormat="1" ht="23.25" customHeight="1">
      <c r="A17" s="463"/>
      <c r="B17" s="463"/>
      <c r="C17" s="463"/>
      <c r="D17" s="463"/>
      <c r="F17" s="463"/>
      <c r="G17" s="524" t="s">
        <v>327</v>
      </c>
      <c r="H17" s="463"/>
      <c r="I17" s="463"/>
      <c r="J17" s="463"/>
      <c r="K17" s="463"/>
      <c r="L17" s="463"/>
      <c r="M17" s="463"/>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R17" s="299"/>
      <c r="AS17" s="299"/>
      <c r="AT17" s="299"/>
      <c r="AU17" s="299"/>
      <c r="AV17" s="299"/>
      <c r="AW17" s="299"/>
      <c r="AX17" s="299"/>
      <c r="AY17" s="299"/>
      <c r="AZ17" s="299"/>
      <c r="BA17" s="299"/>
      <c r="BB17" s="299"/>
      <c r="BC17" s="299"/>
      <c r="BD17" s="299"/>
      <c r="BE17" s="299"/>
      <c r="BF17" s="299"/>
      <c r="BG17" s="299"/>
      <c r="BH17" s="299"/>
      <c r="BI17" s="299"/>
      <c r="BJ17" s="299"/>
      <c r="BK17" s="299"/>
      <c r="BL17" s="299"/>
      <c r="BM17" s="299"/>
      <c r="BN17" s="299"/>
      <c r="BO17" s="299"/>
      <c r="BP17" s="299"/>
      <c r="BQ17" s="299"/>
      <c r="BR17" s="299"/>
      <c r="BS17" s="299"/>
      <c r="BT17" s="299"/>
      <c r="BU17" s="299"/>
      <c r="BV17" s="299"/>
      <c r="BW17" s="299"/>
      <c r="BX17" s="299"/>
      <c r="BY17" s="299"/>
      <c r="BZ17" s="299"/>
      <c r="CA17" s="299"/>
      <c r="CB17" s="299"/>
      <c r="CC17" s="299"/>
      <c r="CD17" s="299"/>
      <c r="CE17" s="299"/>
      <c r="CF17" s="299"/>
      <c r="CG17" s="299"/>
      <c r="CH17" s="299"/>
      <c r="CI17" s="299"/>
      <c r="CJ17" s="299"/>
      <c r="CK17" s="299"/>
      <c r="CL17" s="299"/>
      <c r="CM17" s="299"/>
      <c r="CN17" s="299"/>
      <c r="CO17" s="299"/>
      <c r="CP17" s="299"/>
      <c r="CQ17" s="299"/>
      <c r="CR17" s="299"/>
      <c r="CS17" s="299"/>
      <c r="CT17" s="299"/>
      <c r="CU17" s="299"/>
      <c r="CV17" s="299"/>
    </row>
    <row r="18" spans="1:100" ht="22.5" customHeight="1">
      <c r="A18" s="920"/>
      <c r="B18" s="920"/>
      <c r="C18" s="920"/>
      <c r="D18" s="920"/>
      <c r="E18" s="920"/>
      <c r="F18" s="920"/>
      <c r="G18" s="920"/>
      <c r="H18" s="920"/>
      <c r="I18" s="920"/>
      <c r="J18" s="525"/>
      <c r="K18" s="525"/>
      <c r="L18" s="525"/>
      <c r="M18" s="525"/>
    </row>
    <row r="19" spans="1:100" ht="26.25" customHeight="1">
      <c r="B19" s="368"/>
      <c r="C19" s="369"/>
      <c r="D19" s="369"/>
      <c r="E19" s="369"/>
      <c r="F19" s="369"/>
      <c r="G19" s="369"/>
      <c r="H19" s="369"/>
      <c r="I19" s="369"/>
      <c r="J19" s="369"/>
      <c r="K19" s="369"/>
      <c r="L19" s="370"/>
      <c r="M19" s="520"/>
    </row>
    <row r="20" spans="1:100">
      <c r="B20" s="369"/>
      <c r="C20" s="369"/>
      <c r="D20" s="369"/>
      <c r="E20" s="369"/>
      <c r="F20" s="369"/>
      <c r="G20" s="369"/>
      <c r="H20" s="369"/>
      <c r="I20" s="369"/>
      <c r="J20" s="369"/>
      <c r="K20" s="369"/>
      <c r="L20" s="371"/>
      <c r="M20" s="520"/>
    </row>
    <row r="21" spans="1:100" s="471" customFormat="1">
      <c r="B21" s="471" t="s">
        <v>307</v>
      </c>
      <c r="C21" s="921" t="str">
        <f>'Sch-6 (After Discount)'!B31</f>
        <v xml:space="preserve">  </v>
      </c>
      <c r="D21" s="922"/>
      <c r="H21" s="925" t="s">
        <v>309</v>
      </c>
      <c r="I21" s="925"/>
      <c r="J21" s="930" t="str">
        <f>'Sch-6 (After Discount)'!D31</f>
        <v/>
      </c>
      <c r="K21" s="930"/>
      <c r="L21" s="930"/>
      <c r="M21" s="930"/>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299"/>
      <c r="AP21" s="299"/>
      <c r="AQ21" s="299"/>
      <c r="AR21" s="299"/>
      <c r="AS21" s="299"/>
      <c r="AT21" s="299"/>
      <c r="AU21" s="299"/>
      <c r="AV21" s="299"/>
      <c r="AW21" s="299"/>
      <c r="AX21" s="299"/>
      <c r="AY21" s="299"/>
      <c r="AZ21" s="299"/>
      <c r="BA21" s="299"/>
      <c r="BB21" s="299"/>
      <c r="BC21" s="299"/>
      <c r="BD21" s="299"/>
      <c r="BE21" s="299"/>
      <c r="BF21" s="299"/>
      <c r="BG21" s="299"/>
      <c r="BH21" s="299"/>
      <c r="BI21" s="299"/>
      <c r="BJ21" s="299"/>
      <c r="BK21" s="299"/>
      <c r="BL21" s="299"/>
      <c r="BM21" s="299"/>
      <c r="BN21" s="299"/>
      <c r="BO21" s="299"/>
      <c r="BP21" s="299"/>
      <c r="BQ21" s="299"/>
      <c r="BR21" s="299"/>
      <c r="BS21" s="299"/>
      <c r="BT21" s="299"/>
      <c r="BU21" s="299"/>
      <c r="BV21" s="299"/>
      <c r="BW21" s="299"/>
      <c r="BX21" s="299"/>
      <c r="BY21" s="299"/>
      <c r="BZ21" s="299"/>
      <c r="CA21" s="299"/>
      <c r="CB21" s="299"/>
      <c r="CC21" s="299"/>
      <c r="CD21" s="299"/>
      <c r="CE21" s="299"/>
      <c r="CF21" s="299"/>
      <c r="CG21" s="299"/>
      <c r="CH21" s="299"/>
      <c r="CI21" s="299"/>
      <c r="CJ21" s="299"/>
      <c r="CK21" s="299"/>
      <c r="CL21" s="299"/>
      <c r="CM21" s="299"/>
      <c r="CN21" s="299"/>
      <c r="CO21" s="299"/>
      <c r="CP21" s="299"/>
      <c r="CQ21" s="299"/>
      <c r="CR21" s="299"/>
      <c r="CS21" s="299"/>
      <c r="CT21" s="299"/>
      <c r="CU21" s="299"/>
      <c r="CV21" s="299"/>
    </row>
    <row r="22" spans="1:100" s="471" customFormat="1" ht="16.5" customHeight="1">
      <c r="B22" s="471" t="s">
        <v>308</v>
      </c>
      <c r="C22" s="931" t="str">
        <f>'Sch-6'!B32</f>
        <v/>
      </c>
      <c r="D22" s="922"/>
      <c r="H22" s="925" t="s">
        <v>124</v>
      </c>
      <c r="I22" s="925"/>
      <c r="J22" s="930" t="str">
        <f>'Sch-6 (After Discount)'!D32</f>
        <v/>
      </c>
      <c r="K22" s="930"/>
      <c r="L22" s="930"/>
      <c r="M22" s="930"/>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299"/>
      <c r="BA22" s="299"/>
      <c r="BB22" s="299"/>
      <c r="BC22" s="299"/>
      <c r="BD22" s="299"/>
      <c r="BE22" s="299"/>
      <c r="BF22" s="299"/>
      <c r="BG22" s="299"/>
      <c r="BH22" s="299"/>
      <c r="BI22" s="299"/>
      <c r="BJ22" s="299"/>
      <c r="BK22" s="299"/>
      <c r="BL22" s="299"/>
      <c r="BM22" s="299"/>
      <c r="BN22" s="299"/>
      <c r="BO22" s="299"/>
      <c r="BP22" s="299"/>
      <c r="BQ22" s="299"/>
      <c r="BR22" s="299"/>
      <c r="BS22" s="299"/>
      <c r="BT22" s="299"/>
      <c r="BU22" s="299"/>
      <c r="BV22" s="299"/>
      <c r="BW22" s="299"/>
      <c r="BX22" s="299"/>
      <c r="BY22" s="299"/>
      <c r="BZ22" s="299"/>
      <c r="CA22" s="299"/>
      <c r="CB22" s="299"/>
      <c r="CC22" s="299"/>
      <c r="CD22" s="299"/>
      <c r="CE22" s="299"/>
      <c r="CF22" s="299"/>
      <c r="CG22" s="299"/>
      <c r="CH22" s="299"/>
      <c r="CI22" s="299"/>
      <c r="CJ22" s="299"/>
      <c r="CK22" s="299"/>
      <c r="CL22" s="299"/>
      <c r="CM22" s="299"/>
      <c r="CN22" s="299"/>
      <c r="CO22" s="299"/>
      <c r="CP22" s="299"/>
      <c r="CQ22" s="299"/>
      <c r="CR22" s="299"/>
      <c r="CS22" s="299"/>
      <c r="CT22" s="299"/>
      <c r="CU22" s="299"/>
      <c r="CV22" s="299"/>
    </row>
    <row r="23" spans="1:100">
      <c r="B23" s="923"/>
      <c r="C23" s="923"/>
      <c r="D23" s="923"/>
      <c r="E23" s="923"/>
      <c r="F23" s="923"/>
      <c r="G23" s="923"/>
      <c r="H23" s="923"/>
      <c r="I23" s="923"/>
      <c r="J23" s="923"/>
      <c r="K23" s="923"/>
      <c r="L23" s="923"/>
      <c r="M23" s="520"/>
    </row>
    <row r="24" spans="1:100">
      <c r="B24" s="372"/>
      <c r="C24" s="372"/>
      <c r="D24" s="924"/>
      <c r="E24" s="924"/>
      <c r="F24" s="924"/>
      <c r="G24" s="924"/>
      <c r="H24" s="924"/>
      <c r="I24" s="924"/>
      <c r="J24" s="924"/>
      <c r="K24" s="924"/>
      <c r="L24" s="924"/>
      <c r="M24" s="520"/>
    </row>
    <row r="25" spans="1:100">
      <c r="B25" s="373"/>
      <c r="C25" s="374"/>
      <c r="D25" s="924"/>
      <c r="E25" s="924"/>
      <c r="F25" s="924"/>
      <c r="G25" s="924"/>
      <c r="H25" s="924"/>
      <c r="I25" s="924"/>
      <c r="J25" s="924"/>
      <c r="K25" s="924"/>
      <c r="L25" s="924"/>
      <c r="M25" s="520"/>
    </row>
    <row r="26" spans="1:100">
      <c r="B26" s="373"/>
      <c r="C26" s="375"/>
      <c r="D26" s="924"/>
      <c r="E26" s="924"/>
      <c r="F26" s="924"/>
      <c r="G26" s="924"/>
      <c r="H26" s="924"/>
      <c r="I26" s="924"/>
      <c r="J26" s="924"/>
      <c r="K26" s="924"/>
      <c r="L26" s="924"/>
      <c r="M26" s="520"/>
    </row>
    <row r="27" spans="1:100">
      <c r="B27" s="23"/>
      <c r="C27" s="22"/>
      <c r="D27" s="924"/>
      <c r="E27" s="924"/>
      <c r="F27" s="924"/>
      <c r="G27" s="924"/>
      <c r="H27" s="924"/>
      <c r="I27" s="924"/>
      <c r="J27" s="924"/>
      <c r="K27" s="924"/>
      <c r="L27" s="924"/>
      <c r="M27" s="520"/>
    </row>
    <row r="28" spans="1:100">
      <c r="B28" s="23"/>
      <c r="C28" s="22"/>
      <c r="D28" s="376"/>
      <c r="E28" s="376"/>
      <c r="F28" s="376"/>
      <c r="G28" s="376"/>
      <c r="H28" s="376"/>
      <c r="I28" s="376"/>
      <c r="J28" s="376"/>
      <c r="K28" s="376"/>
      <c r="L28" s="376"/>
      <c r="M28" s="520"/>
    </row>
    <row r="29" spans="1:100">
      <c r="B29" s="377"/>
      <c r="C29" s="926"/>
      <c r="D29" s="926"/>
      <c r="E29" s="926"/>
      <c r="F29" s="926"/>
      <c r="G29" s="926"/>
      <c r="H29" s="926"/>
      <c r="I29" s="926"/>
      <c r="J29" s="926"/>
      <c r="K29" s="926"/>
      <c r="L29" s="378"/>
      <c r="M29" s="520"/>
    </row>
    <row r="59" spans="1:100" s="260" customFormat="1">
      <c r="A59" s="265"/>
      <c r="B59" s="265"/>
      <c r="C59" s="265"/>
      <c r="D59" s="265"/>
      <c r="E59" s="265"/>
      <c r="F59" s="265"/>
      <c r="G59" s="265"/>
      <c r="H59" s="265"/>
      <c r="I59" s="394"/>
      <c r="J59" s="266"/>
      <c r="K59" s="266"/>
      <c r="L59" s="266"/>
      <c r="M59" s="266"/>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c r="AN59" s="299"/>
      <c r="AO59" s="299"/>
      <c r="AP59" s="299"/>
      <c r="AQ59" s="299"/>
      <c r="AR59" s="299"/>
      <c r="AS59" s="299"/>
      <c r="AT59" s="299"/>
      <c r="AU59" s="299"/>
      <c r="AV59" s="299"/>
      <c r="AW59" s="299"/>
      <c r="AX59" s="299"/>
      <c r="AY59" s="299"/>
      <c r="AZ59" s="299"/>
      <c r="BA59" s="299"/>
      <c r="BB59" s="299"/>
      <c r="BC59" s="299"/>
      <c r="BD59" s="299"/>
      <c r="BE59" s="299"/>
      <c r="BF59" s="299"/>
      <c r="BG59" s="299"/>
      <c r="BH59" s="299"/>
      <c r="BI59" s="299"/>
      <c r="BJ59" s="299"/>
      <c r="BK59" s="299"/>
      <c r="BL59" s="299"/>
      <c r="BM59" s="299"/>
      <c r="BN59" s="299"/>
      <c r="BO59" s="299"/>
      <c r="BP59" s="299"/>
      <c r="BQ59" s="299"/>
      <c r="BR59" s="299"/>
      <c r="BS59" s="299"/>
      <c r="BT59" s="299"/>
      <c r="BU59" s="299"/>
      <c r="BV59" s="299"/>
      <c r="BW59" s="299"/>
      <c r="BX59" s="299"/>
      <c r="BY59" s="299"/>
      <c r="BZ59" s="299"/>
      <c r="CA59" s="299"/>
      <c r="CB59" s="299"/>
      <c r="CC59" s="299"/>
      <c r="CD59" s="299"/>
      <c r="CE59" s="299"/>
      <c r="CF59" s="299"/>
      <c r="CG59" s="299"/>
      <c r="CH59" s="299"/>
      <c r="CI59" s="299"/>
      <c r="CJ59" s="299"/>
      <c r="CK59" s="299"/>
      <c r="CL59" s="299"/>
      <c r="CM59" s="299"/>
      <c r="CN59" s="299"/>
      <c r="CO59" s="299"/>
      <c r="CP59" s="299"/>
      <c r="CQ59" s="299"/>
      <c r="CR59" s="299"/>
      <c r="CS59" s="299"/>
      <c r="CT59" s="299"/>
      <c r="CU59" s="299"/>
      <c r="CV59" s="299"/>
    </row>
    <row r="60" spans="1:100" s="260" customFormat="1">
      <c r="A60" s="265"/>
      <c r="B60" s="265"/>
      <c r="C60" s="265"/>
      <c r="D60" s="265"/>
      <c r="E60" s="265"/>
      <c r="F60" s="265"/>
      <c r="G60" s="265"/>
      <c r="H60" s="265"/>
      <c r="I60" s="394"/>
      <c r="J60" s="266"/>
      <c r="K60" s="266"/>
      <c r="L60" s="266"/>
      <c r="M60" s="266"/>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299"/>
      <c r="AL60" s="299"/>
      <c r="AM60" s="299"/>
      <c r="AN60" s="299"/>
      <c r="AO60" s="299"/>
      <c r="AP60" s="299"/>
      <c r="AQ60" s="299"/>
      <c r="AR60" s="299"/>
      <c r="AS60" s="299"/>
      <c r="AT60" s="299"/>
      <c r="AU60" s="299"/>
      <c r="AV60" s="299"/>
      <c r="AW60" s="299"/>
      <c r="AX60" s="299"/>
      <c r="AY60" s="299"/>
      <c r="AZ60" s="299"/>
      <c r="BA60" s="299"/>
      <c r="BB60" s="299"/>
      <c r="BC60" s="299"/>
      <c r="BD60" s="299"/>
      <c r="BE60" s="299"/>
      <c r="BF60" s="299"/>
      <c r="BG60" s="299"/>
      <c r="BH60" s="299"/>
      <c r="BI60" s="299"/>
      <c r="BJ60" s="299"/>
      <c r="BK60" s="299"/>
      <c r="BL60" s="299"/>
      <c r="BM60" s="299"/>
      <c r="BN60" s="299"/>
      <c r="BO60" s="299"/>
      <c r="BP60" s="299"/>
      <c r="BQ60" s="299"/>
      <c r="BR60" s="299"/>
      <c r="BS60" s="299"/>
      <c r="BT60" s="299"/>
      <c r="BU60" s="299"/>
      <c r="BV60" s="299"/>
      <c r="BW60" s="299"/>
      <c r="BX60" s="299"/>
      <c r="BY60" s="299"/>
      <c r="BZ60" s="299"/>
      <c r="CA60" s="299"/>
      <c r="CB60" s="299"/>
      <c r="CC60" s="299"/>
      <c r="CD60" s="299"/>
      <c r="CE60" s="299"/>
      <c r="CF60" s="299"/>
      <c r="CG60" s="299"/>
      <c r="CH60" s="299"/>
      <c r="CI60" s="299"/>
      <c r="CJ60" s="299"/>
      <c r="CK60" s="299"/>
      <c r="CL60" s="299"/>
      <c r="CM60" s="299"/>
      <c r="CN60" s="299"/>
      <c r="CO60" s="299"/>
      <c r="CP60" s="299"/>
      <c r="CQ60" s="299"/>
      <c r="CR60" s="299"/>
      <c r="CS60" s="299"/>
      <c r="CT60" s="299"/>
      <c r="CU60" s="299"/>
      <c r="CV60" s="299"/>
    </row>
    <row r="61" spans="1:100" s="260" customFormat="1">
      <c r="A61" s="265"/>
      <c r="B61" s="265"/>
      <c r="C61" s="265"/>
      <c r="D61" s="265"/>
      <c r="E61" s="265"/>
      <c r="F61" s="265"/>
      <c r="G61" s="265"/>
      <c r="H61" s="265"/>
      <c r="I61" s="394"/>
      <c r="J61" s="266"/>
      <c r="K61" s="266"/>
      <c r="L61" s="266"/>
      <c r="M61" s="266"/>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299"/>
      <c r="AL61" s="299"/>
      <c r="AM61" s="299"/>
      <c r="AN61" s="299"/>
      <c r="AO61" s="299"/>
      <c r="AP61" s="299"/>
      <c r="AQ61" s="299"/>
      <c r="AR61" s="299"/>
      <c r="AS61" s="299"/>
      <c r="AT61" s="299"/>
      <c r="AU61" s="299"/>
      <c r="AV61" s="299"/>
      <c r="AW61" s="299"/>
      <c r="AX61" s="299"/>
      <c r="AY61" s="299"/>
      <c r="AZ61" s="299"/>
      <c r="BA61" s="299"/>
      <c r="BB61" s="299"/>
      <c r="BC61" s="299"/>
      <c r="BD61" s="299"/>
      <c r="BE61" s="299"/>
      <c r="BF61" s="299"/>
      <c r="BG61" s="299"/>
      <c r="BH61" s="299"/>
      <c r="BI61" s="299"/>
      <c r="BJ61" s="299"/>
      <c r="BK61" s="299"/>
      <c r="BL61" s="299"/>
      <c r="BM61" s="299"/>
      <c r="BN61" s="299"/>
      <c r="BO61" s="299"/>
      <c r="BP61" s="299"/>
      <c r="BQ61" s="299"/>
      <c r="BR61" s="299"/>
      <c r="BS61" s="299"/>
      <c r="BT61" s="299"/>
      <c r="BU61" s="299"/>
      <c r="BV61" s="299"/>
      <c r="BW61" s="299"/>
      <c r="BX61" s="299"/>
      <c r="BY61" s="299"/>
      <c r="BZ61" s="299"/>
      <c r="CA61" s="299"/>
      <c r="CB61" s="299"/>
      <c r="CC61" s="299"/>
      <c r="CD61" s="299"/>
      <c r="CE61" s="299"/>
      <c r="CF61" s="299"/>
      <c r="CG61" s="299"/>
      <c r="CH61" s="299"/>
      <c r="CI61" s="299"/>
      <c r="CJ61" s="299"/>
      <c r="CK61" s="299"/>
      <c r="CL61" s="299"/>
      <c r="CM61" s="299"/>
      <c r="CN61" s="299"/>
      <c r="CO61" s="299"/>
      <c r="CP61" s="299"/>
      <c r="CQ61" s="299"/>
      <c r="CR61" s="299"/>
      <c r="CS61" s="299"/>
      <c r="CT61" s="299"/>
      <c r="CU61" s="299"/>
      <c r="CV61" s="299"/>
    </row>
    <row r="62" spans="1:100" s="269" customFormat="1" ht="16.5" hidden="1" customHeight="1">
      <c r="A62" s="267" t="str">
        <f>A1</f>
        <v>Specification No. : 5002002268/TOWER/DOM/A00 - CC CS -1</v>
      </c>
      <c r="B62" s="267"/>
      <c r="C62" s="267"/>
      <c r="D62" s="267"/>
      <c r="E62" s="267"/>
      <c r="F62" s="267"/>
      <c r="G62" s="267"/>
      <c r="H62" s="267"/>
      <c r="I62" s="395"/>
      <c r="J62" s="268"/>
      <c r="K62" s="268"/>
      <c r="L62" s="268"/>
      <c r="M62" s="268"/>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299"/>
      <c r="AM62" s="299"/>
      <c r="AN62" s="299"/>
      <c r="AO62" s="299"/>
      <c r="AP62" s="299"/>
      <c r="AQ62" s="299"/>
      <c r="AR62" s="299"/>
      <c r="AS62" s="299"/>
      <c r="AT62" s="299"/>
      <c r="AU62" s="299"/>
      <c r="AV62" s="299"/>
      <c r="AW62" s="299"/>
      <c r="AX62" s="299"/>
      <c r="AY62" s="299"/>
      <c r="AZ62" s="299"/>
      <c r="BA62" s="299"/>
      <c r="BB62" s="299"/>
      <c r="BC62" s="299"/>
      <c r="BD62" s="299"/>
      <c r="BE62" s="299"/>
      <c r="BF62" s="299"/>
      <c r="BG62" s="299"/>
      <c r="BH62" s="299"/>
      <c r="BI62" s="299"/>
      <c r="BJ62" s="299"/>
      <c r="BK62" s="299"/>
      <c r="BL62" s="299"/>
      <c r="BM62" s="299"/>
      <c r="BN62" s="299"/>
      <c r="BO62" s="299"/>
      <c r="BP62" s="299"/>
      <c r="BQ62" s="299"/>
      <c r="BR62" s="299"/>
      <c r="BS62" s="299"/>
      <c r="BT62" s="299"/>
      <c r="BU62" s="299"/>
      <c r="BV62" s="299"/>
      <c r="BW62" s="299"/>
      <c r="BX62" s="299"/>
      <c r="BY62" s="299"/>
      <c r="BZ62" s="299"/>
      <c r="CA62" s="299"/>
      <c r="CB62" s="299"/>
      <c r="CC62" s="299"/>
      <c r="CD62" s="299"/>
      <c r="CE62" s="299"/>
      <c r="CF62" s="299"/>
      <c r="CG62" s="299"/>
      <c r="CH62" s="299"/>
      <c r="CI62" s="299"/>
      <c r="CJ62" s="299"/>
      <c r="CK62" s="299"/>
      <c r="CL62" s="299"/>
      <c r="CM62" s="299"/>
      <c r="CN62" s="299"/>
      <c r="CO62" s="299"/>
      <c r="CP62" s="299"/>
      <c r="CQ62" s="299"/>
      <c r="CR62" s="299"/>
      <c r="CS62" s="299"/>
      <c r="CT62" s="299"/>
      <c r="CU62" s="299"/>
      <c r="CV62" s="299"/>
    </row>
    <row r="63" spans="1:100" s="269" customFormat="1" ht="16.5" hidden="1" customHeight="1">
      <c r="A63" s="262"/>
      <c r="B63" s="262"/>
      <c r="C63" s="262"/>
      <c r="D63" s="262"/>
      <c r="E63" s="262"/>
      <c r="F63" s="262"/>
      <c r="G63" s="262"/>
      <c r="H63" s="262"/>
      <c r="I63" s="396"/>
      <c r="J63" s="263"/>
      <c r="K63" s="263"/>
      <c r="L63" s="263"/>
      <c r="M63" s="263"/>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c r="AK63" s="299"/>
      <c r="AL63" s="299"/>
      <c r="AM63" s="299"/>
      <c r="AN63" s="299"/>
      <c r="AO63" s="299"/>
      <c r="AP63" s="299"/>
      <c r="AQ63" s="299"/>
      <c r="AR63" s="299"/>
      <c r="AS63" s="299"/>
      <c r="AT63" s="299"/>
      <c r="AU63" s="299"/>
      <c r="AV63" s="299"/>
      <c r="AW63" s="299"/>
      <c r="AX63" s="299"/>
      <c r="AY63" s="299"/>
      <c r="AZ63" s="299"/>
      <c r="BA63" s="299"/>
      <c r="BB63" s="299"/>
      <c r="BC63" s="299"/>
      <c r="BD63" s="299"/>
      <c r="BE63" s="299"/>
      <c r="BF63" s="299"/>
      <c r="BG63" s="299"/>
      <c r="BH63" s="299"/>
      <c r="BI63" s="299"/>
      <c r="BJ63" s="299"/>
      <c r="BK63" s="299"/>
      <c r="BL63" s="299"/>
      <c r="BM63" s="299"/>
      <c r="BN63" s="299"/>
      <c r="BO63" s="299"/>
      <c r="BP63" s="299"/>
      <c r="BQ63" s="299"/>
      <c r="BR63" s="299"/>
      <c r="BS63" s="299"/>
      <c r="BT63" s="299"/>
      <c r="BU63" s="299"/>
      <c r="BV63" s="299"/>
      <c r="BW63" s="299"/>
      <c r="BX63" s="299"/>
      <c r="BY63" s="299"/>
      <c r="BZ63" s="299"/>
      <c r="CA63" s="299"/>
      <c r="CB63" s="299"/>
      <c r="CC63" s="299"/>
      <c r="CD63" s="299"/>
      <c r="CE63" s="299"/>
      <c r="CF63" s="299"/>
      <c r="CG63" s="299"/>
      <c r="CH63" s="299"/>
      <c r="CI63" s="299"/>
      <c r="CJ63" s="299"/>
      <c r="CK63" s="299"/>
      <c r="CL63" s="299"/>
      <c r="CM63" s="299"/>
      <c r="CN63" s="299"/>
      <c r="CO63" s="299"/>
      <c r="CP63" s="299"/>
      <c r="CQ63" s="299"/>
      <c r="CR63" s="299"/>
      <c r="CS63" s="299"/>
      <c r="CT63" s="299"/>
      <c r="CU63" s="299"/>
      <c r="CV63" s="299"/>
    </row>
    <row r="64" spans="1:100" s="269" customFormat="1" ht="35.25" hidden="1" customHeight="1">
      <c r="A64" s="927" t="str">
        <f>A3</f>
        <v>Transmission Line Tower Package-TW01 including Design &amp; Testing of towers, Design of foundation, Supply of HTLS conductor, Composite long rod insulators, Earthwire/OPGW, Hardware Fittings, Accessories for Conductor &amp; Earthwire for M/C portion of (i) 400 kV D/C (Twin HTLS) Navasari (New) (South Gujarat)-Kala line and (ii) 400 kV D/C (Twin HTLS) Navasari (New) (South Gujarat)-Magarwada line and for D/C portion of (i) 400 kV D/C (twin HTLS) Navasari (New) (South Gujarat)-Kala line (From M/c line common point near Magarwada SS to Kala SS) associated with Transmission Network Expansion in Gujarat to increase its ATC from ISTS: Part B.</v>
      </c>
      <c r="B64" s="927"/>
      <c r="C64" s="927"/>
      <c r="D64" s="927"/>
      <c r="E64" s="927"/>
      <c r="F64" s="927"/>
      <c r="G64" s="927"/>
      <c r="H64" s="927"/>
      <c r="I64" s="927">
        <f>I3</f>
        <v>0</v>
      </c>
      <c r="J64" s="927">
        <f>J3</f>
        <v>0</v>
      </c>
      <c r="K64" s="927"/>
      <c r="L64" s="927"/>
      <c r="M64" s="927"/>
      <c r="N64" s="299"/>
      <c r="O64" s="299"/>
      <c r="P64" s="299"/>
      <c r="Q64" s="299"/>
      <c r="R64" s="299"/>
      <c r="S64" s="299"/>
      <c r="T64" s="299"/>
      <c r="U64" s="299"/>
      <c r="V64" s="299"/>
      <c r="W64" s="299"/>
      <c r="X64" s="299"/>
      <c r="Y64" s="299"/>
      <c r="Z64" s="299"/>
      <c r="AA64" s="299"/>
      <c r="AB64" s="299"/>
      <c r="AC64" s="299"/>
      <c r="AD64" s="299"/>
      <c r="AE64" s="299"/>
      <c r="AF64" s="299"/>
      <c r="AG64" s="299"/>
      <c r="AH64" s="299"/>
      <c r="AI64" s="299"/>
      <c r="AJ64" s="299"/>
      <c r="AK64" s="299"/>
      <c r="AL64" s="299"/>
      <c r="AM64" s="299"/>
      <c r="AN64" s="299"/>
      <c r="AO64" s="299"/>
      <c r="AP64" s="299"/>
      <c r="AQ64" s="299"/>
      <c r="AR64" s="299"/>
      <c r="AS64" s="299"/>
      <c r="AT64" s="299"/>
      <c r="AU64" s="299"/>
      <c r="AV64" s="299"/>
      <c r="AW64" s="299"/>
      <c r="AX64" s="299"/>
      <c r="AY64" s="299"/>
      <c r="AZ64" s="299"/>
      <c r="BA64" s="299"/>
      <c r="BB64" s="299"/>
      <c r="BC64" s="299"/>
      <c r="BD64" s="299"/>
      <c r="BE64" s="299"/>
      <c r="BF64" s="299"/>
      <c r="BG64" s="299"/>
      <c r="BH64" s="299"/>
      <c r="BI64" s="299"/>
      <c r="BJ64" s="299"/>
      <c r="BK64" s="299"/>
      <c r="BL64" s="299"/>
      <c r="BM64" s="299"/>
      <c r="BN64" s="299"/>
      <c r="BO64" s="299"/>
      <c r="BP64" s="299"/>
      <c r="BQ64" s="299"/>
      <c r="BR64" s="299"/>
      <c r="BS64" s="299"/>
      <c r="BT64" s="299"/>
      <c r="BU64" s="299"/>
      <c r="BV64" s="299"/>
      <c r="BW64" s="299"/>
      <c r="BX64" s="299"/>
      <c r="BY64" s="299"/>
      <c r="BZ64" s="299"/>
      <c r="CA64" s="299"/>
      <c r="CB64" s="299"/>
      <c r="CC64" s="299"/>
      <c r="CD64" s="299"/>
      <c r="CE64" s="299"/>
      <c r="CF64" s="299"/>
      <c r="CG64" s="299"/>
      <c r="CH64" s="299"/>
      <c r="CI64" s="299"/>
      <c r="CJ64" s="299"/>
      <c r="CK64" s="299"/>
      <c r="CL64" s="299"/>
      <c r="CM64" s="299"/>
      <c r="CN64" s="299"/>
      <c r="CO64" s="299"/>
      <c r="CP64" s="299"/>
      <c r="CQ64" s="299"/>
      <c r="CR64" s="299"/>
      <c r="CS64" s="299"/>
      <c r="CT64" s="299"/>
      <c r="CU64" s="299"/>
      <c r="CV64" s="299"/>
    </row>
    <row r="65" spans="1:100" s="269" customFormat="1" ht="16.5" hidden="1" customHeight="1">
      <c r="A65" s="918" t="str">
        <f>A4</f>
        <v>(SCHEDULE OF RATES AND PRICES )</v>
      </c>
      <c r="B65" s="918"/>
      <c r="C65" s="918"/>
      <c r="D65" s="918"/>
      <c r="E65" s="918"/>
      <c r="F65" s="918"/>
      <c r="G65" s="918"/>
      <c r="H65" s="918"/>
      <c r="I65" s="918">
        <f>I4</f>
        <v>0</v>
      </c>
      <c r="J65" s="918">
        <f>J4</f>
        <v>0</v>
      </c>
      <c r="K65" s="918"/>
      <c r="L65" s="918"/>
      <c r="M65" s="918"/>
      <c r="N65" s="299"/>
      <c r="O65" s="299"/>
      <c r="P65" s="299"/>
      <c r="Q65" s="299"/>
      <c r="R65" s="299"/>
      <c r="S65" s="299"/>
      <c r="T65" s="299"/>
      <c r="U65" s="299"/>
      <c r="V65" s="299"/>
      <c r="W65" s="299"/>
      <c r="X65" s="299"/>
      <c r="Y65" s="299"/>
      <c r="Z65" s="299"/>
      <c r="AA65" s="299"/>
      <c r="AB65" s="299"/>
      <c r="AC65" s="299"/>
      <c r="AD65" s="299"/>
      <c r="AE65" s="299"/>
      <c r="AF65" s="299"/>
      <c r="AG65" s="299"/>
      <c r="AH65" s="299"/>
      <c r="AI65" s="299"/>
      <c r="AJ65" s="299"/>
      <c r="AK65" s="299"/>
      <c r="AL65" s="299"/>
      <c r="AM65" s="299"/>
      <c r="AN65" s="299"/>
      <c r="AO65" s="299"/>
      <c r="AP65" s="299"/>
      <c r="AQ65" s="299"/>
      <c r="AR65" s="299"/>
      <c r="AS65" s="299"/>
      <c r="AT65" s="299"/>
      <c r="AU65" s="299"/>
      <c r="AV65" s="299"/>
      <c r="AW65" s="299"/>
      <c r="AX65" s="299"/>
      <c r="AY65" s="299"/>
      <c r="AZ65" s="299"/>
      <c r="BA65" s="299"/>
      <c r="BB65" s="299"/>
      <c r="BC65" s="299"/>
      <c r="BD65" s="299"/>
      <c r="BE65" s="299"/>
      <c r="BF65" s="299"/>
      <c r="BG65" s="299"/>
      <c r="BH65" s="299"/>
      <c r="BI65" s="299"/>
      <c r="BJ65" s="299"/>
      <c r="BK65" s="299"/>
      <c r="BL65" s="299"/>
      <c r="BM65" s="299"/>
      <c r="BN65" s="299"/>
      <c r="BO65" s="299"/>
      <c r="BP65" s="299"/>
      <c r="BQ65" s="299"/>
      <c r="BR65" s="299"/>
      <c r="BS65" s="299"/>
      <c r="BT65" s="299"/>
      <c r="BU65" s="299"/>
      <c r="BV65" s="299"/>
      <c r="BW65" s="299"/>
      <c r="BX65" s="299"/>
      <c r="BY65" s="299"/>
      <c r="BZ65" s="299"/>
      <c r="CA65" s="299"/>
      <c r="CB65" s="299"/>
      <c r="CC65" s="299"/>
      <c r="CD65" s="299"/>
      <c r="CE65" s="299"/>
      <c r="CF65" s="299"/>
      <c r="CG65" s="299"/>
      <c r="CH65" s="299"/>
      <c r="CI65" s="299"/>
      <c r="CJ65" s="299"/>
      <c r="CK65" s="299"/>
      <c r="CL65" s="299"/>
      <c r="CM65" s="299"/>
      <c r="CN65" s="299"/>
      <c r="CO65" s="299"/>
      <c r="CP65" s="299"/>
      <c r="CQ65" s="299"/>
      <c r="CR65" s="299"/>
      <c r="CS65" s="299"/>
      <c r="CT65" s="299"/>
      <c r="CU65" s="299"/>
      <c r="CV65" s="299"/>
    </row>
    <row r="66" spans="1:100" s="269" customFormat="1" ht="16.5" hidden="1" customHeight="1">
      <c r="A66" s="270"/>
      <c r="B66" s="270"/>
      <c r="C66" s="270"/>
      <c r="D66" s="270"/>
      <c r="E66" s="270"/>
      <c r="F66" s="270"/>
      <c r="G66" s="270"/>
      <c r="H66" s="270"/>
      <c r="I66" s="460"/>
      <c r="J66" s="462"/>
      <c r="K66" s="462"/>
      <c r="L66" s="462"/>
      <c r="M66" s="462"/>
      <c r="N66" s="299"/>
      <c r="O66" s="299"/>
      <c r="P66" s="299"/>
      <c r="Q66" s="299"/>
      <c r="R66" s="299"/>
      <c r="S66" s="299"/>
      <c r="T66" s="299"/>
      <c r="U66" s="299"/>
      <c r="V66" s="299"/>
      <c r="W66" s="299"/>
      <c r="X66" s="299"/>
      <c r="Y66" s="299"/>
      <c r="Z66" s="299"/>
      <c r="AA66" s="299"/>
      <c r="AB66" s="299"/>
      <c r="AC66" s="299"/>
      <c r="AD66" s="299"/>
      <c r="AE66" s="299"/>
      <c r="AF66" s="299"/>
      <c r="AG66" s="299"/>
      <c r="AH66" s="299"/>
      <c r="AI66" s="299"/>
      <c r="AJ66" s="299"/>
      <c r="AK66" s="299"/>
      <c r="AL66" s="299"/>
      <c r="AM66" s="299"/>
      <c r="AN66" s="299"/>
      <c r="AO66" s="299"/>
      <c r="AP66" s="299"/>
      <c r="AQ66" s="299"/>
      <c r="AR66" s="299"/>
      <c r="AS66" s="299"/>
      <c r="AT66" s="299"/>
      <c r="AU66" s="299"/>
      <c r="AV66" s="299"/>
      <c r="AW66" s="299"/>
      <c r="AX66" s="299"/>
      <c r="AY66" s="299"/>
      <c r="AZ66" s="299"/>
      <c r="BA66" s="299"/>
      <c r="BB66" s="299"/>
      <c r="BC66" s="299"/>
      <c r="BD66" s="299"/>
      <c r="BE66" s="299"/>
      <c r="BF66" s="299"/>
      <c r="BG66" s="299"/>
      <c r="BH66" s="299"/>
      <c r="BI66" s="299"/>
      <c r="BJ66" s="299"/>
      <c r="BK66" s="299"/>
      <c r="BL66" s="299"/>
      <c r="BM66" s="299"/>
      <c r="BN66" s="299"/>
      <c r="BO66" s="299"/>
      <c r="BP66" s="299"/>
      <c r="BQ66" s="299"/>
      <c r="BR66" s="299"/>
      <c r="BS66" s="299"/>
      <c r="BT66" s="299"/>
      <c r="BU66" s="299"/>
      <c r="BV66" s="299"/>
      <c r="BW66" s="299"/>
      <c r="BX66" s="299"/>
      <c r="BY66" s="299"/>
      <c r="BZ66" s="299"/>
      <c r="CA66" s="299"/>
      <c r="CB66" s="299"/>
      <c r="CC66" s="299"/>
      <c r="CD66" s="299"/>
      <c r="CE66" s="299"/>
      <c r="CF66" s="299"/>
      <c r="CG66" s="299"/>
      <c r="CH66" s="299"/>
      <c r="CI66" s="299"/>
      <c r="CJ66" s="299"/>
      <c r="CK66" s="299"/>
      <c r="CL66" s="299"/>
      <c r="CM66" s="299"/>
      <c r="CN66" s="299"/>
      <c r="CO66" s="299"/>
      <c r="CP66" s="299"/>
      <c r="CQ66" s="299"/>
      <c r="CR66" s="299"/>
      <c r="CS66" s="299"/>
      <c r="CT66" s="299"/>
      <c r="CU66" s="299"/>
      <c r="CV66" s="299"/>
    </row>
    <row r="67" spans="1:100" s="269" customFormat="1" ht="16.5" hidden="1" customHeight="1">
      <c r="A67" s="271" t="e">
        <f>#REF!</f>
        <v>#REF!</v>
      </c>
      <c r="B67" s="271"/>
      <c r="C67" s="271"/>
      <c r="D67" s="271"/>
      <c r="E67" s="271"/>
      <c r="F67" s="271"/>
      <c r="G67" s="271"/>
      <c r="H67" s="271"/>
      <c r="I67" s="397"/>
      <c r="J67" s="272"/>
      <c r="K67" s="272"/>
      <c r="L67" s="272"/>
      <c r="M67" s="272"/>
      <c r="N67" s="299"/>
      <c r="O67" s="299"/>
      <c r="P67" s="299"/>
      <c r="Q67" s="299"/>
      <c r="R67" s="299"/>
      <c r="S67" s="299"/>
      <c r="T67" s="299"/>
      <c r="U67" s="299"/>
      <c r="V67" s="299"/>
      <c r="W67" s="299"/>
      <c r="X67" s="299"/>
      <c r="Y67" s="299"/>
      <c r="Z67" s="299"/>
      <c r="AA67" s="299"/>
      <c r="AB67" s="299"/>
      <c r="AC67" s="299"/>
      <c r="AD67" s="299"/>
      <c r="AE67" s="299"/>
      <c r="AF67" s="299"/>
      <c r="AG67" s="299"/>
      <c r="AH67" s="299"/>
      <c r="AI67" s="299"/>
      <c r="AJ67" s="299"/>
      <c r="AK67" s="299"/>
      <c r="AL67" s="299"/>
      <c r="AM67" s="299"/>
      <c r="AN67" s="299"/>
      <c r="AO67" s="299"/>
      <c r="AP67" s="299"/>
      <c r="AQ67" s="299"/>
      <c r="AR67" s="299"/>
      <c r="AS67" s="299"/>
      <c r="AT67" s="299"/>
      <c r="AU67" s="299"/>
      <c r="AV67" s="299"/>
      <c r="AW67" s="299"/>
      <c r="AX67" s="299"/>
      <c r="AY67" s="299"/>
      <c r="AZ67" s="299"/>
      <c r="BA67" s="299"/>
      <c r="BB67" s="299"/>
      <c r="BC67" s="299"/>
      <c r="BD67" s="299"/>
      <c r="BE67" s="299"/>
      <c r="BF67" s="299"/>
      <c r="BG67" s="299"/>
      <c r="BH67" s="299"/>
      <c r="BI67" s="299"/>
      <c r="BJ67" s="299"/>
      <c r="BK67" s="299"/>
      <c r="BL67" s="299"/>
      <c r="BM67" s="299"/>
      <c r="BN67" s="299"/>
      <c r="BO67" s="299"/>
      <c r="BP67" s="299"/>
      <c r="BQ67" s="299"/>
      <c r="BR67" s="299"/>
      <c r="BS67" s="299"/>
      <c r="BT67" s="299"/>
      <c r="BU67" s="299"/>
      <c r="BV67" s="299"/>
      <c r="BW67" s="299"/>
      <c r="BX67" s="299"/>
      <c r="BY67" s="299"/>
      <c r="BZ67" s="299"/>
      <c r="CA67" s="299"/>
      <c r="CB67" s="299"/>
      <c r="CC67" s="299"/>
      <c r="CD67" s="299"/>
      <c r="CE67" s="299"/>
      <c r="CF67" s="299"/>
      <c r="CG67" s="299"/>
      <c r="CH67" s="299"/>
      <c r="CI67" s="299"/>
      <c r="CJ67" s="299"/>
      <c r="CK67" s="299"/>
      <c r="CL67" s="299"/>
      <c r="CM67" s="299"/>
      <c r="CN67" s="299"/>
      <c r="CO67" s="299"/>
      <c r="CP67" s="299"/>
      <c r="CQ67" s="299"/>
      <c r="CR67" s="299"/>
      <c r="CS67" s="299"/>
      <c r="CT67" s="299"/>
      <c r="CU67" s="299"/>
      <c r="CV67" s="299"/>
    </row>
    <row r="68" spans="1:100" s="269" customFormat="1" ht="16.5" hidden="1" customHeight="1">
      <c r="A68" s="915" t="e">
        <f>#REF!</f>
        <v>#REF!</v>
      </c>
      <c r="B68" s="915"/>
      <c r="C68" s="915"/>
      <c r="D68" s="915"/>
      <c r="E68" s="915"/>
      <c r="F68" s="915"/>
      <c r="G68" s="915"/>
      <c r="H68" s="915"/>
      <c r="I68" s="915" t="e">
        <f>#REF!</f>
        <v>#REF!</v>
      </c>
      <c r="J68" s="915" t="e">
        <f>#REF!</f>
        <v>#REF!</v>
      </c>
      <c r="K68" s="458"/>
      <c r="L68" s="458"/>
      <c r="M68" s="458"/>
      <c r="N68" s="299"/>
      <c r="O68" s="299"/>
      <c r="P68" s="299"/>
      <c r="Q68" s="299"/>
      <c r="R68" s="299"/>
      <c r="S68" s="299"/>
      <c r="T68" s="299"/>
      <c r="U68" s="299"/>
      <c r="V68" s="299"/>
      <c r="W68" s="299"/>
      <c r="X68" s="299"/>
      <c r="Y68" s="299"/>
      <c r="Z68" s="299"/>
      <c r="AA68" s="299"/>
      <c r="AB68" s="299"/>
      <c r="AC68" s="299"/>
      <c r="AD68" s="299"/>
      <c r="AE68" s="299"/>
      <c r="AF68" s="299"/>
      <c r="AG68" s="299"/>
      <c r="AH68" s="299"/>
      <c r="AI68" s="299"/>
      <c r="AJ68" s="299"/>
      <c r="AK68" s="299"/>
      <c r="AL68" s="299"/>
      <c r="AM68" s="299"/>
      <c r="AN68" s="299"/>
      <c r="AO68" s="299"/>
      <c r="AP68" s="299"/>
      <c r="AQ68" s="299"/>
      <c r="AR68" s="299"/>
      <c r="AS68" s="299"/>
      <c r="AT68" s="299"/>
      <c r="AU68" s="299"/>
      <c r="AV68" s="299"/>
      <c r="AW68" s="299"/>
      <c r="AX68" s="299"/>
      <c r="AY68" s="299"/>
      <c r="AZ68" s="299"/>
      <c r="BA68" s="299"/>
      <c r="BB68" s="299"/>
      <c r="BC68" s="299"/>
      <c r="BD68" s="299"/>
      <c r="BE68" s="299"/>
      <c r="BF68" s="299"/>
      <c r="BG68" s="299"/>
      <c r="BH68" s="299"/>
      <c r="BI68" s="299"/>
      <c r="BJ68" s="299"/>
      <c r="BK68" s="299"/>
      <c r="BL68" s="299"/>
      <c r="BM68" s="299"/>
      <c r="BN68" s="299"/>
      <c r="BO68" s="299"/>
      <c r="BP68" s="299"/>
      <c r="BQ68" s="299"/>
      <c r="BR68" s="299"/>
      <c r="BS68" s="299"/>
      <c r="BT68" s="299"/>
      <c r="BU68" s="299"/>
      <c r="BV68" s="299"/>
      <c r="BW68" s="299"/>
      <c r="BX68" s="299"/>
      <c r="BY68" s="299"/>
      <c r="BZ68" s="299"/>
      <c r="CA68" s="299"/>
      <c r="CB68" s="299"/>
      <c r="CC68" s="299"/>
      <c r="CD68" s="299"/>
      <c r="CE68" s="299"/>
      <c r="CF68" s="299"/>
      <c r="CG68" s="299"/>
      <c r="CH68" s="299"/>
      <c r="CI68" s="299"/>
      <c r="CJ68" s="299"/>
      <c r="CK68" s="299"/>
      <c r="CL68" s="299"/>
      <c r="CM68" s="299"/>
      <c r="CN68" s="299"/>
      <c r="CO68" s="299"/>
      <c r="CP68" s="299"/>
      <c r="CQ68" s="299"/>
      <c r="CR68" s="299"/>
      <c r="CS68" s="299"/>
      <c r="CT68" s="299"/>
      <c r="CU68" s="299"/>
      <c r="CV68" s="299"/>
    </row>
    <row r="69" spans="1:100" s="269" customFormat="1" ht="16.5" hidden="1" customHeight="1">
      <c r="A69" s="273" t="e">
        <f>#REF!</f>
        <v>#REF!</v>
      </c>
      <c r="B69" s="273"/>
      <c r="C69" s="273"/>
      <c r="D69" s="273"/>
      <c r="E69" s="273"/>
      <c r="F69" s="273"/>
      <c r="G69" s="273"/>
      <c r="H69" s="273"/>
      <c r="I69" s="914" t="e">
        <f>#REF!</f>
        <v>#REF!</v>
      </c>
      <c r="J69" s="914" t="e">
        <f>#REF!</f>
        <v>#REF!</v>
      </c>
      <c r="K69" s="459"/>
      <c r="L69" s="459"/>
      <c r="M69" s="459"/>
      <c r="N69" s="299"/>
      <c r="O69" s="299"/>
      <c r="P69" s="299"/>
      <c r="Q69" s="299"/>
      <c r="R69" s="299"/>
      <c r="S69" s="299"/>
      <c r="T69" s="299"/>
      <c r="U69" s="299"/>
      <c r="V69" s="299"/>
      <c r="W69" s="299"/>
      <c r="X69" s="299"/>
      <c r="Y69" s="299"/>
      <c r="Z69" s="299"/>
      <c r="AA69" s="299"/>
      <c r="AB69" s="299"/>
      <c r="AC69" s="299"/>
      <c r="AD69" s="299"/>
      <c r="AE69" s="299"/>
      <c r="AF69" s="299"/>
      <c r="AG69" s="299"/>
      <c r="AH69" s="299"/>
      <c r="AI69" s="299"/>
      <c r="AJ69" s="299"/>
      <c r="AK69" s="299"/>
      <c r="AL69" s="299"/>
      <c r="AM69" s="299"/>
      <c r="AN69" s="299"/>
      <c r="AO69" s="299"/>
      <c r="AP69" s="299"/>
      <c r="AQ69" s="299"/>
      <c r="AR69" s="299"/>
      <c r="AS69" s="299"/>
      <c r="AT69" s="299"/>
      <c r="AU69" s="299"/>
      <c r="AV69" s="299"/>
      <c r="AW69" s="299"/>
      <c r="AX69" s="299"/>
      <c r="AY69" s="299"/>
      <c r="AZ69" s="299"/>
      <c r="BA69" s="299"/>
      <c r="BB69" s="299"/>
      <c r="BC69" s="299"/>
      <c r="BD69" s="299"/>
      <c r="BE69" s="299"/>
      <c r="BF69" s="299"/>
      <c r="BG69" s="299"/>
      <c r="BH69" s="299"/>
      <c r="BI69" s="299"/>
      <c r="BJ69" s="299"/>
      <c r="BK69" s="299"/>
      <c r="BL69" s="299"/>
      <c r="BM69" s="299"/>
      <c r="BN69" s="299"/>
      <c r="BO69" s="299"/>
      <c r="BP69" s="299"/>
      <c r="BQ69" s="299"/>
      <c r="BR69" s="299"/>
      <c r="BS69" s="299"/>
      <c r="BT69" s="299"/>
      <c r="BU69" s="299"/>
      <c r="BV69" s="299"/>
      <c r="BW69" s="299"/>
      <c r="BX69" s="299"/>
      <c r="BY69" s="299"/>
      <c r="BZ69" s="299"/>
      <c r="CA69" s="299"/>
      <c r="CB69" s="299"/>
      <c r="CC69" s="299"/>
      <c r="CD69" s="299"/>
      <c r="CE69" s="299"/>
      <c r="CF69" s="299"/>
      <c r="CG69" s="299"/>
      <c r="CH69" s="299"/>
      <c r="CI69" s="299"/>
      <c r="CJ69" s="299"/>
      <c r="CK69" s="299"/>
      <c r="CL69" s="299"/>
      <c r="CM69" s="299"/>
      <c r="CN69" s="299"/>
      <c r="CO69" s="299"/>
      <c r="CP69" s="299"/>
      <c r="CQ69" s="299"/>
      <c r="CR69" s="299"/>
      <c r="CS69" s="299"/>
      <c r="CT69" s="299"/>
      <c r="CU69" s="299"/>
      <c r="CV69" s="299"/>
    </row>
    <row r="70" spans="1:100" s="269" customFormat="1" ht="16.5" hidden="1" customHeight="1">
      <c r="A70" s="273" t="e">
        <f>#REF!</f>
        <v>#REF!</v>
      </c>
      <c r="B70" s="273"/>
      <c r="C70" s="273"/>
      <c r="D70" s="273"/>
      <c r="E70" s="273"/>
      <c r="F70" s="273"/>
      <c r="G70" s="273"/>
      <c r="H70" s="273"/>
      <c r="I70" s="914" t="e">
        <f>#REF!</f>
        <v>#REF!</v>
      </c>
      <c r="J70" s="914" t="e">
        <f>#REF!</f>
        <v>#REF!</v>
      </c>
      <c r="K70" s="459"/>
      <c r="L70" s="459"/>
      <c r="M70" s="459"/>
      <c r="N70" s="299"/>
      <c r="O70" s="299"/>
      <c r="P70" s="299"/>
      <c r="Q70" s="299"/>
      <c r="R70" s="299"/>
      <c r="S70" s="299"/>
      <c r="T70" s="299"/>
      <c r="U70" s="299"/>
      <c r="V70" s="299"/>
      <c r="W70" s="299"/>
      <c r="X70" s="299"/>
      <c r="Y70" s="299"/>
      <c r="Z70" s="299"/>
      <c r="AA70" s="299"/>
      <c r="AB70" s="299"/>
      <c r="AC70" s="299"/>
      <c r="AD70" s="299"/>
      <c r="AE70" s="299"/>
      <c r="AF70" s="299"/>
      <c r="AG70" s="299"/>
      <c r="AH70" s="299"/>
      <c r="AI70" s="299"/>
      <c r="AJ70" s="299"/>
      <c r="AK70" s="299"/>
      <c r="AL70" s="299"/>
      <c r="AM70" s="299"/>
      <c r="AN70" s="299"/>
      <c r="AO70" s="299"/>
      <c r="AP70" s="299"/>
      <c r="AQ70" s="299"/>
      <c r="AR70" s="299"/>
      <c r="AS70" s="299"/>
      <c r="AT70" s="299"/>
      <c r="AU70" s="299"/>
      <c r="AV70" s="299"/>
      <c r="AW70" s="299"/>
      <c r="AX70" s="299"/>
      <c r="AY70" s="299"/>
      <c r="AZ70" s="299"/>
      <c r="BA70" s="299"/>
      <c r="BB70" s="299"/>
      <c r="BC70" s="299"/>
      <c r="BD70" s="299"/>
      <c r="BE70" s="299"/>
      <c r="BF70" s="299"/>
      <c r="BG70" s="299"/>
      <c r="BH70" s="299"/>
      <c r="BI70" s="299"/>
      <c r="BJ70" s="299"/>
      <c r="BK70" s="299"/>
      <c r="BL70" s="299"/>
      <c r="BM70" s="299"/>
      <c r="BN70" s="299"/>
      <c r="BO70" s="299"/>
      <c r="BP70" s="299"/>
      <c r="BQ70" s="299"/>
      <c r="BR70" s="299"/>
      <c r="BS70" s="299"/>
      <c r="BT70" s="299"/>
      <c r="BU70" s="299"/>
      <c r="BV70" s="299"/>
      <c r="BW70" s="299"/>
      <c r="BX70" s="299"/>
      <c r="BY70" s="299"/>
      <c r="BZ70" s="299"/>
      <c r="CA70" s="299"/>
      <c r="CB70" s="299"/>
      <c r="CC70" s="299"/>
      <c r="CD70" s="299"/>
      <c r="CE70" s="299"/>
      <c r="CF70" s="299"/>
      <c r="CG70" s="299"/>
      <c r="CH70" s="299"/>
      <c r="CI70" s="299"/>
      <c r="CJ70" s="299"/>
      <c r="CK70" s="299"/>
      <c r="CL70" s="299"/>
      <c r="CM70" s="299"/>
      <c r="CN70" s="299"/>
      <c r="CO70" s="299"/>
      <c r="CP70" s="299"/>
      <c r="CQ70" s="299"/>
      <c r="CR70" s="299"/>
      <c r="CS70" s="299"/>
      <c r="CT70" s="299"/>
      <c r="CU70" s="299"/>
      <c r="CV70" s="299"/>
    </row>
    <row r="71" spans="1:100" s="269" customFormat="1" ht="16.5" hidden="1" customHeight="1">
      <c r="A71" s="274"/>
      <c r="B71" s="274"/>
      <c r="C71" s="274"/>
      <c r="D71" s="274"/>
      <c r="E71" s="274"/>
      <c r="F71" s="274"/>
      <c r="G71" s="274"/>
      <c r="H71" s="274"/>
      <c r="I71" s="914" t="e">
        <f>#REF!</f>
        <v>#REF!</v>
      </c>
      <c r="J71" s="914" t="e">
        <f>#REF!</f>
        <v>#REF!</v>
      </c>
      <c r="K71" s="459"/>
      <c r="L71" s="459"/>
      <c r="M71" s="459"/>
      <c r="N71" s="299"/>
      <c r="O71" s="299"/>
      <c r="P71" s="299"/>
      <c r="Q71" s="299"/>
      <c r="R71" s="299"/>
      <c r="S71" s="299"/>
      <c r="T71" s="299"/>
      <c r="U71" s="299"/>
      <c r="V71" s="299"/>
      <c r="W71" s="299"/>
      <c r="X71" s="299"/>
      <c r="Y71" s="299"/>
      <c r="Z71" s="299"/>
      <c r="AA71" s="299"/>
      <c r="AB71" s="299"/>
      <c r="AC71" s="299"/>
      <c r="AD71" s="299"/>
      <c r="AE71" s="299"/>
      <c r="AF71" s="299"/>
      <c r="AG71" s="299"/>
      <c r="AH71" s="299"/>
      <c r="AI71" s="299"/>
      <c r="AJ71" s="299"/>
      <c r="AK71" s="299"/>
      <c r="AL71" s="299"/>
      <c r="AM71" s="299"/>
      <c r="AN71" s="299"/>
      <c r="AO71" s="299"/>
      <c r="AP71" s="299"/>
      <c r="AQ71" s="299"/>
      <c r="AR71" s="299"/>
      <c r="AS71" s="299"/>
      <c r="AT71" s="299"/>
      <c r="AU71" s="299"/>
      <c r="AV71" s="299"/>
      <c r="AW71" s="299"/>
      <c r="AX71" s="299"/>
      <c r="AY71" s="299"/>
      <c r="AZ71" s="299"/>
      <c r="BA71" s="299"/>
      <c r="BB71" s="299"/>
      <c r="BC71" s="299"/>
      <c r="BD71" s="299"/>
      <c r="BE71" s="299"/>
      <c r="BF71" s="299"/>
      <c r="BG71" s="299"/>
      <c r="BH71" s="299"/>
      <c r="BI71" s="299"/>
      <c r="BJ71" s="299"/>
      <c r="BK71" s="299"/>
      <c r="BL71" s="299"/>
      <c r="BM71" s="299"/>
      <c r="BN71" s="299"/>
      <c r="BO71" s="299"/>
      <c r="BP71" s="299"/>
      <c r="BQ71" s="299"/>
      <c r="BR71" s="299"/>
      <c r="BS71" s="299"/>
      <c r="BT71" s="299"/>
      <c r="BU71" s="299"/>
      <c r="BV71" s="299"/>
      <c r="BW71" s="299"/>
      <c r="BX71" s="299"/>
      <c r="BY71" s="299"/>
      <c r="BZ71" s="299"/>
      <c r="CA71" s="299"/>
      <c r="CB71" s="299"/>
      <c r="CC71" s="299"/>
      <c r="CD71" s="299"/>
      <c r="CE71" s="299"/>
      <c r="CF71" s="299"/>
      <c r="CG71" s="299"/>
      <c r="CH71" s="299"/>
      <c r="CI71" s="299"/>
      <c r="CJ71" s="299"/>
      <c r="CK71" s="299"/>
      <c r="CL71" s="299"/>
      <c r="CM71" s="299"/>
      <c r="CN71" s="299"/>
      <c r="CO71" s="299"/>
      <c r="CP71" s="299"/>
      <c r="CQ71" s="299"/>
      <c r="CR71" s="299"/>
      <c r="CS71" s="299"/>
      <c r="CT71" s="299"/>
      <c r="CU71" s="299"/>
      <c r="CV71" s="299"/>
    </row>
    <row r="72" spans="1:100" s="269" customFormat="1" ht="16.5" hidden="1" customHeight="1">
      <c r="A72" s="274"/>
      <c r="B72" s="274"/>
      <c r="C72" s="274"/>
      <c r="D72" s="274"/>
      <c r="E72" s="274"/>
      <c r="F72" s="274"/>
      <c r="G72" s="274"/>
      <c r="H72" s="274"/>
      <c r="I72" s="914">
        <f>C5</f>
        <v>0</v>
      </c>
      <c r="J72" s="914">
        <f>D5</f>
        <v>0</v>
      </c>
      <c r="K72" s="459"/>
      <c r="L72" s="459"/>
      <c r="M72" s="459"/>
      <c r="N72" s="299"/>
      <c r="O72" s="299"/>
      <c r="P72" s="299"/>
      <c r="Q72" s="299"/>
      <c r="R72" s="299"/>
      <c r="S72" s="299"/>
      <c r="T72" s="299"/>
      <c r="U72" s="299"/>
      <c r="V72" s="299"/>
      <c r="W72" s="299"/>
      <c r="X72" s="299"/>
      <c r="Y72" s="299"/>
      <c r="Z72" s="299"/>
      <c r="AA72" s="299"/>
      <c r="AB72" s="299"/>
      <c r="AC72" s="299"/>
      <c r="AD72" s="299"/>
      <c r="AE72" s="299"/>
      <c r="AF72" s="299"/>
      <c r="AG72" s="299"/>
      <c r="AH72" s="299"/>
      <c r="AI72" s="299"/>
      <c r="AJ72" s="299"/>
      <c r="AK72" s="299"/>
      <c r="AL72" s="299"/>
      <c r="AM72" s="299"/>
      <c r="AN72" s="299"/>
      <c r="AO72" s="299"/>
      <c r="AP72" s="299"/>
      <c r="AQ72" s="299"/>
      <c r="AR72" s="299"/>
      <c r="AS72" s="299"/>
      <c r="AT72" s="299"/>
      <c r="AU72" s="299"/>
      <c r="AV72" s="299"/>
      <c r="AW72" s="299"/>
      <c r="AX72" s="299"/>
      <c r="AY72" s="299"/>
      <c r="AZ72" s="299"/>
      <c r="BA72" s="299"/>
      <c r="BB72" s="299"/>
      <c r="BC72" s="299"/>
      <c r="BD72" s="299"/>
      <c r="BE72" s="299"/>
      <c r="BF72" s="299"/>
      <c r="BG72" s="299"/>
      <c r="BH72" s="299"/>
      <c r="BI72" s="299"/>
      <c r="BJ72" s="299"/>
      <c r="BK72" s="299"/>
      <c r="BL72" s="299"/>
      <c r="BM72" s="299"/>
      <c r="BN72" s="299"/>
      <c r="BO72" s="299"/>
      <c r="BP72" s="299"/>
      <c r="BQ72" s="299"/>
      <c r="BR72" s="299"/>
      <c r="BS72" s="299"/>
      <c r="BT72" s="299"/>
      <c r="BU72" s="299"/>
      <c r="BV72" s="299"/>
      <c r="BW72" s="299"/>
      <c r="BX72" s="299"/>
      <c r="BY72" s="299"/>
      <c r="BZ72" s="299"/>
      <c r="CA72" s="299"/>
      <c r="CB72" s="299"/>
      <c r="CC72" s="299"/>
      <c r="CD72" s="299"/>
      <c r="CE72" s="299"/>
      <c r="CF72" s="299"/>
      <c r="CG72" s="299"/>
      <c r="CH72" s="299"/>
      <c r="CI72" s="299"/>
      <c r="CJ72" s="299"/>
      <c r="CK72" s="299"/>
      <c r="CL72" s="299"/>
      <c r="CM72" s="299"/>
      <c r="CN72" s="299"/>
      <c r="CO72" s="299"/>
      <c r="CP72" s="299"/>
      <c r="CQ72" s="299"/>
      <c r="CR72" s="299"/>
      <c r="CS72" s="299"/>
      <c r="CT72" s="299"/>
      <c r="CU72" s="299"/>
      <c r="CV72" s="299"/>
    </row>
    <row r="73" spans="1:100" s="269" customFormat="1" ht="16.5" hidden="1" customHeight="1">
      <c r="A73" s="275"/>
      <c r="B73" s="275"/>
      <c r="C73" s="275"/>
      <c r="D73" s="275"/>
      <c r="E73" s="275"/>
      <c r="F73" s="275"/>
      <c r="G73" s="275"/>
      <c r="H73" s="275"/>
      <c r="I73" s="398"/>
      <c r="J73" s="276"/>
      <c r="K73" s="276"/>
      <c r="L73" s="276"/>
      <c r="M73" s="276"/>
      <c r="N73" s="299"/>
      <c r="O73" s="299"/>
      <c r="P73" s="299"/>
      <c r="Q73" s="299"/>
      <c r="R73" s="299"/>
      <c r="S73" s="299"/>
      <c r="T73" s="299"/>
      <c r="U73" s="299"/>
      <c r="V73" s="299"/>
      <c r="W73" s="299"/>
      <c r="X73" s="299"/>
      <c r="Y73" s="299"/>
      <c r="Z73" s="299"/>
      <c r="AA73" s="299"/>
      <c r="AB73" s="299"/>
      <c r="AC73" s="299"/>
      <c r="AD73" s="299"/>
      <c r="AE73" s="299"/>
      <c r="AF73" s="299"/>
      <c r="AG73" s="299"/>
      <c r="AH73" s="299"/>
      <c r="AI73" s="299"/>
      <c r="AJ73" s="299"/>
      <c r="AK73" s="299"/>
      <c r="AL73" s="299"/>
      <c r="AM73" s="299"/>
      <c r="AN73" s="299"/>
      <c r="AO73" s="299"/>
      <c r="AP73" s="299"/>
      <c r="AQ73" s="299"/>
      <c r="AR73" s="299"/>
      <c r="AS73" s="299"/>
      <c r="AT73" s="299"/>
      <c r="AU73" s="299"/>
      <c r="AV73" s="299"/>
      <c r="AW73" s="299"/>
      <c r="AX73" s="299"/>
      <c r="AY73" s="299"/>
      <c r="AZ73" s="299"/>
      <c r="BA73" s="299"/>
      <c r="BB73" s="299"/>
      <c r="BC73" s="299"/>
      <c r="BD73" s="299"/>
      <c r="BE73" s="299"/>
      <c r="BF73" s="299"/>
      <c r="BG73" s="299"/>
      <c r="BH73" s="299"/>
      <c r="BI73" s="299"/>
      <c r="BJ73" s="299"/>
      <c r="BK73" s="299"/>
      <c r="BL73" s="299"/>
      <c r="BM73" s="299"/>
      <c r="BN73" s="299"/>
      <c r="BO73" s="299"/>
      <c r="BP73" s="299"/>
      <c r="BQ73" s="299"/>
      <c r="BR73" s="299"/>
      <c r="BS73" s="299"/>
      <c r="BT73" s="299"/>
      <c r="BU73" s="299"/>
      <c r="BV73" s="299"/>
      <c r="BW73" s="299"/>
      <c r="BX73" s="299"/>
      <c r="BY73" s="299"/>
      <c r="BZ73" s="299"/>
      <c r="CA73" s="299"/>
      <c r="CB73" s="299"/>
      <c r="CC73" s="299"/>
      <c r="CD73" s="299"/>
      <c r="CE73" s="299"/>
      <c r="CF73" s="299"/>
      <c r="CG73" s="299"/>
      <c r="CH73" s="299"/>
      <c r="CI73" s="299"/>
      <c r="CJ73" s="299"/>
      <c r="CK73" s="299"/>
      <c r="CL73" s="299"/>
      <c r="CM73" s="299"/>
      <c r="CN73" s="299"/>
      <c r="CO73" s="299"/>
      <c r="CP73" s="299"/>
      <c r="CQ73" s="299"/>
      <c r="CR73" s="299"/>
      <c r="CS73" s="299"/>
      <c r="CT73" s="299"/>
      <c r="CU73" s="299"/>
      <c r="CV73" s="299"/>
    </row>
    <row r="74" spans="1:100" s="269" customFormat="1" ht="33.75" hidden="1" customHeight="1">
      <c r="A74" s="277" t="str">
        <f>A15</f>
        <v>SL. NO.</v>
      </c>
      <c r="B74" s="277"/>
      <c r="C74" s="277"/>
      <c r="D74" s="277"/>
      <c r="E74" s="277"/>
      <c r="F74" s="277"/>
      <c r="G74" s="277"/>
      <c r="H74" s="277"/>
      <c r="I74" s="278" t="str">
        <f>I15</f>
        <v>Description of Test</v>
      </c>
      <c r="J74" s="916" t="e">
        <f>#REF!</f>
        <v>#REF!</v>
      </c>
      <c r="K74" s="916"/>
      <c r="L74" s="916"/>
      <c r="M74" s="916"/>
      <c r="N74" s="299"/>
      <c r="O74" s="299"/>
      <c r="P74" s="299"/>
      <c r="Q74" s="299"/>
      <c r="R74" s="299"/>
      <c r="S74" s="299"/>
      <c r="T74" s="299"/>
      <c r="U74" s="299"/>
      <c r="V74" s="299"/>
      <c r="W74" s="299"/>
      <c r="X74" s="299"/>
      <c r="Y74" s="299"/>
      <c r="Z74" s="299"/>
      <c r="AA74" s="299"/>
      <c r="AB74" s="299"/>
      <c r="AC74" s="299"/>
      <c r="AD74" s="299"/>
      <c r="AE74" s="299"/>
      <c r="AF74" s="299"/>
      <c r="AG74" s="299"/>
      <c r="AH74" s="299"/>
      <c r="AI74" s="299"/>
      <c r="AJ74" s="299"/>
      <c r="AK74" s="299"/>
      <c r="AL74" s="299"/>
      <c r="AM74" s="299"/>
      <c r="AN74" s="299"/>
      <c r="AO74" s="299"/>
      <c r="AP74" s="299"/>
      <c r="AQ74" s="299"/>
      <c r="AR74" s="299"/>
      <c r="AS74" s="299"/>
      <c r="AT74" s="299"/>
      <c r="AU74" s="299"/>
      <c r="AV74" s="299"/>
      <c r="AW74" s="299"/>
      <c r="AX74" s="299"/>
      <c r="AY74" s="299"/>
      <c r="AZ74" s="299"/>
      <c r="BA74" s="299"/>
      <c r="BB74" s="299"/>
      <c r="BC74" s="299"/>
      <c r="BD74" s="299"/>
      <c r="BE74" s="299"/>
      <c r="BF74" s="299"/>
      <c r="BG74" s="299"/>
      <c r="BH74" s="299"/>
      <c r="BI74" s="299"/>
      <c r="BJ74" s="299"/>
      <c r="BK74" s="299"/>
      <c r="BL74" s="299"/>
      <c r="BM74" s="299"/>
      <c r="BN74" s="299"/>
      <c r="BO74" s="299"/>
      <c r="BP74" s="299"/>
      <c r="BQ74" s="299"/>
      <c r="BR74" s="299"/>
      <c r="BS74" s="299"/>
      <c r="BT74" s="299"/>
      <c r="BU74" s="299"/>
      <c r="BV74" s="299"/>
      <c r="BW74" s="299"/>
      <c r="BX74" s="299"/>
      <c r="BY74" s="299"/>
      <c r="BZ74" s="299"/>
      <c r="CA74" s="299"/>
      <c r="CB74" s="299"/>
      <c r="CC74" s="299"/>
      <c r="CD74" s="299"/>
      <c r="CE74" s="299"/>
      <c r="CF74" s="299"/>
      <c r="CG74" s="299"/>
      <c r="CH74" s="299"/>
      <c r="CI74" s="299"/>
      <c r="CJ74" s="299"/>
      <c r="CK74" s="299"/>
      <c r="CL74" s="299"/>
      <c r="CM74" s="299"/>
      <c r="CN74" s="299"/>
      <c r="CO74" s="299"/>
      <c r="CP74" s="299"/>
      <c r="CQ74" s="299"/>
      <c r="CR74" s="299"/>
      <c r="CS74" s="299"/>
      <c r="CT74" s="299"/>
      <c r="CU74" s="299"/>
      <c r="CV74" s="299"/>
    </row>
    <row r="75" spans="1:100" s="269" customFormat="1" ht="16.5" hidden="1" customHeight="1">
      <c r="A75" s="462" t="e">
        <f>#REF!</f>
        <v>#REF!</v>
      </c>
      <c r="B75" s="462"/>
      <c r="C75" s="462"/>
      <c r="D75" s="462"/>
      <c r="E75" s="462"/>
      <c r="F75" s="462"/>
      <c r="G75" s="462"/>
      <c r="H75" s="462"/>
      <c r="I75" s="460" t="e">
        <f>#REF!</f>
        <v>#REF!</v>
      </c>
      <c r="J75" s="917" t="e">
        <f>#REF!</f>
        <v>#REF!</v>
      </c>
      <c r="K75" s="917"/>
      <c r="L75" s="917"/>
      <c r="M75" s="917"/>
      <c r="N75" s="299"/>
      <c r="O75" s="299"/>
      <c r="P75" s="299"/>
      <c r="Q75" s="299"/>
      <c r="R75" s="299"/>
      <c r="S75" s="299"/>
      <c r="T75" s="299"/>
      <c r="U75" s="299"/>
      <c r="V75" s="299"/>
      <c r="W75" s="299"/>
      <c r="X75" s="299"/>
      <c r="Y75" s="299"/>
      <c r="Z75" s="299"/>
      <c r="AA75" s="299"/>
      <c r="AB75" s="299"/>
      <c r="AC75" s="299"/>
      <c r="AD75" s="299"/>
      <c r="AE75" s="299"/>
      <c r="AF75" s="299"/>
      <c r="AG75" s="299"/>
      <c r="AH75" s="299"/>
      <c r="AI75" s="299"/>
      <c r="AJ75" s="299"/>
      <c r="AK75" s="299"/>
      <c r="AL75" s="299"/>
      <c r="AM75" s="299"/>
      <c r="AN75" s="299"/>
      <c r="AO75" s="299"/>
      <c r="AP75" s="299"/>
      <c r="AQ75" s="299"/>
      <c r="AR75" s="299"/>
      <c r="AS75" s="299"/>
      <c r="AT75" s="299"/>
      <c r="AU75" s="299"/>
      <c r="AV75" s="299"/>
      <c r="AW75" s="299"/>
      <c r="AX75" s="299"/>
      <c r="AY75" s="299"/>
      <c r="AZ75" s="299"/>
      <c r="BA75" s="299"/>
      <c r="BB75" s="299"/>
      <c r="BC75" s="299"/>
      <c r="BD75" s="299"/>
      <c r="BE75" s="299"/>
      <c r="BF75" s="299"/>
      <c r="BG75" s="299"/>
      <c r="BH75" s="299"/>
      <c r="BI75" s="299"/>
      <c r="BJ75" s="299"/>
      <c r="BK75" s="299"/>
      <c r="BL75" s="299"/>
      <c r="BM75" s="299"/>
      <c r="BN75" s="299"/>
      <c r="BO75" s="299"/>
      <c r="BP75" s="299"/>
      <c r="BQ75" s="299"/>
      <c r="BR75" s="299"/>
      <c r="BS75" s="299"/>
      <c r="BT75" s="299"/>
      <c r="BU75" s="299"/>
      <c r="BV75" s="299"/>
      <c r="BW75" s="299"/>
      <c r="BX75" s="299"/>
      <c r="BY75" s="299"/>
      <c r="BZ75" s="299"/>
      <c r="CA75" s="299"/>
      <c r="CB75" s="299"/>
      <c r="CC75" s="299"/>
      <c r="CD75" s="299"/>
      <c r="CE75" s="299"/>
      <c r="CF75" s="299"/>
      <c r="CG75" s="299"/>
      <c r="CH75" s="299"/>
      <c r="CI75" s="299"/>
      <c r="CJ75" s="299"/>
      <c r="CK75" s="299"/>
      <c r="CL75" s="299"/>
      <c r="CM75" s="299"/>
      <c r="CN75" s="299"/>
      <c r="CO75" s="299"/>
      <c r="CP75" s="299"/>
      <c r="CQ75" s="299"/>
      <c r="CR75" s="299"/>
      <c r="CS75" s="299"/>
      <c r="CT75" s="299"/>
      <c r="CU75" s="299"/>
      <c r="CV75" s="299"/>
    </row>
    <row r="76" spans="1:100" s="269" customFormat="1" ht="16.5" hidden="1" customHeight="1">
      <c r="A76" s="279" t="e">
        <f>#REF!</f>
        <v>#REF!</v>
      </c>
      <c r="B76" s="279"/>
      <c r="C76" s="279"/>
      <c r="D76" s="279"/>
      <c r="E76" s="279"/>
      <c r="F76" s="279"/>
      <c r="G76" s="279"/>
      <c r="H76" s="279"/>
      <c r="I76" s="280" t="e">
        <f>#REF!</f>
        <v>#REF!</v>
      </c>
      <c r="J76" s="917"/>
      <c r="K76" s="917"/>
      <c r="L76" s="917"/>
      <c r="M76" s="917"/>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299"/>
      <c r="AO76" s="299"/>
      <c r="AP76" s="299"/>
      <c r="AQ76" s="299"/>
      <c r="AR76" s="299"/>
      <c r="AS76" s="299"/>
      <c r="AT76" s="299"/>
      <c r="AU76" s="299"/>
      <c r="AV76" s="299"/>
      <c r="AW76" s="299"/>
      <c r="AX76" s="299"/>
      <c r="AY76" s="299"/>
      <c r="AZ76" s="299"/>
      <c r="BA76" s="299"/>
      <c r="BB76" s="299"/>
      <c r="BC76" s="299"/>
      <c r="BD76" s="299"/>
      <c r="BE76" s="299"/>
      <c r="BF76" s="299"/>
      <c r="BG76" s="299"/>
      <c r="BH76" s="299"/>
      <c r="BI76" s="299"/>
      <c r="BJ76" s="299"/>
      <c r="BK76" s="299"/>
      <c r="BL76" s="299"/>
      <c r="BM76" s="299"/>
      <c r="BN76" s="299"/>
      <c r="BO76" s="299"/>
      <c r="BP76" s="299"/>
      <c r="BQ76" s="299"/>
      <c r="BR76" s="299"/>
      <c r="BS76" s="299"/>
      <c r="BT76" s="299"/>
      <c r="BU76" s="299"/>
      <c r="BV76" s="299"/>
      <c r="BW76" s="299"/>
      <c r="BX76" s="299"/>
      <c r="BY76" s="299"/>
      <c r="BZ76" s="299"/>
      <c r="CA76" s="299"/>
      <c r="CB76" s="299"/>
      <c r="CC76" s="299"/>
      <c r="CD76" s="299"/>
      <c r="CE76" s="299"/>
      <c r="CF76" s="299"/>
      <c r="CG76" s="299"/>
      <c r="CH76" s="299"/>
      <c r="CI76" s="299"/>
      <c r="CJ76" s="299"/>
      <c r="CK76" s="299"/>
      <c r="CL76" s="299"/>
      <c r="CM76" s="299"/>
      <c r="CN76" s="299"/>
      <c r="CO76" s="299"/>
      <c r="CP76" s="299"/>
      <c r="CQ76" s="299"/>
      <c r="CR76" s="299"/>
      <c r="CS76" s="299"/>
      <c r="CT76" s="299"/>
      <c r="CU76" s="299"/>
      <c r="CV76" s="299"/>
    </row>
    <row r="77" spans="1:100" s="269" customFormat="1" ht="16.5" hidden="1" customHeight="1">
      <c r="A77" s="281" t="e">
        <f>#REF!</f>
        <v>#REF!</v>
      </c>
      <c r="B77" s="281"/>
      <c r="C77" s="281"/>
      <c r="D77" s="281"/>
      <c r="E77" s="281"/>
      <c r="F77" s="281"/>
      <c r="G77" s="281"/>
      <c r="H77" s="281"/>
      <c r="I77" s="282" t="e">
        <f>#REF!</f>
        <v>#REF!</v>
      </c>
      <c r="J77" s="912" t="e">
        <f>#REF!</f>
        <v>#REF!</v>
      </c>
      <c r="K77" s="912"/>
      <c r="L77" s="912"/>
      <c r="M77" s="912"/>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299"/>
      <c r="AP77" s="299"/>
      <c r="AQ77" s="299"/>
      <c r="AR77" s="299"/>
      <c r="AS77" s="299"/>
      <c r="AT77" s="299"/>
      <c r="AU77" s="299"/>
      <c r="AV77" s="299"/>
      <c r="AW77" s="299"/>
      <c r="AX77" s="299"/>
      <c r="AY77" s="299"/>
      <c r="AZ77" s="299"/>
      <c r="BA77" s="299"/>
      <c r="BB77" s="299"/>
      <c r="BC77" s="299"/>
      <c r="BD77" s="299"/>
      <c r="BE77" s="299"/>
      <c r="BF77" s="299"/>
      <c r="BG77" s="299"/>
      <c r="BH77" s="299"/>
      <c r="BI77" s="299"/>
      <c r="BJ77" s="299"/>
      <c r="BK77" s="299"/>
      <c r="BL77" s="299"/>
      <c r="BM77" s="299"/>
      <c r="BN77" s="299"/>
      <c r="BO77" s="299"/>
      <c r="BP77" s="299"/>
      <c r="BQ77" s="299"/>
      <c r="BR77" s="299"/>
      <c r="BS77" s="299"/>
      <c r="BT77" s="299"/>
      <c r="BU77" s="299"/>
      <c r="BV77" s="299"/>
      <c r="BW77" s="299"/>
      <c r="BX77" s="299"/>
      <c r="BY77" s="299"/>
      <c r="BZ77" s="299"/>
      <c r="CA77" s="299"/>
      <c r="CB77" s="299"/>
      <c r="CC77" s="299"/>
      <c r="CD77" s="299"/>
      <c r="CE77" s="299"/>
      <c r="CF77" s="299"/>
      <c r="CG77" s="299"/>
      <c r="CH77" s="299"/>
      <c r="CI77" s="299"/>
      <c r="CJ77" s="299"/>
      <c r="CK77" s="299"/>
      <c r="CL77" s="299"/>
      <c r="CM77" s="299"/>
      <c r="CN77" s="299"/>
      <c r="CO77" s="299"/>
      <c r="CP77" s="299"/>
      <c r="CQ77" s="299"/>
      <c r="CR77" s="299"/>
      <c r="CS77" s="299"/>
      <c r="CT77" s="299"/>
      <c r="CU77" s="299"/>
      <c r="CV77" s="299"/>
    </row>
    <row r="78" spans="1:100" s="269" customFormat="1" ht="16.5" hidden="1" customHeight="1">
      <c r="A78" s="281" t="e">
        <f>#REF!</f>
        <v>#REF!</v>
      </c>
      <c r="B78" s="281"/>
      <c r="C78" s="281"/>
      <c r="D78" s="281"/>
      <c r="E78" s="281"/>
      <c r="F78" s="281"/>
      <c r="G78" s="281"/>
      <c r="H78" s="281"/>
      <c r="I78" s="282" t="e">
        <f>#REF!</f>
        <v>#REF!</v>
      </c>
      <c r="J78" s="912" t="e">
        <f>#REF!</f>
        <v>#REF!</v>
      </c>
      <c r="K78" s="912"/>
      <c r="L78" s="912"/>
      <c r="M78" s="912"/>
      <c r="N78" s="299"/>
      <c r="O78" s="299"/>
      <c r="P78" s="299"/>
      <c r="Q78" s="299"/>
      <c r="R78" s="299"/>
      <c r="S78" s="299"/>
      <c r="T78" s="299"/>
      <c r="U78" s="299"/>
      <c r="V78" s="299"/>
      <c r="W78" s="299"/>
      <c r="X78" s="299"/>
      <c r="Y78" s="299"/>
      <c r="Z78" s="299"/>
      <c r="AA78" s="299"/>
      <c r="AB78" s="299"/>
      <c r="AC78" s="299"/>
      <c r="AD78" s="299"/>
      <c r="AE78" s="299"/>
      <c r="AF78" s="299"/>
      <c r="AG78" s="299"/>
      <c r="AH78" s="299"/>
      <c r="AI78" s="299"/>
      <c r="AJ78" s="299"/>
      <c r="AK78" s="299"/>
      <c r="AL78" s="299"/>
      <c r="AM78" s="299"/>
      <c r="AN78" s="299"/>
      <c r="AO78" s="299"/>
      <c r="AP78" s="299"/>
      <c r="AQ78" s="299"/>
      <c r="AR78" s="299"/>
      <c r="AS78" s="299"/>
      <c r="AT78" s="299"/>
      <c r="AU78" s="299"/>
      <c r="AV78" s="299"/>
      <c r="AW78" s="299"/>
      <c r="AX78" s="299"/>
      <c r="AY78" s="299"/>
      <c r="AZ78" s="299"/>
      <c r="BA78" s="299"/>
      <c r="BB78" s="299"/>
      <c r="BC78" s="299"/>
      <c r="BD78" s="299"/>
      <c r="BE78" s="299"/>
      <c r="BF78" s="299"/>
      <c r="BG78" s="299"/>
      <c r="BH78" s="299"/>
      <c r="BI78" s="299"/>
      <c r="BJ78" s="299"/>
      <c r="BK78" s="299"/>
      <c r="BL78" s="299"/>
      <c r="BM78" s="299"/>
      <c r="BN78" s="299"/>
      <c r="BO78" s="299"/>
      <c r="BP78" s="299"/>
      <c r="BQ78" s="299"/>
      <c r="BR78" s="299"/>
      <c r="BS78" s="299"/>
      <c r="BT78" s="299"/>
      <c r="BU78" s="299"/>
      <c r="BV78" s="299"/>
      <c r="BW78" s="299"/>
      <c r="BX78" s="299"/>
      <c r="BY78" s="299"/>
      <c r="BZ78" s="299"/>
      <c r="CA78" s="299"/>
      <c r="CB78" s="299"/>
      <c r="CC78" s="299"/>
      <c r="CD78" s="299"/>
      <c r="CE78" s="299"/>
      <c r="CF78" s="299"/>
      <c r="CG78" s="299"/>
      <c r="CH78" s="299"/>
      <c r="CI78" s="299"/>
      <c r="CJ78" s="299"/>
      <c r="CK78" s="299"/>
      <c r="CL78" s="299"/>
      <c r="CM78" s="299"/>
      <c r="CN78" s="299"/>
      <c r="CO78" s="299"/>
      <c r="CP78" s="299"/>
      <c r="CQ78" s="299"/>
      <c r="CR78" s="299"/>
      <c r="CS78" s="299"/>
      <c r="CT78" s="299"/>
      <c r="CU78" s="299"/>
      <c r="CV78" s="299"/>
    </row>
    <row r="79" spans="1:100" s="269" customFormat="1" ht="20.100000000000001" hidden="1" customHeight="1">
      <c r="A79" s="283"/>
      <c r="B79" s="283"/>
      <c r="C79" s="283"/>
      <c r="D79" s="283"/>
      <c r="E79" s="283"/>
      <c r="F79" s="283"/>
      <c r="G79" s="283"/>
      <c r="H79" s="283"/>
      <c r="I79" s="280" t="e">
        <f>#REF!</f>
        <v>#REF!</v>
      </c>
      <c r="J79" s="912" t="e">
        <f>#REF!</f>
        <v>#REF!</v>
      </c>
      <c r="K79" s="912"/>
      <c r="L79" s="912"/>
      <c r="M79" s="912"/>
      <c r="N79" s="299"/>
      <c r="O79" s="299"/>
      <c r="P79" s="299"/>
      <c r="Q79" s="299"/>
      <c r="R79" s="299"/>
      <c r="S79" s="299"/>
      <c r="T79" s="299"/>
      <c r="U79" s="299"/>
      <c r="V79" s="299"/>
      <c r="W79" s="299"/>
      <c r="X79" s="299"/>
      <c r="Y79" s="299"/>
      <c r="Z79" s="299"/>
      <c r="AA79" s="299"/>
      <c r="AB79" s="299"/>
      <c r="AC79" s="299"/>
      <c r="AD79" s="299"/>
      <c r="AE79" s="299"/>
      <c r="AF79" s="299"/>
      <c r="AG79" s="299"/>
      <c r="AH79" s="299"/>
      <c r="AI79" s="299"/>
      <c r="AJ79" s="299"/>
      <c r="AK79" s="299"/>
      <c r="AL79" s="299"/>
      <c r="AM79" s="299"/>
      <c r="AN79" s="299"/>
      <c r="AO79" s="299"/>
      <c r="AP79" s="299"/>
      <c r="AQ79" s="299"/>
      <c r="AR79" s="299"/>
      <c r="AS79" s="299"/>
      <c r="AT79" s="299"/>
      <c r="AU79" s="299"/>
      <c r="AV79" s="299"/>
      <c r="AW79" s="299"/>
      <c r="AX79" s="299"/>
      <c r="AY79" s="299"/>
      <c r="AZ79" s="299"/>
      <c r="BA79" s="299"/>
      <c r="BB79" s="299"/>
      <c r="BC79" s="299"/>
      <c r="BD79" s="299"/>
      <c r="BE79" s="299"/>
      <c r="BF79" s="299"/>
      <c r="BG79" s="299"/>
      <c r="BH79" s="299"/>
      <c r="BI79" s="299"/>
      <c r="BJ79" s="299"/>
      <c r="BK79" s="299"/>
      <c r="BL79" s="299"/>
      <c r="BM79" s="299"/>
      <c r="BN79" s="299"/>
      <c r="BO79" s="299"/>
      <c r="BP79" s="299"/>
      <c r="BQ79" s="299"/>
      <c r="BR79" s="299"/>
      <c r="BS79" s="299"/>
      <c r="BT79" s="299"/>
      <c r="BU79" s="299"/>
      <c r="BV79" s="299"/>
      <c r="BW79" s="299"/>
      <c r="BX79" s="299"/>
      <c r="BY79" s="299"/>
      <c r="BZ79" s="299"/>
      <c r="CA79" s="299"/>
      <c r="CB79" s="299"/>
      <c r="CC79" s="299"/>
      <c r="CD79" s="299"/>
      <c r="CE79" s="299"/>
      <c r="CF79" s="299"/>
      <c r="CG79" s="299"/>
      <c r="CH79" s="299"/>
      <c r="CI79" s="299"/>
      <c r="CJ79" s="299"/>
      <c r="CK79" s="299"/>
      <c r="CL79" s="299"/>
      <c r="CM79" s="299"/>
      <c r="CN79" s="299"/>
      <c r="CO79" s="299"/>
      <c r="CP79" s="299"/>
      <c r="CQ79" s="299"/>
      <c r="CR79" s="299"/>
      <c r="CS79" s="299"/>
      <c r="CT79" s="299"/>
      <c r="CU79" s="299"/>
      <c r="CV79" s="299"/>
    </row>
    <row r="80" spans="1:100" s="269" customFormat="1" ht="16.5" hidden="1" customHeight="1">
      <c r="A80" s="279" t="e">
        <f>#REF!</f>
        <v>#REF!</v>
      </c>
      <c r="B80" s="279"/>
      <c r="C80" s="279"/>
      <c r="D80" s="279"/>
      <c r="E80" s="279"/>
      <c r="F80" s="279"/>
      <c r="G80" s="279"/>
      <c r="H80" s="279"/>
      <c r="I80" s="280" t="e">
        <f>#REF!</f>
        <v>#REF!</v>
      </c>
      <c r="J80" s="912"/>
      <c r="K80" s="912"/>
      <c r="L80" s="912"/>
      <c r="M80" s="912"/>
      <c r="N80" s="299"/>
      <c r="O80" s="299"/>
      <c r="P80" s="299"/>
      <c r="Q80" s="299"/>
      <c r="R80" s="299"/>
      <c r="S80" s="299"/>
      <c r="T80" s="299"/>
      <c r="U80" s="299"/>
      <c r="V80" s="299"/>
      <c r="W80" s="299"/>
      <c r="X80" s="299"/>
      <c r="Y80" s="299"/>
      <c r="Z80" s="299"/>
      <c r="AA80" s="299"/>
      <c r="AB80" s="299"/>
      <c r="AC80" s="299"/>
      <c r="AD80" s="299"/>
      <c r="AE80" s="299"/>
      <c r="AF80" s="299"/>
      <c r="AG80" s="299"/>
      <c r="AH80" s="299"/>
      <c r="AI80" s="299"/>
      <c r="AJ80" s="299"/>
      <c r="AK80" s="299"/>
      <c r="AL80" s="299"/>
      <c r="AM80" s="299"/>
      <c r="AN80" s="299"/>
      <c r="AO80" s="299"/>
      <c r="AP80" s="299"/>
      <c r="AQ80" s="299"/>
      <c r="AR80" s="299"/>
      <c r="AS80" s="299"/>
      <c r="AT80" s="299"/>
      <c r="AU80" s="299"/>
      <c r="AV80" s="299"/>
      <c r="AW80" s="299"/>
      <c r="AX80" s="299"/>
      <c r="AY80" s="299"/>
      <c r="AZ80" s="299"/>
      <c r="BA80" s="299"/>
      <c r="BB80" s="299"/>
      <c r="BC80" s="299"/>
      <c r="BD80" s="299"/>
      <c r="BE80" s="299"/>
      <c r="BF80" s="299"/>
      <c r="BG80" s="299"/>
      <c r="BH80" s="299"/>
      <c r="BI80" s="299"/>
      <c r="BJ80" s="299"/>
      <c r="BK80" s="299"/>
      <c r="BL80" s="299"/>
      <c r="BM80" s="299"/>
      <c r="BN80" s="299"/>
      <c r="BO80" s="299"/>
      <c r="BP80" s="299"/>
      <c r="BQ80" s="299"/>
      <c r="BR80" s="299"/>
      <c r="BS80" s="299"/>
      <c r="BT80" s="299"/>
      <c r="BU80" s="299"/>
      <c r="BV80" s="299"/>
      <c r="BW80" s="299"/>
      <c r="BX80" s="299"/>
      <c r="BY80" s="299"/>
      <c r="BZ80" s="299"/>
      <c r="CA80" s="299"/>
      <c r="CB80" s="299"/>
      <c r="CC80" s="299"/>
      <c r="CD80" s="299"/>
      <c r="CE80" s="299"/>
      <c r="CF80" s="299"/>
      <c r="CG80" s="299"/>
      <c r="CH80" s="299"/>
      <c r="CI80" s="299"/>
      <c r="CJ80" s="299"/>
      <c r="CK80" s="299"/>
      <c r="CL80" s="299"/>
      <c r="CM80" s="299"/>
      <c r="CN80" s="299"/>
      <c r="CO80" s="299"/>
      <c r="CP80" s="299"/>
      <c r="CQ80" s="299"/>
      <c r="CR80" s="299"/>
      <c r="CS80" s="299"/>
      <c r="CT80" s="299"/>
      <c r="CU80" s="299"/>
      <c r="CV80" s="299"/>
    </row>
    <row r="81" spans="1:100" s="269" customFormat="1" ht="16.5" hidden="1" customHeight="1">
      <c r="A81" s="284" t="e">
        <f>#REF!</f>
        <v>#REF!</v>
      </c>
      <c r="B81" s="284"/>
      <c r="C81" s="284"/>
      <c r="D81" s="284"/>
      <c r="E81" s="284"/>
      <c r="F81" s="284"/>
      <c r="G81" s="284"/>
      <c r="H81" s="284"/>
      <c r="I81" s="280" t="e">
        <f>#REF!</f>
        <v>#REF!</v>
      </c>
      <c r="J81" s="912"/>
      <c r="K81" s="912"/>
      <c r="L81" s="912"/>
      <c r="M81" s="912"/>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299"/>
      <c r="AP81" s="299"/>
      <c r="AQ81" s="299"/>
      <c r="AR81" s="299"/>
      <c r="AS81" s="299"/>
      <c r="AT81" s="299"/>
      <c r="AU81" s="299"/>
      <c r="AV81" s="299"/>
      <c r="AW81" s="299"/>
      <c r="AX81" s="299"/>
      <c r="AY81" s="299"/>
      <c r="AZ81" s="299"/>
      <c r="BA81" s="299"/>
      <c r="BB81" s="299"/>
      <c r="BC81" s="299"/>
      <c r="BD81" s="299"/>
      <c r="BE81" s="299"/>
      <c r="BF81" s="299"/>
      <c r="BG81" s="299"/>
      <c r="BH81" s="299"/>
      <c r="BI81" s="299"/>
      <c r="BJ81" s="299"/>
      <c r="BK81" s="299"/>
      <c r="BL81" s="299"/>
      <c r="BM81" s="299"/>
      <c r="BN81" s="299"/>
      <c r="BO81" s="299"/>
      <c r="BP81" s="299"/>
      <c r="BQ81" s="299"/>
      <c r="BR81" s="299"/>
      <c r="BS81" s="299"/>
      <c r="BT81" s="299"/>
      <c r="BU81" s="299"/>
      <c r="BV81" s="299"/>
      <c r="BW81" s="299"/>
      <c r="BX81" s="299"/>
      <c r="BY81" s="299"/>
      <c r="BZ81" s="299"/>
      <c r="CA81" s="299"/>
      <c r="CB81" s="299"/>
      <c r="CC81" s="299"/>
      <c r="CD81" s="299"/>
      <c r="CE81" s="299"/>
      <c r="CF81" s="299"/>
      <c r="CG81" s="299"/>
      <c r="CH81" s="299"/>
      <c r="CI81" s="299"/>
      <c r="CJ81" s="299"/>
      <c r="CK81" s="299"/>
      <c r="CL81" s="299"/>
      <c r="CM81" s="299"/>
      <c r="CN81" s="299"/>
      <c r="CO81" s="299"/>
      <c r="CP81" s="299"/>
      <c r="CQ81" s="299"/>
      <c r="CR81" s="299"/>
      <c r="CS81" s="299"/>
      <c r="CT81" s="299"/>
      <c r="CU81" s="299"/>
      <c r="CV81" s="299"/>
    </row>
    <row r="82" spans="1:100" s="269" customFormat="1" ht="16.5" hidden="1" customHeight="1">
      <c r="A82" s="285" t="e">
        <f>#REF!</f>
        <v>#REF!</v>
      </c>
      <c r="B82" s="285"/>
      <c r="C82" s="285"/>
      <c r="D82" s="285"/>
      <c r="E82" s="285"/>
      <c r="F82" s="285"/>
      <c r="G82" s="285"/>
      <c r="H82" s="285"/>
      <c r="I82" s="280" t="e">
        <f>#REF!</f>
        <v>#REF!</v>
      </c>
      <c r="J82" s="912"/>
      <c r="K82" s="912"/>
      <c r="L82" s="912"/>
      <c r="M82" s="912"/>
      <c r="N82" s="299"/>
      <c r="O82" s="299"/>
      <c r="P82" s="299"/>
      <c r="Q82" s="299"/>
      <c r="R82" s="299"/>
      <c r="S82" s="299"/>
      <c r="T82" s="299"/>
      <c r="U82" s="299"/>
      <c r="V82" s="299"/>
      <c r="W82" s="299"/>
      <c r="X82" s="299"/>
      <c r="Y82" s="299"/>
      <c r="Z82" s="299"/>
      <c r="AA82" s="299"/>
      <c r="AB82" s="299"/>
      <c r="AC82" s="299"/>
      <c r="AD82" s="299"/>
      <c r="AE82" s="299"/>
      <c r="AF82" s="299"/>
      <c r="AG82" s="299"/>
      <c r="AH82" s="299"/>
      <c r="AI82" s="299"/>
      <c r="AJ82" s="299"/>
      <c r="AK82" s="299"/>
      <c r="AL82" s="299"/>
      <c r="AM82" s="299"/>
      <c r="AN82" s="299"/>
      <c r="AO82" s="299"/>
      <c r="AP82" s="299"/>
      <c r="AQ82" s="299"/>
      <c r="AR82" s="299"/>
      <c r="AS82" s="299"/>
      <c r="AT82" s="299"/>
      <c r="AU82" s="299"/>
      <c r="AV82" s="299"/>
      <c r="AW82" s="299"/>
      <c r="AX82" s="299"/>
      <c r="AY82" s="299"/>
      <c r="AZ82" s="299"/>
      <c r="BA82" s="299"/>
      <c r="BB82" s="299"/>
      <c r="BC82" s="299"/>
      <c r="BD82" s="299"/>
      <c r="BE82" s="299"/>
      <c r="BF82" s="299"/>
      <c r="BG82" s="299"/>
      <c r="BH82" s="299"/>
      <c r="BI82" s="299"/>
      <c r="BJ82" s="299"/>
      <c r="BK82" s="299"/>
      <c r="BL82" s="299"/>
      <c r="BM82" s="299"/>
      <c r="BN82" s="299"/>
      <c r="BO82" s="299"/>
      <c r="BP82" s="299"/>
      <c r="BQ82" s="299"/>
      <c r="BR82" s="299"/>
      <c r="BS82" s="299"/>
      <c r="BT82" s="299"/>
      <c r="BU82" s="299"/>
      <c r="BV82" s="299"/>
      <c r="BW82" s="299"/>
      <c r="BX82" s="299"/>
      <c r="BY82" s="299"/>
      <c r="BZ82" s="299"/>
      <c r="CA82" s="299"/>
      <c r="CB82" s="299"/>
      <c r="CC82" s="299"/>
      <c r="CD82" s="299"/>
      <c r="CE82" s="299"/>
      <c r="CF82" s="299"/>
      <c r="CG82" s="299"/>
      <c r="CH82" s="299"/>
      <c r="CI82" s="299"/>
      <c r="CJ82" s="299"/>
      <c r="CK82" s="299"/>
      <c r="CL82" s="299"/>
      <c r="CM82" s="299"/>
      <c r="CN82" s="299"/>
      <c r="CO82" s="299"/>
      <c r="CP82" s="299"/>
      <c r="CQ82" s="299"/>
      <c r="CR82" s="299"/>
      <c r="CS82" s="299"/>
      <c r="CT82" s="299"/>
      <c r="CU82" s="299"/>
      <c r="CV82" s="299"/>
    </row>
    <row r="83" spans="1:100" s="269" customFormat="1" ht="16.5" hidden="1" customHeight="1">
      <c r="A83" s="281" t="e">
        <f>#REF!</f>
        <v>#REF!</v>
      </c>
      <c r="B83" s="281"/>
      <c r="C83" s="281"/>
      <c r="D83" s="281"/>
      <c r="E83" s="281"/>
      <c r="F83" s="281"/>
      <c r="G83" s="281"/>
      <c r="H83" s="281"/>
      <c r="I83" s="282" t="e">
        <f>#REF!</f>
        <v>#REF!</v>
      </c>
      <c r="J83" s="912" t="e">
        <f>#REF!</f>
        <v>#REF!</v>
      </c>
      <c r="K83" s="912"/>
      <c r="L83" s="912"/>
      <c r="M83" s="912"/>
      <c r="N83" s="299"/>
      <c r="O83" s="299"/>
      <c r="P83" s="299"/>
      <c r="Q83" s="299"/>
      <c r="R83" s="299"/>
      <c r="S83" s="299"/>
      <c r="T83" s="299"/>
      <c r="U83" s="299"/>
      <c r="V83" s="299"/>
      <c r="W83" s="299"/>
      <c r="X83" s="299"/>
      <c r="Y83" s="299"/>
      <c r="Z83" s="299"/>
      <c r="AA83" s="299"/>
      <c r="AB83" s="299"/>
      <c r="AC83" s="299"/>
      <c r="AD83" s="299"/>
      <c r="AE83" s="299"/>
      <c r="AF83" s="299"/>
      <c r="AG83" s="299"/>
      <c r="AH83" s="299"/>
      <c r="AI83" s="299"/>
      <c r="AJ83" s="299"/>
      <c r="AK83" s="299"/>
      <c r="AL83" s="299"/>
      <c r="AM83" s="299"/>
      <c r="AN83" s="299"/>
      <c r="AO83" s="299"/>
      <c r="AP83" s="299"/>
      <c r="AQ83" s="299"/>
      <c r="AR83" s="299"/>
      <c r="AS83" s="299"/>
      <c r="AT83" s="299"/>
      <c r="AU83" s="299"/>
      <c r="AV83" s="299"/>
      <c r="AW83" s="299"/>
      <c r="AX83" s="299"/>
      <c r="AY83" s="299"/>
      <c r="AZ83" s="299"/>
      <c r="BA83" s="299"/>
      <c r="BB83" s="299"/>
      <c r="BC83" s="299"/>
      <c r="BD83" s="299"/>
      <c r="BE83" s="299"/>
      <c r="BF83" s="299"/>
      <c r="BG83" s="299"/>
      <c r="BH83" s="299"/>
      <c r="BI83" s="299"/>
      <c r="BJ83" s="299"/>
      <c r="BK83" s="299"/>
      <c r="BL83" s="299"/>
      <c r="BM83" s="299"/>
      <c r="BN83" s="299"/>
      <c r="BO83" s="299"/>
      <c r="BP83" s="299"/>
      <c r="BQ83" s="299"/>
      <c r="BR83" s="299"/>
      <c r="BS83" s="299"/>
      <c r="BT83" s="299"/>
      <c r="BU83" s="299"/>
      <c r="BV83" s="299"/>
      <c r="BW83" s="299"/>
      <c r="BX83" s="299"/>
      <c r="BY83" s="299"/>
      <c r="BZ83" s="299"/>
      <c r="CA83" s="299"/>
      <c r="CB83" s="299"/>
      <c r="CC83" s="299"/>
      <c r="CD83" s="299"/>
      <c r="CE83" s="299"/>
      <c r="CF83" s="299"/>
      <c r="CG83" s="299"/>
      <c r="CH83" s="299"/>
      <c r="CI83" s="299"/>
      <c r="CJ83" s="299"/>
      <c r="CK83" s="299"/>
      <c r="CL83" s="299"/>
      <c r="CM83" s="299"/>
      <c r="CN83" s="299"/>
      <c r="CO83" s="299"/>
      <c r="CP83" s="299"/>
      <c r="CQ83" s="299"/>
      <c r="CR83" s="299"/>
      <c r="CS83" s="299"/>
      <c r="CT83" s="299"/>
      <c r="CU83" s="299"/>
      <c r="CV83" s="299"/>
    </row>
    <row r="84" spans="1:100" s="269" customFormat="1" ht="16.5" hidden="1" customHeight="1">
      <c r="A84" s="281" t="e">
        <f>#REF!</f>
        <v>#REF!</v>
      </c>
      <c r="B84" s="281"/>
      <c r="C84" s="281"/>
      <c r="D84" s="281"/>
      <c r="E84" s="281"/>
      <c r="F84" s="281"/>
      <c r="G84" s="281"/>
      <c r="H84" s="281"/>
      <c r="I84" s="282" t="e">
        <f>#REF!</f>
        <v>#REF!</v>
      </c>
      <c r="J84" s="912" t="e">
        <f>#REF!</f>
        <v>#REF!</v>
      </c>
      <c r="K84" s="912"/>
      <c r="L84" s="912"/>
      <c r="M84" s="912"/>
      <c r="N84" s="299"/>
      <c r="O84" s="299"/>
      <c r="P84" s="299"/>
      <c r="Q84" s="299"/>
      <c r="R84" s="299"/>
      <c r="S84" s="299"/>
      <c r="T84" s="299"/>
      <c r="U84" s="299"/>
      <c r="V84" s="299"/>
      <c r="W84" s="299"/>
      <c r="X84" s="299"/>
      <c r="Y84" s="299"/>
      <c r="Z84" s="299"/>
      <c r="AA84" s="299"/>
      <c r="AB84" s="299"/>
      <c r="AC84" s="299"/>
      <c r="AD84" s="299"/>
      <c r="AE84" s="299"/>
      <c r="AF84" s="299"/>
      <c r="AG84" s="299"/>
      <c r="AH84" s="299"/>
      <c r="AI84" s="299"/>
      <c r="AJ84" s="299"/>
      <c r="AK84" s="299"/>
      <c r="AL84" s="299"/>
      <c r="AM84" s="299"/>
      <c r="AN84" s="299"/>
      <c r="AO84" s="299"/>
      <c r="AP84" s="299"/>
      <c r="AQ84" s="299"/>
      <c r="AR84" s="299"/>
      <c r="AS84" s="299"/>
      <c r="AT84" s="299"/>
      <c r="AU84" s="299"/>
      <c r="AV84" s="299"/>
      <c r="AW84" s="299"/>
      <c r="AX84" s="299"/>
      <c r="AY84" s="299"/>
      <c r="AZ84" s="299"/>
      <c r="BA84" s="299"/>
      <c r="BB84" s="299"/>
      <c r="BC84" s="299"/>
      <c r="BD84" s="299"/>
      <c r="BE84" s="299"/>
      <c r="BF84" s="299"/>
      <c r="BG84" s="299"/>
      <c r="BH84" s="299"/>
      <c r="BI84" s="299"/>
      <c r="BJ84" s="299"/>
      <c r="BK84" s="299"/>
      <c r="BL84" s="299"/>
      <c r="BM84" s="299"/>
      <c r="BN84" s="299"/>
      <c r="BO84" s="299"/>
      <c r="BP84" s="299"/>
      <c r="BQ84" s="299"/>
      <c r="BR84" s="299"/>
      <c r="BS84" s="299"/>
      <c r="BT84" s="299"/>
      <c r="BU84" s="299"/>
      <c r="BV84" s="299"/>
      <c r="BW84" s="299"/>
      <c r="BX84" s="299"/>
      <c r="BY84" s="299"/>
      <c r="BZ84" s="299"/>
      <c r="CA84" s="299"/>
      <c r="CB84" s="299"/>
      <c r="CC84" s="299"/>
      <c r="CD84" s="299"/>
      <c r="CE84" s="299"/>
      <c r="CF84" s="299"/>
      <c r="CG84" s="299"/>
      <c r="CH84" s="299"/>
      <c r="CI84" s="299"/>
      <c r="CJ84" s="299"/>
      <c r="CK84" s="299"/>
      <c r="CL84" s="299"/>
      <c r="CM84" s="299"/>
      <c r="CN84" s="299"/>
      <c r="CO84" s="299"/>
      <c r="CP84" s="299"/>
      <c r="CQ84" s="299"/>
      <c r="CR84" s="299"/>
      <c r="CS84" s="299"/>
      <c r="CT84" s="299"/>
      <c r="CU84" s="299"/>
      <c r="CV84" s="299"/>
    </row>
    <row r="85" spans="1:100" s="269" customFormat="1" ht="16.5" hidden="1" customHeight="1">
      <c r="A85" s="281" t="e">
        <f>#REF!</f>
        <v>#REF!</v>
      </c>
      <c r="B85" s="281"/>
      <c r="C85" s="281"/>
      <c r="D85" s="281"/>
      <c r="E85" s="281"/>
      <c r="F85" s="281"/>
      <c r="G85" s="281"/>
      <c r="H85" s="281"/>
      <c r="I85" s="282" t="e">
        <f>#REF!</f>
        <v>#REF!</v>
      </c>
      <c r="J85" s="912" t="e">
        <f>#REF!</f>
        <v>#REF!</v>
      </c>
      <c r="K85" s="912"/>
      <c r="L85" s="912"/>
      <c r="M85" s="912"/>
      <c r="N85" s="299"/>
      <c r="O85" s="299"/>
      <c r="P85" s="299"/>
      <c r="Q85" s="299"/>
      <c r="R85" s="299"/>
      <c r="S85" s="299"/>
      <c r="T85" s="299"/>
      <c r="U85" s="299"/>
      <c r="V85" s="299"/>
      <c r="W85" s="299"/>
      <c r="X85" s="299"/>
      <c r="Y85" s="299"/>
      <c r="Z85" s="299"/>
      <c r="AA85" s="299"/>
      <c r="AB85" s="299"/>
      <c r="AC85" s="299"/>
      <c r="AD85" s="299"/>
      <c r="AE85" s="299"/>
      <c r="AF85" s="299"/>
      <c r="AG85" s="299"/>
      <c r="AH85" s="299"/>
      <c r="AI85" s="299"/>
      <c r="AJ85" s="299"/>
      <c r="AK85" s="299"/>
      <c r="AL85" s="299"/>
      <c r="AM85" s="299"/>
      <c r="AN85" s="299"/>
      <c r="AO85" s="299"/>
      <c r="AP85" s="299"/>
      <c r="AQ85" s="299"/>
      <c r="AR85" s="299"/>
      <c r="AS85" s="299"/>
      <c r="AT85" s="299"/>
      <c r="AU85" s="299"/>
      <c r="AV85" s="299"/>
      <c r="AW85" s="299"/>
      <c r="AX85" s="299"/>
      <c r="AY85" s="299"/>
      <c r="AZ85" s="299"/>
      <c r="BA85" s="299"/>
      <c r="BB85" s="299"/>
      <c r="BC85" s="299"/>
      <c r="BD85" s="299"/>
      <c r="BE85" s="299"/>
      <c r="BF85" s="299"/>
      <c r="BG85" s="299"/>
      <c r="BH85" s="299"/>
      <c r="BI85" s="299"/>
      <c r="BJ85" s="299"/>
      <c r="BK85" s="299"/>
      <c r="BL85" s="299"/>
      <c r="BM85" s="299"/>
      <c r="BN85" s="299"/>
      <c r="BO85" s="299"/>
      <c r="BP85" s="299"/>
      <c r="BQ85" s="299"/>
      <c r="BR85" s="299"/>
      <c r="BS85" s="299"/>
      <c r="BT85" s="299"/>
      <c r="BU85" s="299"/>
      <c r="BV85" s="299"/>
      <c r="BW85" s="299"/>
      <c r="BX85" s="299"/>
      <c r="BY85" s="299"/>
      <c r="BZ85" s="299"/>
      <c r="CA85" s="299"/>
      <c r="CB85" s="299"/>
      <c r="CC85" s="299"/>
      <c r="CD85" s="299"/>
      <c r="CE85" s="299"/>
      <c r="CF85" s="299"/>
      <c r="CG85" s="299"/>
      <c r="CH85" s="299"/>
      <c r="CI85" s="299"/>
      <c r="CJ85" s="299"/>
      <c r="CK85" s="299"/>
      <c r="CL85" s="299"/>
      <c r="CM85" s="299"/>
      <c r="CN85" s="299"/>
      <c r="CO85" s="299"/>
      <c r="CP85" s="299"/>
      <c r="CQ85" s="299"/>
      <c r="CR85" s="299"/>
      <c r="CS85" s="299"/>
      <c r="CT85" s="299"/>
      <c r="CU85" s="299"/>
      <c r="CV85" s="299"/>
    </row>
    <row r="86" spans="1:100" s="269" customFormat="1" ht="16.5" hidden="1" customHeight="1">
      <c r="A86" s="281" t="e">
        <f>#REF!</f>
        <v>#REF!</v>
      </c>
      <c r="B86" s="281"/>
      <c r="C86" s="281"/>
      <c r="D86" s="281"/>
      <c r="E86" s="281"/>
      <c r="F86" s="281"/>
      <c r="G86" s="281"/>
      <c r="H86" s="281"/>
      <c r="I86" s="282" t="e">
        <f>#REF!</f>
        <v>#REF!</v>
      </c>
      <c r="J86" s="912" t="e">
        <f>#REF!</f>
        <v>#REF!</v>
      </c>
      <c r="K86" s="912"/>
      <c r="L86" s="912"/>
      <c r="M86" s="912"/>
      <c r="N86" s="299"/>
      <c r="O86" s="299"/>
      <c r="P86" s="299"/>
      <c r="Q86" s="299"/>
      <c r="R86" s="299"/>
      <c r="S86" s="299"/>
      <c r="T86" s="299"/>
      <c r="U86" s="299"/>
      <c r="V86" s="299"/>
      <c r="W86" s="299"/>
      <c r="X86" s="299"/>
      <c r="Y86" s="299"/>
      <c r="Z86" s="299"/>
      <c r="AA86" s="299"/>
      <c r="AB86" s="299"/>
      <c r="AC86" s="299"/>
      <c r="AD86" s="299"/>
      <c r="AE86" s="299"/>
      <c r="AF86" s="299"/>
      <c r="AG86" s="299"/>
      <c r="AH86" s="299"/>
      <c r="AI86" s="299"/>
      <c r="AJ86" s="299"/>
      <c r="AK86" s="299"/>
      <c r="AL86" s="299"/>
      <c r="AM86" s="299"/>
      <c r="AN86" s="299"/>
      <c r="AO86" s="299"/>
      <c r="AP86" s="299"/>
      <c r="AQ86" s="299"/>
      <c r="AR86" s="299"/>
      <c r="AS86" s="299"/>
      <c r="AT86" s="299"/>
      <c r="AU86" s="299"/>
      <c r="AV86" s="299"/>
      <c r="AW86" s="299"/>
      <c r="AX86" s="299"/>
      <c r="AY86" s="299"/>
      <c r="AZ86" s="299"/>
      <c r="BA86" s="299"/>
      <c r="BB86" s="299"/>
      <c r="BC86" s="299"/>
      <c r="BD86" s="299"/>
      <c r="BE86" s="299"/>
      <c r="BF86" s="299"/>
      <c r="BG86" s="299"/>
      <c r="BH86" s="299"/>
      <c r="BI86" s="299"/>
      <c r="BJ86" s="299"/>
      <c r="BK86" s="299"/>
      <c r="BL86" s="299"/>
      <c r="BM86" s="299"/>
      <c r="BN86" s="299"/>
      <c r="BO86" s="299"/>
      <c r="BP86" s="299"/>
      <c r="BQ86" s="299"/>
      <c r="BR86" s="299"/>
      <c r="BS86" s="299"/>
      <c r="BT86" s="299"/>
      <c r="BU86" s="299"/>
      <c r="BV86" s="299"/>
      <c r="BW86" s="299"/>
      <c r="BX86" s="299"/>
      <c r="BY86" s="299"/>
      <c r="BZ86" s="299"/>
      <c r="CA86" s="299"/>
      <c r="CB86" s="299"/>
      <c r="CC86" s="299"/>
      <c r="CD86" s="299"/>
      <c r="CE86" s="299"/>
      <c r="CF86" s="299"/>
      <c r="CG86" s="299"/>
      <c r="CH86" s="299"/>
      <c r="CI86" s="299"/>
      <c r="CJ86" s="299"/>
      <c r="CK86" s="299"/>
      <c r="CL86" s="299"/>
      <c r="CM86" s="299"/>
      <c r="CN86" s="299"/>
      <c r="CO86" s="299"/>
      <c r="CP86" s="299"/>
      <c r="CQ86" s="299"/>
      <c r="CR86" s="299"/>
      <c r="CS86" s="299"/>
      <c r="CT86" s="299"/>
      <c r="CU86" s="299"/>
      <c r="CV86" s="299"/>
    </row>
    <row r="87" spans="1:100" s="269" customFormat="1" ht="16.5" hidden="1" customHeight="1">
      <c r="A87" s="281"/>
      <c r="B87" s="281"/>
      <c r="C87" s="281"/>
      <c r="D87" s="281"/>
      <c r="E87" s="281"/>
      <c r="F87" s="281"/>
      <c r="G87" s="281"/>
      <c r="H87" s="281"/>
      <c r="I87" s="280" t="e">
        <f>#REF!</f>
        <v>#REF!</v>
      </c>
      <c r="J87" s="912" t="e">
        <f>#REF!</f>
        <v>#REF!</v>
      </c>
      <c r="K87" s="912"/>
      <c r="L87" s="912"/>
      <c r="M87" s="912"/>
      <c r="N87" s="299"/>
      <c r="O87" s="299"/>
      <c r="P87" s="299"/>
      <c r="Q87" s="299"/>
      <c r="R87" s="299"/>
      <c r="S87" s="299"/>
      <c r="T87" s="299"/>
      <c r="U87" s="299"/>
      <c r="V87" s="299"/>
      <c r="W87" s="299"/>
      <c r="X87" s="299"/>
      <c r="Y87" s="299"/>
      <c r="Z87" s="299"/>
      <c r="AA87" s="299"/>
      <c r="AB87" s="299"/>
      <c r="AC87" s="299"/>
      <c r="AD87" s="299"/>
      <c r="AE87" s="299"/>
      <c r="AF87" s="299"/>
      <c r="AG87" s="299"/>
      <c r="AH87" s="299"/>
      <c r="AI87" s="299"/>
      <c r="AJ87" s="299"/>
      <c r="AK87" s="299"/>
      <c r="AL87" s="299"/>
      <c r="AM87" s="299"/>
      <c r="AN87" s="299"/>
      <c r="AO87" s="299"/>
      <c r="AP87" s="299"/>
      <c r="AQ87" s="299"/>
      <c r="AR87" s="299"/>
      <c r="AS87" s="299"/>
      <c r="AT87" s="299"/>
      <c r="AU87" s="299"/>
      <c r="AV87" s="299"/>
      <c r="AW87" s="299"/>
      <c r="AX87" s="299"/>
      <c r="AY87" s="299"/>
      <c r="AZ87" s="299"/>
      <c r="BA87" s="299"/>
      <c r="BB87" s="299"/>
      <c r="BC87" s="299"/>
      <c r="BD87" s="299"/>
      <c r="BE87" s="299"/>
      <c r="BF87" s="299"/>
      <c r="BG87" s="299"/>
      <c r="BH87" s="299"/>
      <c r="BI87" s="299"/>
      <c r="BJ87" s="299"/>
      <c r="BK87" s="299"/>
      <c r="BL87" s="299"/>
      <c r="BM87" s="299"/>
      <c r="BN87" s="299"/>
      <c r="BO87" s="299"/>
      <c r="BP87" s="299"/>
      <c r="BQ87" s="299"/>
      <c r="BR87" s="299"/>
      <c r="BS87" s="299"/>
      <c r="BT87" s="299"/>
      <c r="BU87" s="299"/>
      <c r="BV87" s="299"/>
      <c r="BW87" s="299"/>
      <c r="BX87" s="299"/>
      <c r="BY87" s="299"/>
      <c r="BZ87" s="299"/>
      <c r="CA87" s="299"/>
      <c r="CB87" s="299"/>
      <c r="CC87" s="299"/>
      <c r="CD87" s="299"/>
      <c r="CE87" s="299"/>
      <c r="CF87" s="299"/>
      <c r="CG87" s="299"/>
      <c r="CH87" s="299"/>
      <c r="CI87" s="299"/>
      <c r="CJ87" s="299"/>
      <c r="CK87" s="299"/>
      <c r="CL87" s="299"/>
      <c r="CM87" s="299"/>
      <c r="CN87" s="299"/>
      <c r="CO87" s="299"/>
      <c r="CP87" s="299"/>
      <c r="CQ87" s="299"/>
      <c r="CR87" s="299"/>
      <c r="CS87" s="299"/>
      <c r="CT87" s="299"/>
      <c r="CU87" s="299"/>
      <c r="CV87" s="299"/>
    </row>
    <row r="88" spans="1:100" s="269" customFormat="1" ht="20.100000000000001" hidden="1" customHeight="1">
      <c r="A88" s="285" t="e">
        <f>#REF!</f>
        <v>#REF!</v>
      </c>
      <c r="B88" s="285"/>
      <c r="C88" s="285"/>
      <c r="D88" s="285"/>
      <c r="E88" s="285"/>
      <c r="F88" s="285"/>
      <c r="G88" s="285"/>
      <c r="H88" s="285"/>
      <c r="I88" s="280" t="e">
        <f>#REF!</f>
        <v>#REF!</v>
      </c>
      <c r="J88" s="912"/>
      <c r="K88" s="912"/>
      <c r="L88" s="912"/>
      <c r="M88" s="912"/>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299"/>
      <c r="AP88" s="299"/>
      <c r="AQ88" s="299"/>
      <c r="AR88" s="299"/>
      <c r="AS88" s="299"/>
      <c r="AT88" s="299"/>
      <c r="AU88" s="299"/>
      <c r="AV88" s="299"/>
      <c r="AW88" s="299"/>
      <c r="AX88" s="299"/>
      <c r="AY88" s="299"/>
      <c r="AZ88" s="299"/>
      <c r="BA88" s="299"/>
      <c r="BB88" s="299"/>
      <c r="BC88" s="299"/>
      <c r="BD88" s="299"/>
      <c r="BE88" s="299"/>
      <c r="BF88" s="299"/>
      <c r="BG88" s="299"/>
      <c r="BH88" s="299"/>
      <c r="BI88" s="299"/>
      <c r="BJ88" s="299"/>
      <c r="BK88" s="299"/>
      <c r="BL88" s="299"/>
      <c r="BM88" s="299"/>
      <c r="BN88" s="299"/>
      <c r="BO88" s="299"/>
      <c r="BP88" s="299"/>
      <c r="BQ88" s="299"/>
      <c r="BR88" s="299"/>
      <c r="BS88" s="299"/>
      <c r="BT88" s="299"/>
      <c r="BU88" s="299"/>
      <c r="BV88" s="299"/>
      <c r="BW88" s="299"/>
      <c r="BX88" s="299"/>
      <c r="BY88" s="299"/>
      <c r="BZ88" s="299"/>
      <c r="CA88" s="299"/>
      <c r="CB88" s="299"/>
      <c r="CC88" s="299"/>
      <c r="CD88" s="299"/>
      <c r="CE88" s="299"/>
      <c r="CF88" s="299"/>
      <c r="CG88" s="299"/>
      <c r="CH88" s="299"/>
      <c r="CI88" s="299"/>
      <c r="CJ88" s="299"/>
      <c r="CK88" s="299"/>
      <c r="CL88" s="299"/>
      <c r="CM88" s="299"/>
      <c r="CN88" s="299"/>
      <c r="CO88" s="299"/>
      <c r="CP88" s="299"/>
      <c r="CQ88" s="299"/>
      <c r="CR88" s="299"/>
      <c r="CS88" s="299"/>
      <c r="CT88" s="299"/>
      <c r="CU88" s="299"/>
      <c r="CV88" s="299"/>
    </row>
    <row r="89" spans="1:100" s="269" customFormat="1" ht="16.5" hidden="1" customHeight="1">
      <c r="A89" s="281" t="e">
        <f>#REF!</f>
        <v>#REF!</v>
      </c>
      <c r="B89" s="281"/>
      <c r="C89" s="281"/>
      <c r="D89" s="281"/>
      <c r="E89" s="281"/>
      <c r="F89" s="281"/>
      <c r="G89" s="281"/>
      <c r="H89" s="281"/>
      <c r="I89" s="282" t="e">
        <f>#REF!</f>
        <v>#REF!</v>
      </c>
      <c r="J89" s="912" t="e">
        <f>#REF!</f>
        <v>#REF!</v>
      </c>
      <c r="K89" s="912"/>
      <c r="L89" s="912"/>
      <c r="M89" s="912"/>
      <c r="N89" s="299"/>
      <c r="O89" s="299"/>
      <c r="P89" s="299"/>
      <c r="Q89" s="299"/>
      <c r="R89" s="299"/>
      <c r="S89" s="299"/>
      <c r="T89" s="299"/>
      <c r="U89" s="299"/>
      <c r="V89" s="299"/>
      <c r="W89" s="299"/>
      <c r="X89" s="299"/>
      <c r="Y89" s="299"/>
      <c r="Z89" s="299"/>
      <c r="AA89" s="299"/>
      <c r="AB89" s="299"/>
      <c r="AC89" s="299"/>
      <c r="AD89" s="299"/>
      <c r="AE89" s="299"/>
      <c r="AF89" s="299"/>
      <c r="AG89" s="299"/>
      <c r="AH89" s="299"/>
      <c r="AI89" s="299"/>
      <c r="AJ89" s="299"/>
      <c r="AK89" s="299"/>
      <c r="AL89" s="299"/>
      <c r="AM89" s="299"/>
      <c r="AN89" s="299"/>
      <c r="AO89" s="299"/>
      <c r="AP89" s="299"/>
      <c r="AQ89" s="299"/>
      <c r="AR89" s="299"/>
      <c r="AS89" s="299"/>
      <c r="AT89" s="299"/>
      <c r="AU89" s="299"/>
      <c r="AV89" s="299"/>
      <c r="AW89" s="299"/>
      <c r="AX89" s="299"/>
      <c r="AY89" s="299"/>
      <c r="AZ89" s="299"/>
      <c r="BA89" s="299"/>
      <c r="BB89" s="299"/>
      <c r="BC89" s="299"/>
      <c r="BD89" s="299"/>
      <c r="BE89" s="299"/>
      <c r="BF89" s="299"/>
      <c r="BG89" s="299"/>
      <c r="BH89" s="299"/>
      <c r="BI89" s="299"/>
      <c r="BJ89" s="299"/>
      <c r="BK89" s="299"/>
      <c r="BL89" s="299"/>
      <c r="BM89" s="299"/>
      <c r="BN89" s="299"/>
      <c r="BO89" s="299"/>
      <c r="BP89" s="299"/>
      <c r="BQ89" s="299"/>
      <c r="BR89" s="299"/>
      <c r="BS89" s="299"/>
      <c r="BT89" s="299"/>
      <c r="BU89" s="299"/>
      <c r="BV89" s="299"/>
      <c r="BW89" s="299"/>
      <c r="BX89" s="299"/>
      <c r="BY89" s="299"/>
      <c r="BZ89" s="299"/>
      <c r="CA89" s="299"/>
      <c r="CB89" s="299"/>
      <c r="CC89" s="299"/>
      <c r="CD89" s="299"/>
      <c r="CE89" s="299"/>
      <c r="CF89" s="299"/>
      <c r="CG89" s="299"/>
      <c r="CH89" s="299"/>
      <c r="CI89" s="299"/>
      <c r="CJ89" s="299"/>
      <c r="CK89" s="299"/>
      <c r="CL89" s="299"/>
      <c r="CM89" s="299"/>
      <c r="CN89" s="299"/>
      <c r="CO89" s="299"/>
      <c r="CP89" s="299"/>
      <c r="CQ89" s="299"/>
      <c r="CR89" s="299"/>
      <c r="CS89" s="299"/>
      <c r="CT89" s="299"/>
      <c r="CU89" s="299"/>
      <c r="CV89" s="299"/>
    </row>
    <row r="90" spans="1:100" s="269" customFormat="1" ht="16.5" hidden="1" customHeight="1">
      <c r="A90" s="281" t="e">
        <f>#REF!</f>
        <v>#REF!</v>
      </c>
      <c r="B90" s="281"/>
      <c r="C90" s="281"/>
      <c r="D90" s="281"/>
      <c r="E90" s="281"/>
      <c r="F90" s="281"/>
      <c r="G90" s="281"/>
      <c r="H90" s="281"/>
      <c r="I90" s="282" t="e">
        <f>#REF!</f>
        <v>#REF!</v>
      </c>
      <c r="J90" s="912" t="e">
        <f>#REF!</f>
        <v>#REF!</v>
      </c>
      <c r="K90" s="912"/>
      <c r="L90" s="912"/>
      <c r="M90" s="912"/>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299"/>
      <c r="AP90" s="299"/>
      <c r="AQ90" s="299"/>
      <c r="AR90" s="299"/>
      <c r="AS90" s="299"/>
      <c r="AT90" s="299"/>
      <c r="AU90" s="299"/>
      <c r="AV90" s="299"/>
      <c r="AW90" s="299"/>
      <c r="AX90" s="299"/>
      <c r="AY90" s="299"/>
      <c r="AZ90" s="299"/>
      <c r="BA90" s="299"/>
      <c r="BB90" s="299"/>
      <c r="BC90" s="299"/>
      <c r="BD90" s="299"/>
      <c r="BE90" s="299"/>
      <c r="BF90" s="299"/>
      <c r="BG90" s="299"/>
      <c r="BH90" s="299"/>
      <c r="BI90" s="299"/>
      <c r="BJ90" s="299"/>
      <c r="BK90" s="299"/>
      <c r="BL90" s="299"/>
      <c r="BM90" s="299"/>
      <c r="BN90" s="299"/>
      <c r="BO90" s="299"/>
      <c r="BP90" s="299"/>
      <c r="BQ90" s="299"/>
      <c r="BR90" s="299"/>
      <c r="BS90" s="299"/>
      <c r="BT90" s="299"/>
      <c r="BU90" s="299"/>
      <c r="BV90" s="299"/>
      <c r="BW90" s="299"/>
      <c r="BX90" s="299"/>
      <c r="BY90" s="299"/>
      <c r="BZ90" s="299"/>
      <c r="CA90" s="299"/>
      <c r="CB90" s="299"/>
      <c r="CC90" s="299"/>
      <c r="CD90" s="299"/>
      <c r="CE90" s="299"/>
      <c r="CF90" s="299"/>
      <c r="CG90" s="299"/>
      <c r="CH90" s="299"/>
      <c r="CI90" s="299"/>
      <c r="CJ90" s="299"/>
      <c r="CK90" s="299"/>
      <c r="CL90" s="299"/>
      <c r="CM90" s="299"/>
      <c r="CN90" s="299"/>
      <c r="CO90" s="299"/>
      <c r="CP90" s="299"/>
      <c r="CQ90" s="299"/>
      <c r="CR90" s="299"/>
      <c r="CS90" s="299"/>
      <c r="CT90" s="299"/>
      <c r="CU90" s="299"/>
      <c r="CV90" s="299"/>
    </row>
    <row r="91" spans="1:100" s="269" customFormat="1" ht="20.100000000000001" hidden="1" customHeight="1">
      <c r="A91" s="281" t="e">
        <f>#REF!</f>
        <v>#REF!</v>
      </c>
      <c r="B91" s="281"/>
      <c r="C91" s="281"/>
      <c r="D91" s="281"/>
      <c r="E91" s="281"/>
      <c r="F91" s="281"/>
      <c r="G91" s="281"/>
      <c r="H91" s="281"/>
      <c r="I91" s="282" t="e">
        <f>#REF!</f>
        <v>#REF!</v>
      </c>
      <c r="J91" s="912" t="e">
        <f>#REF!</f>
        <v>#REF!</v>
      </c>
      <c r="K91" s="912"/>
      <c r="L91" s="912"/>
      <c r="M91" s="912"/>
      <c r="N91" s="299"/>
      <c r="O91" s="299"/>
      <c r="P91" s="299"/>
      <c r="Q91" s="299"/>
      <c r="R91" s="299"/>
      <c r="S91" s="299"/>
      <c r="T91" s="299"/>
      <c r="U91" s="299"/>
      <c r="V91" s="299"/>
      <c r="W91" s="299"/>
      <c r="X91" s="299"/>
      <c r="Y91" s="299"/>
      <c r="Z91" s="299"/>
      <c r="AA91" s="299"/>
      <c r="AB91" s="299"/>
      <c r="AC91" s="299"/>
      <c r="AD91" s="299"/>
      <c r="AE91" s="299"/>
      <c r="AF91" s="299"/>
      <c r="AG91" s="299"/>
      <c r="AH91" s="299"/>
      <c r="AI91" s="299"/>
      <c r="AJ91" s="299"/>
      <c r="AK91" s="299"/>
      <c r="AL91" s="299"/>
      <c r="AM91" s="299"/>
      <c r="AN91" s="299"/>
      <c r="AO91" s="299"/>
      <c r="AP91" s="299"/>
      <c r="AQ91" s="299"/>
      <c r="AR91" s="299"/>
      <c r="AS91" s="299"/>
      <c r="AT91" s="299"/>
      <c r="AU91" s="299"/>
      <c r="AV91" s="299"/>
      <c r="AW91" s="299"/>
      <c r="AX91" s="299"/>
      <c r="AY91" s="299"/>
      <c r="AZ91" s="299"/>
      <c r="BA91" s="299"/>
      <c r="BB91" s="299"/>
      <c r="BC91" s="299"/>
      <c r="BD91" s="299"/>
      <c r="BE91" s="299"/>
      <c r="BF91" s="299"/>
      <c r="BG91" s="299"/>
      <c r="BH91" s="299"/>
      <c r="BI91" s="299"/>
      <c r="BJ91" s="299"/>
      <c r="BK91" s="299"/>
      <c r="BL91" s="299"/>
      <c r="BM91" s="299"/>
      <c r="BN91" s="299"/>
      <c r="BO91" s="299"/>
      <c r="BP91" s="299"/>
      <c r="BQ91" s="299"/>
      <c r="BR91" s="299"/>
      <c r="BS91" s="299"/>
      <c r="BT91" s="299"/>
      <c r="BU91" s="299"/>
      <c r="BV91" s="299"/>
      <c r="BW91" s="299"/>
      <c r="BX91" s="299"/>
      <c r="BY91" s="299"/>
      <c r="BZ91" s="299"/>
      <c r="CA91" s="299"/>
      <c r="CB91" s="299"/>
      <c r="CC91" s="299"/>
      <c r="CD91" s="299"/>
      <c r="CE91" s="299"/>
      <c r="CF91" s="299"/>
      <c r="CG91" s="299"/>
      <c r="CH91" s="299"/>
      <c r="CI91" s="299"/>
      <c r="CJ91" s="299"/>
      <c r="CK91" s="299"/>
      <c r="CL91" s="299"/>
      <c r="CM91" s="299"/>
      <c r="CN91" s="299"/>
      <c r="CO91" s="299"/>
      <c r="CP91" s="299"/>
      <c r="CQ91" s="299"/>
      <c r="CR91" s="299"/>
      <c r="CS91" s="299"/>
      <c r="CT91" s="299"/>
      <c r="CU91" s="299"/>
      <c r="CV91" s="299"/>
    </row>
    <row r="92" spans="1:100" s="269" customFormat="1" ht="16.5" hidden="1" customHeight="1">
      <c r="A92" s="281" t="e">
        <f>#REF!</f>
        <v>#REF!</v>
      </c>
      <c r="B92" s="281"/>
      <c r="C92" s="281"/>
      <c r="D92" s="281"/>
      <c r="E92" s="281"/>
      <c r="F92" s="281"/>
      <c r="G92" s="281"/>
      <c r="H92" s="281"/>
      <c r="I92" s="282" t="e">
        <f>#REF!</f>
        <v>#REF!</v>
      </c>
      <c r="J92" s="912" t="e">
        <f>#REF!</f>
        <v>#REF!</v>
      </c>
      <c r="K92" s="912"/>
      <c r="L92" s="912"/>
      <c r="M92" s="912"/>
      <c r="N92" s="299"/>
      <c r="O92" s="299"/>
      <c r="P92" s="299"/>
      <c r="Q92" s="299"/>
      <c r="R92" s="299"/>
      <c r="S92" s="299"/>
      <c r="T92" s="299"/>
      <c r="U92" s="299"/>
      <c r="V92" s="299"/>
      <c r="W92" s="299"/>
      <c r="X92" s="299"/>
      <c r="Y92" s="299"/>
      <c r="Z92" s="299"/>
      <c r="AA92" s="299"/>
      <c r="AB92" s="299"/>
      <c r="AC92" s="299"/>
      <c r="AD92" s="299"/>
      <c r="AE92" s="299"/>
      <c r="AF92" s="299"/>
      <c r="AG92" s="299"/>
      <c r="AH92" s="299"/>
      <c r="AI92" s="299"/>
      <c r="AJ92" s="299"/>
      <c r="AK92" s="299"/>
      <c r="AL92" s="299"/>
      <c r="AM92" s="299"/>
      <c r="AN92" s="299"/>
      <c r="AO92" s="299"/>
      <c r="AP92" s="299"/>
      <c r="AQ92" s="299"/>
      <c r="AR92" s="299"/>
      <c r="AS92" s="299"/>
      <c r="AT92" s="299"/>
      <c r="AU92" s="299"/>
      <c r="AV92" s="299"/>
      <c r="AW92" s="299"/>
      <c r="AX92" s="299"/>
      <c r="AY92" s="299"/>
      <c r="AZ92" s="299"/>
      <c r="BA92" s="299"/>
      <c r="BB92" s="299"/>
      <c r="BC92" s="299"/>
      <c r="BD92" s="299"/>
      <c r="BE92" s="299"/>
      <c r="BF92" s="299"/>
      <c r="BG92" s="299"/>
      <c r="BH92" s="299"/>
      <c r="BI92" s="299"/>
      <c r="BJ92" s="299"/>
      <c r="BK92" s="299"/>
      <c r="BL92" s="299"/>
      <c r="BM92" s="299"/>
      <c r="BN92" s="299"/>
      <c r="BO92" s="299"/>
      <c r="BP92" s="299"/>
      <c r="BQ92" s="299"/>
      <c r="BR92" s="299"/>
      <c r="BS92" s="299"/>
      <c r="BT92" s="299"/>
      <c r="BU92" s="299"/>
      <c r="BV92" s="299"/>
      <c r="BW92" s="299"/>
      <c r="BX92" s="299"/>
      <c r="BY92" s="299"/>
      <c r="BZ92" s="299"/>
      <c r="CA92" s="299"/>
      <c r="CB92" s="299"/>
      <c r="CC92" s="299"/>
      <c r="CD92" s="299"/>
      <c r="CE92" s="299"/>
      <c r="CF92" s="299"/>
      <c r="CG92" s="299"/>
      <c r="CH92" s="299"/>
      <c r="CI92" s="299"/>
      <c r="CJ92" s="299"/>
      <c r="CK92" s="299"/>
      <c r="CL92" s="299"/>
      <c r="CM92" s="299"/>
      <c r="CN92" s="299"/>
      <c r="CO92" s="299"/>
      <c r="CP92" s="299"/>
      <c r="CQ92" s="299"/>
      <c r="CR92" s="299"/>
      <c r="CS92" s="299"/>
      <c r="CT92" s="299"/>
      <c r="CU92" s="299"/>
      <c r="CV92" s="299"/>
    </row>
    <row r="93" spans="1:100" s="287" customFormat="1" ht="20.100000000000001" hidden="1" customHeight="1">
      <c r="A93" s="286"/>
      <c r="B93" s="286"/>
      <c r="C93" s="286"/>
      <c r="D93" s="286"/>
      <c r="E93" s="286"/>
      <c r="F93" s="286"/>
      <c r="G93" s="286"/>
      <c r="H93" s="286"/>
      <c r="I93" s="280" t="e">
        <f>#REF!</f>
        <v>#REF!</v>
      </c>
      <c r="J93" s="912" t="e">
        <f>#REF!</f>
        <v>#REF!</v>
      </c>
      <c r="K93" s="912"/>
      <c r="L93" s="912"/>
      <c r="M93" s="912"/>
      <c r="N93" s="299"/>
      <c r="O93" s="299"/>
      <c r="P93" s="299"/>
      <c r="Q93" s="299"/>
      <c r="R93" s="299"/>
      <c r="S93" s="299"/>
      <c r="T93" s="299"/>
      <c r="U93" s="299"/>
      <c r="V93" s="299"/>
      <c r="W93" s="299"/>
      <c r="X93" s="299"/>
      <c r="Y93" s="299"/>
      <c r="Z93" s="299"/>
      <c r="AA93" s="299"/>
      <c r="AB93" s="299"/>
      <c r="AC93" s="299"/>
      <c r="AD93" s="299"/>
      <c r="AE93" s="299"/>
      <c r="AF93" s="299"/>
      <c r="AG93" s="299"/>
      <c r="AH93" s="299"/>
      <c r="AI93" s="299"/>
      <c r="AJ93" s="299"/>
      <c r="AK93" s="299"/>
      <c r="AL93" s="299"/>
      <c r="AM93" s="299"/>
      <c r="AN93" s="299"/>
      <c r="AO93" s="299"/>
      <c r="AP93" s="299"/>
      <c r="AQ93" s="299"/>
      <c r="AR93" s="299"/>
      <c r="AS93" s="299"/>
      <c r="AT93" s="299"/>
      <c r="AU93" s="299"/>
      <c r="AV93" s="299"/>
      <c r="AW93" s="299"/>
      <c r="AX93" s="299"/>
      <c r="AY93" s="299"/>
      <c r="AZ93" s="299"/>
      <c r="BA93" s="299"/>
      <c r="BB93" s="299"/>
      <c r="BC93" s="299"/>
      <c r="BD93" s="299"/>
      <c r="BE93" s="299"/>
      <c r="BF93" s="299"/>
      <c r="BG93" s="299"/>
      <c r="BH93" s="299"/>
      <c r="BI93" s="299"/>
      <c r="BJ93" s="299"/>
      <c r="BK93" s="299"/>
      <c r="BL93" s="299"/>
      <c r="BM93" s="299"/>
      <c r="BN93" s="299"/>
      <c r="BO93" s="299"/>
      <c r="BP93" s="299"/>
      <c r="BQ93" s="299"/>
      <c r="BR93" s="299"/>
      <c r="BS93" s="299"/>
      <c r="BT93" s="299"/>
      <c r="BU93" s="299"/>
      <c r="BV93" s="299"/>
      <c r="BW93" s="299"/>
      <c r="BX93" s="299"/>
      <c r="BY93" s="299"/>
      <c r="BZ93" s="299"/>
      <c r="CA93" s="299"/>
      <c r="CB93" s="299"/>
      <c r="CC93" s="299"/>
      <c r="CD93" s="299"/>
      <c r="CE93" s="299"/>
      <c r="CF93" s="299"/>
      <c r="CG93" s="299"/>
      <c r="CH93" s="299"/>
      <c r="CI93" s="299"/>
      <c r="CJ93" s="299"/>
      <c r="CK93" s="299"/>
      <c r="CL93" s="299"/>
      <c r="CM93" s="299"/>
      <c r="CN93" s="299"/>
      <c r="CO93" s="299"/>
      <c r="CP93" s="299"/>
      <c r="CQ93" s="299"/>
      <c r="CR93" s="299"/>
      <c r="CS93" s="299"/>
      <c r="CT93" s="299"/>
      <c r="CU93" s="299"/>
      <c r="CV93" s="299"/>
    </row>
    <row r="94" spans="1:100" s="269" customFormat="1" ht="24" hidden="1" customHeight="1">
      <c r="A94" s="285" t="e">
        <f>#REF!</f>
        <v>#REF!</v>
      </c>
      <c r="B94" s="285"/>
      <c r="C94" s="285"/>
      <c r="D94" s="285"/>
      <c r="E94" s="285"/>
      <c r="F94" s="285"/>
      <c r="G94" s="285"/>
      <c r="H94" s="285"/>
      <c r="I94" s="280" t="e">
        <f>#REF!</f>
        <v>#REF!</v>
      </c>
      <c r="J94" s="912"/>
      <c r="K94" s="912"/>
      <c r="L94" s="912"/>
      <c r="M94" s="912"/>
      <c r="N94" s="299"/>
      <c r="O94" s="299"/>
      <c r="P94" s="299"/>
      <c r="Q94" s="299"/>
      <c r="R94" s="299"/>
      <c r="S94" s="299"/>
      <c r="T94" s="299"/>
      <c r="U94" s="299"/>
      <c r="V94" s="299"/>
      <c r="W94" s="299"/>
      <c r="X94" s="299"/>
      <c r="Y94" s="299"/>
      <c r="Z94" s="299"/>
      <c r="AA94" s="299"/>
      <c r="AB94" s="299"/>
      <c r="AC94" s="299"/>
      <c r="AD94" s="299"/>
      <c r="AE94" s="299"/>
      <c r="AF94" s="299"/>
      <c r="AG94" s="299"/>
      <c r="AH94" s="299"/>
      <c r="AI94" s="299"/>
      <c r="AJ94" s="299"/>
      <c r="AK94" s="299"/>
      <c r="AL94" s="299"/>
      <c r="AM94" s="299"/>
      <c r="AN94" s="299"/>
      <c r="AO94" s="299"/>
      <c r="AP94" s="299"/>
      <c r="AQ94" s="299"/>
      <c r="AR94" s="299"/>
      <c r="AS94" s="299"/>
      <c r="AT94" s="299"/>
      <c r="AU94" s="299"/>
      <c r="AV94" s="299"/>
      <c r="AW94" s="299"/>
      <c r="AX94" s="299"/>
      <c r="AY94" s="299"/>
      <c r="AZ94" s="299"/>
      <c r="BA94" s="299"/>
      <c r="BB94" s="299"/>
      <c r="BC94" s="299"/>
      <c r="BD94" s="299"/>
      <c r="BE94" s="299"/>
      <c r="BF94" s="299"/>
      <c r="BG94" s="299"/>
      <c r="BH94" s="299"/>
      <c r="BI94" s="299"/>
      <c r="BJ94" s="299"/>
      <c r="BK94" s="299"/>
      <c r="BL94" s="299"/>
      <c r="BM94" s="299"/>
      <c r="BN94" s="299"/>
      <c r="BO94" s="299"/>
      <c r="BP94" s="299"/>
      <c r="BQ94" s="299"/>
      <c r="BR94" s="299"/>
      <c r="BS94" s="299"/>
      <c r="BT94" s="299"/>
      <c r="BU94" s="299"/>
      <c r="BV94" s="299"/>
      <c r="BW94" s="299"/>
      <c r="BX94" s="299"/>
      <c r="BY94" s="299"/>
      <c r="BZ94" s="299"/>
      <c r="CA94" s="299"/>
      <c r="CB94" s="299"/>
      <c r="CC94" s="299"/>
      <c r="CD94" s="299"/>
      <c r="CE94" s="299"/>
      <c r="CF94" s="299"/>
      <c r="CG94" s="299"/>
      <c r="CH94" s="299"/>
      <c r="CI94" s="299"/>
      <c r="CJ94" s="299"/>
      <c r="CK94" s="299"/>
      <c r="CL94" s="299"/>
      <c r="CM94" s="299"/>
      <c r="CN94" s="299"/>
      <c r="CO94" s="299"/>
      <c r="CP94" s="299"/>
      <c r="CQ94" s="299"/>
      <c r="CR94" s="299"/>
      <c r="CS94" s="299"/>
      <c r="CT94" s="299"/>
      <c r="CU94" s="299"/>
      <c r="CV94" s="299"/>
    </row>
    <row r="95" spans="1:100" s="269" customFormat="1" ht="16.5" hidden="1" customHeight="1">
      <c r="A95" s="281" t="e">
        <f>#REF!</f>
        <v>#REF!</v>
      </c>
      <c r="B95" s="281"/>
      <c r="C95" s="281"/>
      <c r="D95" s="281"/>
      <c r="E95" s="281"/>
      <c r="F95" s="281"/>
      <c r="G95" s="281"/>
      <c r="H95" s="281"/>
      <c r="I95" s="282" t="e">
        <f>#REF!</f>
        <v>#REF!</v>
      </c>
      <c r="J95" s="912" t="e">
        <f>#REF!</f>
        <v>#REF!</v>
      </c>
      <c r="K95" s="912"/>
      <c r="L95" s="912"/>
      <c r="M95" s="912"/>
      <c r="N95" s="299"/>
      <c r="O95" s="299"/>
      <c r="P95" s="299"/>
      <c r="Q95" s="299"/>
      <c r="R95" s="299"/>
      <c r="S95" s="299"/>
      <c r="T95" s="299"/>
      <c r="U95" s="299"/>
      <c r="V95" s="299"/>
      <c r="W95" s="299"/>
      <c r="X95" s="299"/>
      <c r="Y95" s="299"/>
      <c r="Z95" s="299"/>
      <c r="AA95" s="299"/>
      <c r="AB95" s="299"/>
      <c r="AC95" s="299"/>
      <c r="AD95" s="299"/>
      <c r="AE95" s="299"/>
      <c r="AF95" s="299"/>
      <c r="AG95" s="299"/>
      <c r="AH95" s="299"/>
      <c r="AI95" s="299"/>
      <c r="AJ95" s="299"/>
      <c r="AK95" s="299"/>
      <c r="AL95" s="299"/>
      <c r="AM95" s="299"/>
      <c r="AN95" s="299"/>
      <c r="AO95" s="299"/>
      <c r="AP95" s="299"/>
      <c r="AQ95" s="299"/>
      <c r="AR95" s="299"/>
      <c r="AS95" s="299"/>
      <c r="AT95" s="299"/>
      <c r="AU95" s="299"/>
      <c r="AV95" s="299"/>
      <c r="AW95" s="299"/>
      <c r="AX95" s="299"/>
      <c r="AY95" s="299"/>
      <c r="AZ95" s="299"/>
      <c r="BA95" s="299"/>
      <c r="BB95" s="299"/>
      <c r="BC95" s="299"/>
      <c r="BD95" s="299"/>
      <c r="BE95" s="299"/>
      <c r="BF95" s="299"/>
      <c r="BG95" s="299"/>
      <c r="BH95" s="299"/>
      <c r="BI95" s="299"/>
      <c r="BJ95" s="299"/>
      <c r="BK95" s="299"/>
      <c r="BL95" s="299"/>
      <c r="BM95" s="299"/>
      <c r="BN95" s="299"/>
      <c r="BO95" s="299"/>
      <c r="BP95" s="299"/>
      <c r="BQ95" s="299"/>
      <c r="BR95" s="299"/>
      <c r="BS95" s="299"/>
      <c r="BT95" s="299"/>
      <c r="BU95" s="299"/>
      <c r="BV95" s="299"/>
      <c r="BW95" s="299"/>
      <c r="BX95" s="299"/>
      <c r="BY95" s="299"/>
      <c r="BZ95" s="299"/>
      <c r="CA95" s="299"/>
      <c r="CB95" s="299"/>
      <c r="CC95" s="299"/>
      <c r="CD95" s="299"/>
      <c r="CE95" s="299"/>
      <c r="CF95" s="299"/>
      <c r="CG95" s="299"/>
      <c r="CH95" s="299"/>
      <c r="CI95" s="299"/>
      <c r="CJ95" s="299"/>
      <c r="CK95" s="299"/>
      <c r="CL95" s="299"/>
      <c r="CM95" s="299"/>
      <c r="CN95" s="299"/>
      <c r="CO95" s="299"/>
      <c r="CP95" s="299"/>
      <c r="CQ95" s="299"/>
      <c r="CR95" s="299"/>
      <c r="CS95" s="299"/>
      <c r="CT95" s="299"/>
      <c r="CU95" s="299"/>
      <c r="CV95" s="299"/>
    </row>
    <row r="96" spans="1:100" s="269" customFormat="1" ht="16.5" hidden="1" customHeight="1">
      <c r="A96" s="281" t="e">
        <f>#REF!</f>
        <v>#REF!</v>
      </c>
      <c r="B96" s="281"/>
      <c r="C96" s="281"/>
      <c r="D96" s="281"/>
      <c r="E96" s="281"/>
      <c r="F96" s="281"/>
      <c r="G96" s="281"/>
      <c r="H96" s="281"/>
      <c r="I96" s="282" t="e">
        <f>#REF!</f>
        <v>#REF!</v>
      </c>
      <c r="J96" s="912" t="e">
        <f>#REF!</f>
        <v>#REF!</v>
      </c>
      <c r="K96" s="912"/>
      <c r="L96" s="912"/>
      <c r="M96" s="912"/>
      <c r="N96" s="299"/>
      <c r="O96" s="299"/>
      <c r="P96" s="299"/>
      <c r="Q96" s="299"/>
      <c r="R96" s="299"/>
      <c r="S96" s="299"/>
      <c r="T96" s="299"/>
      <c r="U96" s="299"/>
      <c r="V96" s="299"/>
      <c r="W96" s="299"/>
      <c r="X96" s="299"/>
      <c r="Y96" s="299"/>
      <c r="Z96" s="299"/>
      <c r="AA96" s="299"/>
      <c r="AB96" s="299"/>
      <c r="AC96" s="299"/>
      <c r="AD96" s="299"/>
      <c r="AE96" s="299"/>
      <c r="AF96" s="299"/>
      <c r="AG96" s="299"/>
      <c r="AH96" s="299"/>
      <c r="AI96" s="299"/>
      <c r="AJ96" s="299"/>
      <c r="AK96" s="299"/>
      <c r="AL96" s="299"/>
      <c r="AM96" s="299"/>
      <c r="AN96" s="299"/>
      <c r="AO96" s="299"/>
      <c r="AP96" s="299"/>
      <c r="AQ96" s="299"/>
      <c r="AR96" s="299"/>
      <c r="AS96" s="299"/>
      <c r="AT96" s="299"/>
      <c r="AU96" s="299"/>
      <c r="AV96" s="299"/>
      <c r="AW96" s="299"/>
      <c r="AX96" s="299"/>
      <c r="AY96" s="299"/>
      <c r="AZ96" s="299"/>
      <c r="BA96" s="299"/>
      <c r="BB96" s="299"/>
      <c r="BC96" s="299"/>
      <c r="BD96" s="299"/>
      <c r="BE96" s="299"/>
      <c r="BF96" s="299"/>
      <c r="BG96" s="299"/>
      <c r="BH96" s="299"/>
      <c r="BI96" s="299"/>
      <c r="BJ96" s="299"/>
      <c r="BK96" s="299"/>
      <c r="BL96" s="299"/>
      <c r="BM96" s="299"/>
      <c r="BN96" s="299"/>
      <c r="BO96" s="299"/>
      <c r="BP96" s="299"/>
      <c r="BQ96" s="299"/>
      <c r="BR96" s="299"/>
      <c r="BS96" s="299"/>
      <c r="BT96" s="299"/>
      <c r="BU96" s="299"/>
      <c r="BV96" s="299"/>
      <c r="BW96" s="299"/>
      <c r="BX96" s="299"/>
      <c r="BY96" s="299"/>
      <c r="BZ96" s="299"/>
      <c r="CA96" s="299"/>
      <c r="CB96" s="299"/>
      <c r="CC96" s="299"/>
      <c r="CD96" s="299"/>
      <c r="CE96" s="299"/>
      <c r="CF96" s="299"/>
      <c r="CG96" s="299"/>
      <c r="CH96" s="299"/>
      <c r="CI96" s="299"/>
      <c r="CJ96" s="299"/>
      <c r="CK96" s="299"/>
      <c r="CL96" s="299"/>
      <c r="CM96" s="299"/>
      <c r="CN96" s="299"/>
      <c r="CO96" s="299"/>
      <c r="CP96" s="299"/>
      <c r="CQ96" s="299"/>
      <c r="CR96" s="299"/>
      <c r="CS96" s="299"/>
      <c r="CT96" s="299"/>
      <c r="CU96" s="299"/>
      <c r="CV96" s="299"/>
    </row>
    <row r="97" spans="1:100" s="269" customFormat="1" ht="33" hidden="1" customHeight="1">
      <c r="A97" s="281" t="e">
        <f>#REF!</f>
        <v>#REF!</v>
      </c>
      <c r="B97" s="281"/>
      <c r="C97" s="281"/>
      <c r="D97" s="281"/>
      <c r="E97" s="281"/>
      <c r="F97" s="281"/>
      <c r="G97" s="281"/>
      <c r="H97" s="281"/>
      <c r="I97" s="282" t="e">
        <f>#REF!</f>
        <v>#REF!</v>
      </c>
      <c r="J97" s="912" t="e">
        <f>#REF!</f>
        <v>#REF!</v>
      </c>
      <c r="K97" s="912"/>
      <c r="L97" s="912"/>
      <c r="M97" s="912"/>
      <c r="N97" s="299"/>
      <c r="O97" s="299"/>
      <c r="P97" s="299"/>
      <c r="Q97" s="299"/>
      <c r="R97" s="299"/>
      <c r="S97" s="299"/>
      <c r="T97" s="299"/>
      <c r="U97" s="299"/>
      <c r="V97" s="299"/>
      <c r="W97" s="299"/>
      <c r="X97" s="299"/>
      <c r="Y97" s="299"/>
      <c r="Z97" s="299"/>
      <c r="AA97" s="299"/>
      <c r="AB97" s="299"/>
      <c r="AC97" s="299"/>
      <c r="AD97" s="299"/>
      <c r="AE97" s="299"/>
      <c r="AF97" s="299"/>
      <c r="AG97" s="299"/>
      <c r="AH97" s="299"/>
      <c r="AI97" s="299"/>
      <c r="AJ97" s="299"/>
      <c r="AK97" s="299"/>
      <c r="AL97" s="299"/>
      <c r="AM97" s="299"/>
      <c r="AN97" s="299"/>
      <c r="AO97" s="299"/>
      <c r="AP97" s="299"/>
      <c r="AQ97" s="299"/>
      <c r="AR97" s="299"/>
      <c r="AS97" s="299"/>
      <c r="AT97" s="299"/>
      <c r="AU97" s="299"/>
      <c r="AV97" s="299"/>
      <c r="AW97" s="299"/>
      <c r="AX97" s="299"/>
      <c r="AY97" s="299"/>
      <c r="AZ97" s="299"/>
      <c r="BA97" s="299"/>
      <c r="BB97" s="299"/>
      <c r="BC97" s="299"/>
      <c r="BD97" s="299"/>
      <c r="BE97" s="299"/>
      <c r="BF97" s="299"/>
      <c r="BG97" s="299"/>
      <c r="BH97" s="299"/>
      <c r="BI97" s="299"/>
      <c r="BJ97" s="299"/>
      <c r="BK97" s="299"/>
      <c r="BL97" s="299"/>
      <c r="BM97" s="299"/>
      <c r="BN97" s="299"/>
      <c r="BO97" s="299"/>
      <c r="BP97" s="299"/>
      <c r="BQ97" s="299"/>
      <c r="BR97" s="299"/>
      <c r="BS97" s="299"/>
      <c r="BT97" s="299"/>
      <c r="BU97" s="299"/>
      <c r="BV97" s="299"/>
      <c r="BW97" s="299"/>
      <c r="BX97" s="299"/>
      <c r="BY97" s="299"/>
      <c r="BZ97" s="299"/>
      <c r="CA97" s="299"/>
      <c r="CB97" s="299"/>
      <c r="CC97" s="299"/>
      <c r="CD97" s="299"/>
      <c r="CE97" s="299"/>
      <c r="CF97" s="299"/>
      <c r="CG97" s="299"/>
      <c r="CH97" s="299"/>
      <c r="CI97" s="299"/>
      <c r="CJ97" s="299"/>
      <c r="CK97" s="299"/>
      <c r="CL97" s="299"/>
      <c r="CM97" s="299"/>
      <c r="CN97" s="299"/>
      <c r="CO97" s="299"/>
      <c r="CP97" s="299"/>
      <c r="CQ97" s="299"/>
      <c r="CR97" s="299"/>
      <c r="CS97" s="299"/>
      <c r="CT97" s="299"/>
      <c r="CU97" s="299"/>
      <c r="CV97" s="299"/>
    </row>
    <row r="98" spans="1:100" s="287" customFormat="1" ht="20.100000000000001" hidden="1" customHeight="1">
      <c r="A98" s="281"/>
      <c r="B98" s="281"/>
      <c r="C98" s="281"/>
      <c r="D98" s="281"/>
      <c r="E98" s="281"/>
      <c r="F98" s="281"/>
      <c r="G98" s="281"/>
      <c r="H98" s="281"/>
      <c r="I98" s="280" t="e">
        <f>#REF!</f>
        <v>#REF!</v>
      </c>
      <c r="J98" s="912" t="e">
        <f>#REF!</f>
        <v>#REF!</v>
      </c>
      <c r="K98" s="912"/>
      <c r="L98" s="912"/>
      <c r="M98" s="912"/>
      <c r="N98" s="299"/>
      <c r="O98" s="299"/>
      <c r="P98" s="299"/>
      <c r="Q98" s="299"/>
      <c r="R98" s="299"/>
      <c r="S98" s="299"/>
      <c r="T98" s="299"/>
      <c r="U98" s="299"/>
      <c r="V98" s="299"/>
      <c r="W98" s="299"/>
      <c r="X98" s="299"/>
      <c r="Y98" s="299"/>
      <c r="Z98" s="299"/>
      <c r="AA98" s="299"/>
      <c r="AB98" s="299"/>
      <c r="AC98" s="299"/>
      <c r="AD98" s="299"/>
      <c r="AE98" s="299"/>
      <c r="AF98" s="299"/>
      <c r="AG98" s="299"/>
      <c r="AH98" s="299"/>
      <c r="AI98" s="299"/>
      <c r="AJ98" s="299"/>
      <c r="AK98" s="299"/>
      <c r="AL98" s="299"/>
      <c r="AM98" s="299"/>
      <c r="AN98" s="299"/>
      <c r="AO98" s="299"/>
      <c r="AP98" s="299"/>
      <c r="AQ98" s="299"/>
      <c r="AR98" s="299"/>
      <c r="AS98" s="299"/>
      <c r="AT98" s="299"/>
      <c r="AU98" s="299"/>
      <c r="AV98" s="299"/>
      <c r="AW98" s="299"/>
      <c r="AX98" s="299"/>
      <c r="AY98" s="299"/>
      <c r="AZ98" s="299"/>
      <c r="BA98" s="299"/>
      <c r="BB98" s="299"/>
      <c r="BC98" s="299"/>
      <c r="BD98" s="299"/>
      <c r="BE98" s="299"/>
      <c r="BF98" s="299"/>
      <c r="BG98" s="299"/>
      <c r="BH98" s="299"/>
      <c r="BI98" s="299"/>
      <c r="BJ98" s="299"/>
      <c r="BK98" s="299"/>
      <c r="BL98" s="299"/>
      <c r="BM98" s="299"/>
      <c r="BN98" s="299"/>
      <c r="BO98" s="299"/>
      <c r="BP98" s="299"/>
      <c r="BQ98" s="299"/>
      <c r="BR98" s="299"/>
      <c r="BS98" s="299"/>
      <c r="BT98" s="299"/>
      <c r="BU98" s="299"/>
      <c r="BV98" s="299"/>
      <c r="BW98" s="299"/>
      <c r="BX98" s="299"/>
      <c r="BY98" s="299"/>
      <c r="BZ98" s="299"/>
      <c r="CA98" s="299"/>
      <c r="CB98" s="299"/>
      <c r="CC98" s="299"/>
      <c r="CD98" s="299"/>
      <c r="CE98" s="299"/>
      <c r="CF98" s="299"/>
      <c r="CG98" s="299"/>
      <c r="CH98" s="299"/>
      <c r="CI98" s="299"/>
      <c r="CJ98" s="299"/>
      <c r="CK98" s="299"/>
      <c r="CL98" s="299"/>
      <c r="CM98" s="299"/>
      <c r="CN98" s="299"/>
      <c r="CO98" s="299"/>
      <c r="CP98" s="299"/>
      <c r="CQ98" s="299"/>
      <c r="CR98" s="299"/>
      <c r="CS98" s="299"/>
      <c r="CT98" s="299"/>
      <c r="CU98" s="299"/>
      <c r="CV98" s="299"/>
    </row>
    <row r="99" spans="1:100" s="269" customFormat="1" ht="20.100000000000001" hidden="1" customHeight="1">
      <c r="A99" s="285" t="e">
        <f>#REF!</f>
        <v>#REF!</v>
      </c>
      <c r="B99" s="285"/>
      <c r="C99" s="285"/>
      <c r="D99" s="285"/>
      <c r="E99" s="285"/>
      <c r="F99" s="285"/>
      <c r="G99" s="285"/>
      <c r="H99" s="285"/>
      <c r="I99" s="280" t="e">
        <f>#REF!</f>
        <v>#REF!</v>
      </c>
      <c r="J99" s="912"/>
      <c r="K99" s="912"/>
      <c r="L99" s="912"/>
      <c r="M99" s="912"/>
      <c r="N99" s="299"/>
      <c r="O99" s="299"/>
      <c r="P99" s="299"/>
      <c r="Q99" s="299"/>
      <c r="R99" s="299"/>
      <c r="S99" s="299"/>
      <c r="T99" s="299"/>
      <c r="U99" s="299"/>
      <c r="V99" s="299"/>
      <c r="W99" s="299"/>
      <c r="X99" s="299"/>
      <c r="Y99" s="299"/>
      <c r="Z99" s="299"/>
      <c r="AA99" s="299"/>
      <c r="AB99" s="299"/>
      <c r="AC99" s="299"/>
      <c r="AD99" s="299"/>
      <c r="AE99" s="299"/>
      <c r="AF99" s="299"/>
      <c r="AG99" s="299"/>
      <c r="AH99" s="299"/>
      <c r="AI99" s="299"/>
      <c r="AJ99" s="299"/>
      <c r="AK99" s="299"/>
      <c r="AL99" s="299"/>
      <c r="AM99" s="299"/>
      <c r="AN99" s="299"/>
      <c r="AO99" s="299"/>
      <c r="AP99" s="299"/>
      <c r="AQ99" s="299"/>
      <c r="AR99" s="299"/>
      <c r="AS99" s="299"/>
      <c r="AT99" s="299"/>
      <c r="AU99" s="299"/>
      <c r="AV99" s="299"/>
      <c r="AW99" s="299"/>
      <c r="AX99" s="299"/>
      <c r="AY99" s="299"/>
      <c r="AZ99" s="299"/>
      <c r="BA99" s="299"/>
      <c r="BB99" s="299"/>
      <c r="BC99" s="299"/>
      <c r="BD99" s="299"/>
      <c r="BE99" s="299"/>
      <c r="BF99" s="299"/>
      <c r="BG99" s="299"/>
      <c r="BH99" s="299"/>
      <c r="BI99" s="299"/>
      <c r="BJ99" s="299"/>
      <c r="BK99" s="299"/>
      <c r="BL99" s="299"/>
      <c r="BM99" s="299"/>
      <c r="BN99" s="299"/>
      <c r="BO99" s="299"/>
      <c r="BP99" s="299"/>
      <c r="BQ99" s="299"/>
      <c r="BR99" s="299"/>
      <c r="BS99" s="299"/>
      <c r="BT99" s="299"/>
      <c r="BU99" s="299"/>
      <c r="BV99" s="299"/>
      <c r="BW99" s="299"/>
      <c r="BX99" s="299"/>
      <c r="BY99" s="299"/>
      <c r="BZ99" s="299"/>
      <c r="CA99" s="299"/>
      <c r="CB99" s="299"/>
      <c r="CC99" s="299"/>
      <c r="CD99" s="299"/>
      <c r="CE99" s="299"/>
      <c r="CF99" s="299"/>
      <c r="CG99" s="299"/>
      <c r="CH99" s="299"/>
      <c r="CI99" s="299"/>
      <c r="CJ99" s="299"/>
      <c r="CK99" s="299"/>
      <c r="CL99" s="299"/>
      <c r="CM99" s="299"/>
      <c r="CN99" s="299"/>
      <c r="CO99" s="299"/>
      <c r="CP99" s="299"/>
      <c r="CQ99" s="299"/>
      <c r="CR99" s="299"/>
      <c r="CS99" s="299"/>
      <c r="CT99" s="299"/>
      <c r="CU99" s="299"/>
      <c r="CV99" s="299"/>
    </row>
    <row r="100" spans="1:100" s="269" customFormat="1" ht="16.5" hidden="1" customHeight="1">
      <c r="A100" s="281" t="e">
        <f>#REF!</f>
        <v>#REF!</v>
      </c>
      <c r="B100" s="281"/>
      <c r="C100" s="281"/>
      <c r="D100" s="281"/>
      <c r="E100" s="281"/>
      <c r="F100" s="281"/>
      <c r="G100" s="281"/>
      <c r="H100" s="281"/>
      <c r="I100" s="282" t="e">
        <f>#REF!</f>
        <v>#REF!</v>
      </c>
      <c r="J100" s="912" t="e">
        <f>#REF!</f>
        <v>#REF!</v>
      </c>
      <c r="K100" s="912"/>
      <c r="L100" s="912"/>
      <c r="M100" s="912"/>
      <c r="N100" s="299"/>
      <c r="O100" s="299"/>
      <c r="P100" s="299"/>
      <c r="Q100" s="299"/>
      <c r="R100" s="299"/>
      <c r="S100" s="299"/>
      <c r="T100" s="299"/>
      <c r="U100" s="299"/>
      <c r="V100" s="299"/>
      <c r="W100" s="299"/>
      <c r="X100" s="299"/>
      <c r="Y100" s="299"/>
      <c r="Z100" s="299"/>
      <c r="AA100" s="299"/>
      <c r="AB100" s="299"/>
      <c r="AC100" s="299"/>
      <c r="AD100" s="299"/>
      <c r="AE100" s="299"/>
      <c r="AF100" s="299"/>
      <c r="AG100" s="299"/>
      <c r="AH100" s="299"/>
      <c r="AI100" s="299"/>
      <c r="AJ100" s="299"/>
      <c r="AK100" s="299"/>
      <c r="AL100" s="299"/>
      <c r="AM100" s="299"/>
      <c r="AN100" s="299"/>
      <c r="AO100" s="299"/>
      <c r="AP100" s="299"/>
      <c r="AQ100" s="299"/>
      <c r="AR100" s="299"/>
      <c r="AS100" s="299"/>
      <c r="AT100" s="299"/>
      <c r="AU100" s="299"/>
      <c r="AV100" s="299"/>
      <c r="AW100" s="299"/>
      <c r="AX100" s="299"/>
      <c r="AY100" s="299"/>
      <c r="AZ100" s="299"/>
      <c r="BA100" s="299"/>
      <c r="BB100" s="299"/>
      <c r="BC100" s="299"/>
      <c r="BD100" s="299"/>
      <c r="BE100" s="299"/>
      <c r="BF100" s="299"/>
      <c r="BG100" s="299"/>
      <c r="BH100" s="299"/>
      <c r="BI100" s="299"/>
      <c r="BJ100" s="299"/>
      <c r="BK100" s="299"/>
      <c r="BL100" s="299"/>
      <c r="BM100" s="299"/>
      <c r="BN100" s="299"/>
      <c r="BO100" s="299"/>
      <c r="BP100" s="299"/>
      <c r="BQ100" s="299"/>
      <c r="BR100" s="299"/>
      <c r="BS100" s="299"/>
      <c r="BT100" s="299"/>
      <c r="BU100" s="299"/>
      <c r="BV100" s="299"/>
      <c r="BW100" s="299"/>
      <c r="BX100" s="299"/>
      <c r="BY100" s="299"/>
      <c r="BZ100" s="299"/>
      <c r="CA100" s="299"/>
      <c r="CB100" s="299"/>
      <c r="CC100" s="299"/>
      <c r="CD100" s="299"/>
      <c r="CE100" s="299"/>
      <c r="CF100" s="299"/>
      <c r="CG100" s="299"/>
      <c r="CH100" s="299"/>
      <c r="CI100" s="299"/>
      <c r="CJ100" s="299"/>
      <c r="CK100" s="299"/>
      <c r="CL100" s="299"/>
      <c r="CM100" s="299"/>
      <c r="CN100" s="299"/>
      <c r="CO100" s="299"/>
      <c r="CP100" s="299"/>
      <c r="CQ100" s="299"/>
      <c r="CR100" s="299"/>
      <c r="CS100" s="299"/>
      <c r="CT100" s="299"/>
      <c r="CU100" s="299"/>
      <c r="CV100" s="299"/>
    </row>
    <row r="101" spans="1:100" s="269" customFormat="1" ht="16.5" hidden="1" customHeight="1">
      <c r="A101" s="281" t="e">
        <f>#REF!</f>
        <v>#REF!</v>
      </c>
      <c r="B101" s="281"/>
      <c r="C101" s="281"/>
      <c r="D101" s="281"/>
      <c r="E101" s="281"/>
      <c r="F101" s="281"/>
      <c r="G101" s="281"/>
      <c r="H101" s="281"/>
      <c r="I101" s="282" t="e">
        <f>#REF!</f>
        <v>#REF!</v>
      </c>
      <c r="J101" s="912" t="e">
        <f>#REF!</f>
        <v>#REF!</v>
      </c>
      <c r="K101" s="912"/>
      <c r="L101" s="912"/>
      <c r="M101" s="912"/>
      <c r="N101" s="299"/>
      <c r="O101" s="299"/>
      <c r="P101" s="299"/>
      <c r="Q101" s="299"/>
      <c r="R101" s="299"/>
      <c r="S101" s="299"/>
      <c r="T101" s="299"/>
      <c r="U101" s="299"/>
      <c r="V101" s="299"/>
      <c r="W101" s="299"/>
      <c r="X101" s="299"/>
      <c r="Y101" s="299"/>
      <c r="Z101" s="299"/>
      <c r="AA101" s="299"/>
      <c r="AB101" s="299"/>
      <c r="AC101" s="299"/>
      <c r="AD101" s="299"/>
      <c r="AE101" s="299"/>
      <c r="AF101" s="299"/>
      <c r="AG101" s="299"/>
      <c r="AH101" s="299"/>
      <c r="AI101" s="299"/>
      <c r="AJ101" s="299"/>
      <c r="AK101" s="299"/>
      <c r="AL101" s="299"/>
      <c r="AM101" s="299"/>
      <c r="AN101" s="299"/>
      <c r="AO101" s="299"/>
      <c r="AP101" s="299"/>
      <c r="AQ101" s="299"/>
      <c r="AR101" s="299"/>
      <c r="AS101" s="299"/>
      <c r="AT101" s="299"/>
      <c r="AU101" s="299"/>
      <c r="AV101" s="299"/>
      <c r="AW101" s="299"/>
      <c r="AX101" s="299"/>
      <c r="AY101" s="299"/>
      <c r="AZ101" s="299"/>
      <c r="BA101" s="299"/>
      <c r="BB101" s="299"/>
      <c r="BC101" s="299"/>
      <c r="BD101" s="299"/>
      <c r="BE101" s="299"/>
      <c r="BF101" s="299"/>
      <c r="BG101" s="299"/>
      <c r="BH101" s="299"/>
      <c r="BI101" s="299"/>
      <c r="BJ101" s="299"/>
      <c r="BK101" s="299"/>
      <c r="BL101" s="299"/>
      <c r="BM101" s="299"/>
      <c r="BN101" s="299"/>
      <c r="BO101" s="299"/>
      <c r="BP101" s="299"/>
      <c r="BQ101" s="299"/>
      <c r="BR101" s="299"/>
      <c r="BS101" s="299"/>
      <c r="BT101" s="299"/>
      <c r="BU101" s="299"/>
      <c r="BV101" s="299"/>
      <c r="BW101" s="299"/>
      <c r="BX101" s="299"/>
      <c r="BY101" s="299"/>
      <c r="BZ101" s="299"/>
      <c r="CA101" s="299"/>
      <c r="CB101" s="299"/>
      <c r="CC101" s="299"/>
      <c r="CD101" s="299"/>
      <c r="CE101" s="299"/>
      <c r="CF101" s="299"/>
      <c r="CG101" s="299"/>
      <c r="CH101" s="299"/>
      <c r="CI101" s="299"/>
      <c r="CJ101" s="299"/>
      <c r="CK101" s="299"/>
      <c r="CL101" s="299"/>
      <c r="CM101" s="299"/>
      <c r="CN101" s="299"/>
      <c r="CO101" s="299"/>
      <c r="CP101" s="299"/>
      <c r="CQ101" s="299"/>
      <c r="CR101" s="299"/>
      <c r="CS101" s="299"/>
      <c r="CT101" s="299"/>
      <c r="CU101" s="299"/>
      <c r="CV101" s="299"/>
    </row>
    <row r="102" spans="1:100" s="269" customFormat="1" ht="16.5" hidden="1" customHeight="1">
      <c r="A102" s="281" t="e">
        <f>#REF!</f>
        <v>#REF!</v>
      </c>
      <c r="B102" s="281"/>
      <c r="C102" s="281"/>
      <c r="D102" s="281"/>
      <c r="E102" s="281"/>
      <c r="F102" s="281"/>
      <c r="G102" s="281"/>
      <c r="H102" s="281"/>
      <c r="I102" s="282" t="e">
        <f>#REF!</f>
        <v>#REF!</v>
      </c>
      <c r="J102" s="912" t="e">
        <f>#REF!</f>
        <v>#REF!</v>
      </c>
      <c r="K102" s="912"/>
      <c r="L102" s="912"/>
      <c r="M102" s="912"/>
      <c r="N102" s="299"/>
      <c r="O102" s="299"/>
      <c r="P102" s="299"/>
      <c r="Q102" s="299"/>
      <c r="R102" s="299"/>
      <c r="S102" s="299"/>
      <c r="T102" s="299"/>
      <c r="U102" s="299"/>
      <c r="V102" s="299"/>
      <c r="W102" s="299"/>
      <c r="X102" s="299"/>
      <c r="Y102" s="299"/>
      <c r="Z102" s="299"/>
      <c r="AA102" s="299"/>
      <c r="AB102" s="299"/>
      <c r="AC102" s="299"/>
      <c r="AD102" s="299"/>
      <c r="AE102" s="299"/>
      <c r="AF102" s="299"/>
      <c r="AG102" s="299"/>
      <c r="AH102" s="299"/>
      <c r="AI102" s="299"/>
      <c r="AJ102" s="299"/>
      <c r="AK102" s="299"/>
      <c r="AL102" s="299"/>
      <c r="AM102" s="299"/>
      <c r="AN102" s="299"/>
      <c r="AO102" s="299"/>
      <c r="AP102" s="299"/>
      <c r="AQ102" s="299"/>
      <c r="AR102" s="299"/>
      <c r="AS102" s="299"/>
      <c r="AT102" s="299"/>
      <c r="AU102" s="299"/>
      <c r="AV102" s="299"/>
      <c r="AW102" s="299"/>
      <c r="AX102" s="299"/>
      <c r="AY102" s="299"/>
      <c r="AZ102" s="299"/>
      <c r="BA102" s="299"/>
      <c r="BB102" s="299"/>
      <c r="BC102" s="299"/>
      <c r="BD102" s="299"/>
      <c r="BE102" s="299"/>
      <c r="BF102" s="299"/>
      <c r="BG102" s="299"/>
      <c r="BH102" s="299"/>
      <c r="BI102" s="299"/>
      <c r="BJ102" s="299"/>
      <c r="BK102" s="299"/>
      <c r="BL102" s="299"/>
      <c r="BM102" s="299"/>
      <c r="BN102" s="299"/>
      <c r="BO102" s="299"/>
      <c r="BP102" s="299"/>
      <c r="BQ102" s="299"/>
      <c r="BR102" s="299"/>
      <c r="BS102" s="299"/>
      <c r="BT102" s="299"/>
      <c r="BU102" s="299"/>
      <c r="BV102" s="299"/>
      <c r="BW102" s="299"/>
      <c r="BX102" s="299"/>
      <c r="BY102" s="299"/>
      <c r="BZ102" s="299"/>
      <c r="CA102" s="299"/>
      <c r="CB102" s="299"/>
      <c r="CC102" s="299"/>
      <c r="CD102" s="299"/>
      <c r="CE102" s="299"/>
      <c r="CF102" s="299"/>
      <c r="CG102" s="299"/>
      <c r="CH102" s="299"/>
      <c r="CI102" s="299"/>
      <c r="CJ102" s="299"/>
      <c r="CK102" s="299"/>
      <c r="CL102" s="299"/>
      <c r="CM102" s="299"/>
      <c r="CN102" s="299"/>
      <c r="CO102" s="299"/>
      <c r="CP102" s="299"/>
      <c r="CQ102" s="299"/>
      <c r="CR102" s="299"/>
      <c r="CS102" s="299"/>
      <c r="CT102" s="299"/>
      <c r="CU102" s="299"/>
      <c r="CV102" s="299"/>
    </row>
    <row r="103" spans="1:100" s="269" customFormat="1" ht="16.5" hidden="1" customHeight="1">
      <c r="A103" s="281"/>
      <c r="B103" s="281"/>
      <c r="C103" s="281"/>
      <c r="D103" s="281"/>
      <c r="E103" s="281"/>
      <c r="F103" s="281"/>
      <c r="G103" s="281"/>
      <c r="H103" s="281"/>
      <c r="I103" s="280" t="e">
        <f>#REF!</f>
        <v>#REF!</v>
      </c>
      <c r="J103" s="912" t="e">
        <f>#REF!</f>
        <v>#REF!</v>
      </c>
      <c r="K103" s="912"/>
      <c r="L103" s="912"/>
      <c r="M103" s="912"/>
      <c r="N103" s="299"/>
      <c r="O103" s="299"/>
      <c r="P103" s="299"/>
      <c r="Q103" s="299"/>
      <c r="R103" s="299"/>
      <c r="S103" s="299"/>
      <c r="T103" s="299"/>
      <c r="U103" s="299"/>
      <c r="V103" s="299"/>
      <c r="W103" s="299"/>
      <c r="X103" s="299"/>
      <c r="Y103" s="299"/>
      <c r="Z103" s="299"/>
      <c r="AA103" s="299"/>
      <c r="AB103" s="299"/>
      <c r="AC103" s="299"/>
      <c r="AD103" s="299"/>
      <c r="AE103" s="299"/>
      <c r="AF103" s="299"/>
      <c r="AG103" s="299"/>
      <c r="AH103" s="299"/>
      <c r="AI103" s="299"/>
      <c r="AJ103" s="299"/>
      <c r="AK103" s="299"/>
      <c r="AL103" s="299"/>
      <c r="AM103" s="299"/>
      <c r="AN103" s="299"/>
      <c r="AO103" s="299"/>
      <c r="AP103" s="299"/>
      <c r="AQ103" s="299"/>
      <c r="AR103" s="299"/>
      <c r="AS103" s="299"/>
      <c r="AT103" s="299"/>
      <c r="AU103" s="299"/>
      <c r="AV103" s="299"/>
      <c r="AW103" s="299"/>
      <c r="AX103" s="299"/>
      <c r="AY103" s="299"/>
      <c r="AZ103" s="299"/>
      <c r="BA103" s="299"/>
      <c r="BB103" s="299"/>
      <c r="BC103" s="299"/>
      <c r="BD103" s="299"/>
      <c r="BE103" s="299"/>
      <c r="BF103" s="299"/>
      <c r="BG103" s="299"/>
      <c r="BH103" s="299"/>
      <c r="BI103" s="299"/>
      <c r="BJ103" s="299"/>
      <c r="BK103" s="299"/>
      <c r="BL103" s="299"/>
      <c r="BM103" s="299"/>
      <c r="BN103" s="299"/>
      <c r="BO103" s="299"/>
      <c r="BP103" s="299"/>
      <c r="BQ103" s="299"/>
      <c r="BR103" s="299"/>
      <c r="BS103" s="299"/>
      <c r="BT103" s="299"/>
      <c r="BU103" s="299"/>
      <c r="BV103" s="299"/>
      <c r="BW103" s="299"/>
      <c r="BX103" s="299"/>
      <c r="BY103" s="299"/>
      <c r="BZ103" s="299"/>
      <c r="CA103" s="299"/>
      <c r="CB103" s="299"/>
      <c r="CC103" s="299"/>
      <c r="CD103" s="299"/>
      <c r="CE103" s="299"/>
      <c r="CF103" s="299"/>
      <c r="CG103" s="299"/>
      <c r="CH103" s="299"/>
      <c r="CI103" s="299"/>
      <c r="CJ103" s="299"/>
      <c r="CK103" s="299"/>
      <c r="CL103" s="299"/>
      <c r="CM103" s="299"/>
      <c r="CN103" s="299"/>
      <c r="CO103" s="299"/>
      <c r="CP103" s="299"/>
      <c r="CQ103" s="299"/>
      <c r="CR103" s="299"/>
      <c r="CS103" s="299"/>
      <c r="CT103" s="299"/>
      <c r="CU103" s="299"/>
      <c r="CV103" s="299"/>
    </row>
    <row r="104" spans="1:100" s="269" customFormat="1" ht="20.100000000000001" hidden="1" customHeight="1">
      <c r="A104" s="285" t="e">
        <f>#REF!</f>
        <v>#REF!</v>
      </c>
      <c r="B104" s="285"/>
      <c r="C104" s="285"/>
      <c r="D104" s="285"/>
      <c r="E104" s="285"/>
      <c r="F104" s="285"/>
      <c r="G104" s="285"/>
      <c r="H104" s="285"/>
      <c r="I104" s="280" t="e">
        <f>#REF!</f>
        <v>#REF!</v>
      </c>
      <c r="J104" s="912"/>
      <c r="K104" s="912"/>
      <c r="L104" s="912"/>
      <c r="M104" s="912"/>
      <c r="N104" s="299"/>
      <c r="O104" s="299"/>
      <c r="P104" s="299"/>
      <c r="Q104" s="299"/>
      <c r="R104" s="299"/>
      <c r="S104" s="299"/>
      <c r="T104" s="299"/>
      <c r="U104" s="299"/>
      <c r="V104" s="299"/>
      <c r="W104" s="299"/>
      <c r="X104" s="299"/>
      <c r="Y104" s="299"/>
      <c r="Z104" s="299"/>
      <c r="AA104" s="299"/>
      <c r="AB104" s="299"/>
      <c r="AC104" s="299"/>
      <c r="AD104" s="299"/>
      <c r="AE104" s="299"/>
      <c r="AF104" s="299"/>
      <c r="AG104" s="299"/>
      <c r="AH104" s="299"/>
      <c r="AI104" s="299"/>
      <c r="AJ104" s="299"/>
      <c r="AK104" s="299"/>
      <c r="AL104" s="299"/>
      <c r="AM104" s="299"/>
      <c r="AN104" s="299"/>
      <c r="AO104" s="299"/>
      <c r="AP104" s="299"/>
      <c r="AQ104" s="299"/>
      <c r="AR104" s="299"/>
      <c r="AS104" s="299"/>
      <c r="AT104" s="299"/>
      <c r="AU104" s="299"/>
      <c r="AV104" s="299"/>
      <c r="AW104" s="299"/>
      <c r="AX104" s="299"/>
      <c r="AY104" s="299"/>
      <c r="AZ104" s="299"/>
      <c r="BA104" s="299"/>
      <c r="BB104" s="299"/>
      <c r="BC104" s="299"/>
      <c r="BD104" s="299"/>
      <c r="BE104" s="299"/>
      <c r="BF104" s="299"/>
      <c r="BG104" s="299"/>
      <c r="BH104" s="299"/>
      <c r="BI104" s="299"/>
      <c r="BJ104" s="299"/>
      <c r="BK104" s="299"/>
      <c r="BL104" s="299"/>
      <c r="BM104" s="299"/>
      <c r="BN104" s="299"/>
      <c r="BO104" s="299"/>
      <c r="BP104" s="299"/>
      <c r="BQ104" s="299"/>
      <c r="BR104" s="299"/>
      <c r="BS104" s="299"/>
      <c r="BT104" s="299"/>
      <c r="BU104" s="299"/>
      <c r="BV104" s="299"/>
      <c r="BW104" s="299"/>
      <c r="BX104" s="299"/>
      <c r="BY104" s="299"/>
      <c r="BZ104" s="299"/>
      <c r="CA104" s="299"/>
      <c r="CB104" s="299"/>
      <c r="CC104" s="299"/>
      <c r="CD104" s="299"/>
      <c r="CE104" s="299"/>
      <c r="CF104" s="299"/>
      <c r="CG104" s="299"/>
      <c r="CH104" s="299"/>
      <c r="CI104" s="299"/>
      <c r="CJ104" s="299"/>
      <c r="CK104" s="299"/>
      <c r="CL104" s="299"/>
      <c r="CM104" s="299"/>
      <c r="CN104" s="299"/>
      <c r="CO104" s="299"/>
      <c r="CP104" s="299"/>
      <c r="CQ104" s="299"/>
      <c r="CR104" s="299"/>
      <c r="CS104" s="299"/>
      <c r="CT104" s="299"/>
      <c r="CU104" s="299"/>
      <c r="CV104" s="299"/>
    </row>
    <row r="105" spans="1:100" s="269" customFormat="1" ht="16.5" hidden="1" customHeight="1">
      <c r="A105" s="281" t="e">
        <f>#REF!</f>
        <v>#REF!</v>
      </c>
      <c r="B105" s="281"/>
      <c r="C105" s="281"/>
      <c r="D105" s="281"/>
      <c r="E105" s="281"/>
      <c r="F105" s="281"/>
      <c r="G105" s="281"/>
      <c r="H105" s="281"/>
      <c r="I105" s="282" t="e">
        <f>#REF!</f>
        <v>#REF!</v>
      </c>
      <c r="J105" s="912" t="e">
        <f>#REF!</f>
        <v>#REF!</v>
      </c>
      <c r="K105" s="912"/>
      <c r="L105" s="912"/>
      <c r="M105" s="912"/>
      <c r="N105" s="299"/>
      <c r="O105" s="299"/>
      <c r="P105" s="299"/>
      <c r="Q105" s="299"/>
      <c r="R105" s="299"/>
      <c r="S105" s="299"/>
      <c r="T105" s="299"/>
      <c r="U105" s="299"/>
      <c r="V105" s="299"/>
      <c r="W105" s="299"/>
      <c r="X105" s="299"/>
      <c r="Y105" s="299"/>
      <c r="Z105" s="299"/>
      <c r="AA105" s="299"/>
      <c r="AB105" s="299"/>
      <c r="AC105" s="299"/>
      <c r="AD105" s="299"/>
      <c r="AE105" s="299"/>
      <c r="AF105" s="299"/>
      <c r="AG105" s="299"/>
      <c r="AH105" s="299"/>
      <c r="AI105" s="299"/>
      <c r="AJ105" s="299"/>
      <c r="AK105" s="299"/>
      <c r="AL105" s="299"/>
      <c r="AM105" s="299"/>
      <c r="AN105" s="299"/>
      <c r="AO105" s="299"/>
      <c r="AP105" s="299"/>
      <c r="AQ105" s="299"/>
      <c r="AR105" s="299"/>
      <c r="AS105" s="299"/>
      <c r="AT105" s="299"/>
      <c r="AU105" s="299"/>
      <c r="AV105" s="299"/>
      <c r="AW105" s="299"/>
      <c r="AX105" s="299"/>
      <c r="AY105" s="299"/>
      <c r="AZ105" s="299"/>
      <c r="BA105" s="299"/>
      <c r="BB105" s="299"/>
      <c r="BC105" s="299"/>
      <c r="BD105" s="299"/>
      <c r="BE105" s="299"/>
      <c r="BF105" s="299"/>
      <c r="BG105" s="299"/>
      <c r="BH105" s="299"/>
      <c r="BI105" s="299"/>
      <c r="BJ105" s="299"/>
      <c r="BK105" s="299"/>
      <c r="BL105" s="299"/>
      <c r="BM105" s="299"/>
      <c r="BN105" s="299"/>
      <c r="BO105" s="299"/>
      <c r="BP105" s="299"/>
      <c r="BQ105" s="299"/>
      <c r="BR105" s="299"/>
      <c r="BS105" s="299"/>
      <c r="BT105" s="299"/>
      <c r="BU105" s="299"/>
      <c r="BV105" s="299"/>
      <c r="BW105" s="299"/>
      <c r="BX105" s="299"/>
      <c r="BY105" s="299"/>
      <c r="BZ105" s="299"/>
      <c r="CA105" s="299"/>
      <c r="CB105" s="299"/>
      <c r="CC105" s="299"/>
      <c r="CD105" s="299"/>
      <c r="CE105" s="299"/>
      <c r="CF105" s="299"/>
      <c r="CG105" s="299"/>
      <c r="CH105" s="299"/>
      <c r="CI105" s="299"/>
      <c r="CJ105" s="299"/>
      <c r="CK105" s="299"/>
      <c r="CL105" s="299"/>
      <c r="CM105" s="299"/>
      <c r="CN105" s="299"/>
      <c r="CO105" s="299"/>
      <c r="CP105" s="299"/>
      <c r="CQ105" s="299"/>
      <c r="CR105" s="299"/>
      <c r="CS105" s="299"/>
      <c r="CT105" s="299"/>
      <c r="CU105" s="299"/>
      <c r="CV105" s="299"/>
    </row>
    <row r="106" spans="1:100" s="269" customFormat="1" ht="16.5" hidden="1" customHeight="1">
      <c r="A106" s="281" t="e">
        <f>#REF!</f>
        <v>#REF!</v>
      </c>
      <c r="B106" s="281"/>
      <c r="C106" s="281"/>
      <c r="D106" s="281"/>
      <c r="E106" s="281"/>
      <c r="F106" s="281"/>
      <c r="G106" s="281"/>
      <c r="H106" s="281"/>
      <c r="I106" s="282" t="e">
        <f>#REF!</f>
        <v>#REF!</v>
      </c>
      <c r="J106" s="912" t="e">
        <f>#REF!</f>
        <v>#REF!</v>
      </c>
      <c r="K106" s="912"/>
      <c r="L106" s="912"/>
      <c r="M106" s="912"/>
      <c r="N106" s="299"/>
      <c r="O106" s="299"/>
      <c r="P106" s="299"/>
      <c r="Q106" s="299"/>
      <c r="R106" s="299"/>
      <c r="S106" s="299"/>
      <c r="T106" s="299"/>
      <c r="U106" s="299"/>
      <c r="V106" s="299"/>
      <c r="W106" s="299"/>
      <c r="X106" s="299"/>
      <c r="Y106" s="299"/>
      <c r="Z106" s="299"/>
      <c r="AA106" s="299"/>
      <c r="AB106" s="299"/>
      <c r="AC106" s="299"/>
      <c r="AD106" s="299"/>
      <c r="AE106" s="299"/>
      <c r="AF106" s="299"/>
      <c r="AG106" s="299"/>
      <c r="AH106" s="299"/>
      <c r="AI106" s="299"/>
      <c r="AJ106" s="299"/>
      <c r="AK106" s="299"/>
      <c r="AL106" s="299"/>
      <c r="AM106" s="299"/>
      <c r="AN106" s="299"/>
      <c r="AO106" s="299"/>
      <c r="AP106" s="299"/>
      <c r="AQ106" s="299"/>
      <c r="AR106" s="299"/>
      <c r="AS106" s="299"/>
      <c r="AT106" s="299"/>
      <c r="AU106" s="299"/>
      <c r="AV106" s="299"/>
      <c r="AW106" s="299"/>
      <c r="AX106" s="299"/>
      <c r="AY106" s="299"/>
      <c r="AZ106" s="299"/>
      <c r="BA106" s="299"/>
      <c r="BB106" s="299"/>
      <c r="BC106" s="299"/>
      <c r="BD106" s="299"/>
      <c r="BE106" s="299"/>
      <c r="BF106" s="299"/>
      <c r="BG106" s="299"/>
      <c r="BH106" s="299"/>
      <c r="BI106" s="299"/>
      <c r="BJ106" s="299"/>
      <c r="BK106" s="299"/>
      <c r="BL106" s="299"/>
      <c r="BM106" s="299"/>
      <c r="BN106" s="299"/>
      <c r="BO106" s="299"/>
      <c r="BP106" s="299"/>
      <c r="BQ106" s="299"/>
      <c r="BR106" s="299"/>
      <c r="BS106" s="299"/>
      <c r="BT106" s="299"/>
      <c r="BU106" s="299"/>
      <c r="BV106" s="299"/>
      <c r="BW106" s="299"/>
      <c r="BX106" s="299"/>
      <c r="BY106" s="299"/>
      <c r="BZ106" s="299"/>
      <c r="CA106" s="299"/>
      <c r="CB106" s="299"/>
      <c r="CC106" s="299"/>
      <c r="CD106" s="299"/>
      <c r="CE106" s="299"/>
      <c r="CF106" s="299"/>
      <c r="CG106" s="299"/>
      <c r="CH106" s="299"/>
      <c r="CI106" s="299"/>
      <c r="CJ106" s="299"/>
      <c r="CK106" s="299"/>
      <c r="CL106" s="299"/>
      <c r="CM106" s="299"/>
      <c r="CN106" s="299"/>
      <c r="CO106" s="299"/>
      <c r="CP106" s="299"/>
      <c r="CQ106" s="299"/>
      <c r="CR106" s="299"/>
      <c r="CS106" s="299"/>
      <c r="CT106" s="299"/>
      <c r="CU106" s="299"/>
      <c r="CV106" s="299"/>
    </row>
    <row r="107" spans="1:100" s="269" customFormat="1" ht="16.5" hidden="1" customHeight="1">
      <c r="A107" s="281" t="e">
        <f>#REF!</f>
        <v>#REF!</v>
      </c>
      <c r="B107" s="281"/>
      <c r="C107" s="281"/>
      <c r="D107" s="281"/>
      <c r="E107" s="281"/>
      <c r="F107" s="281"/>
      <c r="G107" s="281"/>
      <c r="H107" s="281"/>
      <c r="I107" s="282" t="e">
        <f>#REF!</f>
        <v>#REF!</v>
      </c>
      <c r="J107" s="912" t="e">
        <f>#REF!</f>
        <v>#REF!</v>
      </c>
      <c r="K107" s="912"/>
      <c r="L107" s="912"/>
      <c r="M107" s="912"/>
      <c r="N107" s="299"/>
      <c r="O107" s="299"/>
      <c r="P107" s="299"/>
      <c r="Q107" s="299"/>
      <c r="R107" s="299"/>
      <c r="S107" s="299"/>
      <c r="T107" s="299"/>
      <c r="U107" s="299"/>
      <c r="V107" s="299"/>
      <c r="W107" s="299"/>
      <c r="X107" s="299"/>
      <c r="Y107" s="299"/>
      <c r="Z107" s="299"/>
      <c r="AA107" s="299"/>
      <c r="AB107" s="299"/>
      <c r="AC107" s="299"/>
      <c r="AD107" s="299"/>
      <c r="AE107" s="299"/>
      <c r="AF107" s="299"/>
      <c r="AG107" s="299"/>
      <c r="AH107" s="299"/>
      <c r="AI107" s="299"/>
      <c r="AJ107" s="299"/>
      <c r="AK107" s="299"/>
      <c r="AL107" s="299"/>
      <c r="AM107" s="299"/>
      <c r="AN107" s="299"/>
      <c r="AO107" s="299"/>
      <c r="AP107" s="299"/>
      <c r="AQ107" s="299"/>
      <c r="AR107" s="299"/>
      <c r="AS107" s="299"/>
      <c r="AT107" s="299"/>
      <c r="AU107" s="299"/>
      <c r="AV107" s="299"/>
      <c r="AW107" s="299"/>
      <c r="AX107" s="299"/>
      <c r="AY107" s="299"/>
      <c r="AZ107" s="299"/>
      <c r="BA107" s="299"/>
      <c r="BB107" s="299"/>
      <c r="BC107" s="299"/>
      <c r="BD107" s="299"/>
      <c r="BE107" s="299"/>
      <c r="BF107" s="299"/>
      <c r="BG107" s="299"/>
      <c r="BH107" s="299"/>
      <c r="BI107" s="299"/>
      <c r="BJ107" s="299"/>
      <c r="BK107" s="299"/>
      <c r="BL107" s="299"/>
      <c r="BM107" s="299"/>
      <c r="BN107" s="299"/>
      <c r="BO107" s="299"/>
      <c r="BP107" s="299"/>
      <c r="BQ107" s="299"/>
      <c r="BR107" s="299"/>
      <c r="BS107" s="299"/>
      <c r="BT107" s="299"/>
      <c r="BU107" s="299"/>
      <c r="BV107" s="299"/>
      <c r="BW107" s="299"/>
      <c r="BX107" s="299"/>
      <c r="BY107" s="299"/>
      <c r="BZ107" s="299"/>
      <c r="CA107" s="299"/>
      <c r="CB107" s="299"/>
      <c r="CC107" s="299"/>
      <c r="CD107" s="299"/>
      <c r="CE107" s="299"/>
      <c r="CF107" s="299"/>
      <c r="CG107" s="299"/>
      <c r="CH107" s="299"/>
      <c r="CI107" s="299"/>
      <c r="CJ107" s="299"/>
      <c r="CK107" s="299"/>
      <c r="CL107" s="299"/>
      <c r="CM107" s="299"/>
      <c r="CN107" s="299"/>
      <c r="CO107" s="299"/>
      <c r="CP107" s="299"/>
      <c r="CQ107" s="299"/>
      <c r="CR107" s="299"/>
      <c r="CS107" s="299"/>
      <c r="CT107" s="299"/>
      <c r="CU107" s="299"/>
      <c r="CV107" s="299"/>
    </row>
    <row r="108" spans="1:100" s="269" customFormat="1" ht="16.5" hidden="1" customHeight="1">
      <c r="A108" s="281" t="e">
        <f>#REF!</f>
        <v>#REF!</v>
      </c>
      <c r="B108" s="281"/>
      <c r="C108" s="281"/>
      <c r="D108" s="281"/>
      <c r="E108" s="281"/>
      <c r="F108" s="281"/>
      <c r="G108" s="281"/>
      <c r="H108" s="281"/>
      <c r="I108" s="282" t="e">
        <f>#REF!</f>
        <v>#REF!</v>
      </c>
      <c r="J108" s="912" t="e">
        <f>#REF!</f>
        <v>#REF!</v>
      </c>
      <c r="K108" s="912"/>
      <c r="L108" s="912"/>
      <c r="M108" s="912"/>
      <c r="N108" s="299"/>
      <c r="O108" s="299"/>
      <c r="P108" s="299"/>
      <c r="Q108" s="299"/>
      <c r="R108" s="299"/>
      <c r="S108" s="299"/>
      <c r="T108" s="299"/>
      <c r="U108" s="299"/>
      <c r="V108" s="299"/>
      <c r="W108" s="299"/>
      <c r="X108" s="299"/>
      <c r="Y108" s="299"/>
      <c r="Z108" s="299"/>
      <c r="AA108" s="299"/>
      <c r="AB108" s="299"/>
      <c r="AC108" s="299"/>
      <c r="AD108" s="299"/>
      <c r="AE108" s="299"/>
      <c r="AF108" s="299"/>
      <c r="AG108" s="299"/>
      <c r="AH108" s="299"/>
      <c r="AI108" s="299"/>
      <c r="AJ108" s="299"/>
      <c r="AK108" s="299"/>
      <c r="AL108" s="299"/>
      <c r="AM108" s="299"/>
      <c r="AN108" s="299"/>
      <c r="AO108" s="299"/>
      <c r="AP108" s="299"/>
      <c r="AQ108" s="299"/>
      <c r="AR108" s="299"/>
      <c r="AS108" s="299"/>
      <c r="AT108" s="299"/>
      <c r="AU108" s="299"/>
      <c r="AV108" s="299"/>
      <c r="AW108" s="299"/>
      <c r="AX108" s="299"/>
      <c r="AY108" s="299"/>
      <c r="AZ108" s="299"/>
      <c r="BA108" s="299"/>
      <c r="BB108" s="299"/>
      <c r="BC108" s="299"/>
      <c r="BD108" s="299"/>
      <c r="BE108" s="299"/>
      <c r="BF108" s="299"/>
      <c r="BG108" s="299"/>
      <c r="BH108" s="299"/>
      <c r="BI108" s="299"/>
      <c r="BJ108" s="299"/>
      <c r="BK108" s="299"/>
      <c r="BL108" s="299"/>
      <c r="BM108" s="299"/>
      <c r="BN108" s="299"/>
      <c r="BO108" s="299"/>
      <c r="BP108" s="299"/>
      <c r="BQ108" s="299"/>
      <c r="BR108" s="299"/>
      <c r="BS108" s="299"/>
      <c r="BT108" s="299"/>
      <c r="BU108" s="299"/>
      <c r="BV108" s="299"/>
      <c r="BW108" s="299"/>
      <c r="BX108" s="299"/>
      <c r="BY108" s="299"/>
      <c r="BZ108" s="299"/>
      <c r="CA108" s="299"/>
      <c r="CB108" s="299"/>
      <c r="CC108" s="299"/>
      <c r="CD108" s="299"/>
      <c r="CE108" s="299"/>
      <c r="CF108" s="299"/>
      <c r="CG108" s="299"/>
      <c r="CH108" s="299"/>
      <c r="CI108" s="299"/>
      <c r="CJ108" s="299"/>
      <c r="CK108" s="299"/>
      <c r="CL108" s="299"/>
      <c r="CM108" s="299"/>
      <c r="CN108" s="299"/>
      <c r="CO108" s="299"/>
      <c r="CP108" s="299"/>
      <c r="CQ108" s="299"/>
      <c r="CR108" s="299"/>
      <c r="CS108" s="299"/>
      <c r="CT108" s="299"/>
      <c r="CU108" s="299"/>
      <c r="CV108" s="299"/>
    </row>
    <row r="109" spans="1:100" s="287" customFormat="1" ht="20.100000000000001" hidden="1" customHeight="1">
      <c r="A109" s="281"/>
      <c r="B109" s="281"/>
      <c r="C109" s="281"/>
      <c r="D109" s="281"/>
      <c r="E109" s="281"/>
      <c r="F109" s="281"/>
      <c r="G109" s="281"/>
      <c r="H109" s="281"/>
      <c r="I109" s="280" t="e">
        <f>#REF!</f>
        <v>#REF!</v>
      </c>
      <c r="J109" s="912" t="e">
        <f>#REF!</f>
        <v>#REF!</v>
      </c>
      <c r="K109" s="912"/>
      <c r="L109" s="912"/>
      <c r="M109" s="912"/>
      <c r="N109" s="299"/>
      <c r="O109" s="299"/>
      <c r="P109" s="299"/>
      <c r="Q109" s="299"/>
      <c r="R109" s="299"/>
      <c r="S109" s="299"/>
      <c r="T109" s="299"/>
      <c r="U109" s="299"/>
      <c r="V109" s="299"/>
      <c r="W109" s="299"/>
      <c r="X109" s="299"/>
      <c r="Y109" s="299"/>
      <c r="Z109" s="299"/>
      <c r="AA109" s="299"/>
      <c r="AB109" s="299"/>
      <c r="AC109" s="299"/>
      <c r="AD109" s="299"/>
      <c r="AE109" s="299"/>
      <c r="AF109" s="299"/>
      <c r="AG109" s="299"/>
      <c r="AH109" s="299"/>
      <c r="AI109" s="299"/>
      <c r="AJ109" s="299"/>
      <c r="AK109" s="299"/>
      <c r="AL109" s="299"/>
      <c r="AM109" s="299"/>
      <c r="AN109" s="299"/>
      <c r="AO109" s="299"/>
      <c r="AP109" s="299"/>
      <c r="AQ109" s="299"/>
      <c r="AR109" s="299"/>
      <c r="AS109" s="299"/>
      <c r="AT109" s="299"/>
      <c r="AU109" s="299"/>
      <c r="AV109" s="299"/>
      <c r="AW109" s="299"/>
      <c r="AX109" s="299"/>
      <c r="AY109" s="299"/>
      <c r="AZ109" s="299"/>
      <c r="BA109" s="299"/>
      <c r="BB109" s="299"/>
      <c r="BC109" s="299"/>
      <c r="BD109" s="299"/>
      <c r="BE109" s="299"/>
      <c r="BF109" s="299"/>
      <c r="BG109" s="299"/>
      <c r="BH109" s="299"/>
      <c r="BI109" s="299"/>
      <c r="BJ109" s="299"/>
      <c r="BK109" s="299"/>
      <c r="BL109" s="299"/>
      <c r="BM109" s="299"/>
      <c r="BN109" s="299"/>
      <c r="BO109" s="299"/>
      <c r="BP109" s="299"/>
      <c r="BQ109" s="299"/>
      <c r="BR109" s="299"/>
      <c r="BS109" s="299"/>
      <c r="BT109" s="299"/>
      <c r="BU109" s="299"/>
      <c r="BV109" s="299"/>
      <c r="BW109" s="299"/>
      <c r="BX109" s="299"/>
      <c r="BY109" s="299"/>
      <c r="BZ109" s="299"/>
      <c r="CA109" s="299"/>
      <c r="CB109" s="299"/>
      <c r="CC109" s="299"/>
      <c r="CD109" s="299"/>
      <c r="CE109" s="299"/>
      <c r="CF109" s="299"/>
      <c r="CG109" s="299"/>
      <c r="CH109" s="299"/>
      <c r="CI109" s="299"/>
      <c r="CJ109" s="299"/>
      <c r="CK109" s="299"/>
      <c r="CL109" s="299"/>
      <c r="CM109" s="299"/>
      <c r="CN109" s="299"/>
      <c r="CO109" s="299"/>
      <c r="CP109" s="299"/>
      <c r="CQ109" s="299"/>
      <c r="CR109" s="299"/>
      <c r="CS109" s="299"/>
      <c r="CT109" s="299"/>
      <c r="CU109" s="299"/>
      <c r="CV109" s="299"/>
    </row>
    <row r="110" spans="1:100" s="269" customFormat="1" ht="20.100000000000001" hidden="1" customHeight="1">
      <c r="A110" s="288"/>
      <c r="B110" s="288"/>
      <c r="C110" s="288"/>
      <c r="D110" s="288"/>
      <c r="E110" s="288"/>
      <c r="F110" s="288"/>
      <c r="G110" s="288"/>
      <c r="H110" s="288"/>
      <c r="I110" s="280" t="e">
        <f>#REF!</f>
        <v>#REF!</v>
      </c>
      <c r="J110" s="912" t="e">
        <f>#REF!</f>
        <v>#REF!</v>
      </c>
      <c r="K110" s="912"/>
      <c r="L110" s="912"/>
      <c r="M110" s="912"/>
      <c r="N110" s="299"/>
      <c r="O110" s="299"/>
      <c r="P110" s="299"/>
      <c r="Q110" s="299"/>
      <c r="R110" s="299"/>
      <c r="S110" s="299"/>
      <c r="T110" s="299"/>
      <c r="U110" s="299"/>
      <c r="V110" s="299"/>
      <c r="W110" s="299"/>
      <c r="X110" s="299"/>
      <c r="Y110" s="299"/>
      <c r="Z110" s="299"/>
      <c r="AA110" s="299"/>
      <c r="AB110" s="299"/>
      <c r="AC110" s="299"/>
      <c r="AD110" s="299"/>
      <c r="AE110" s="299"/>
      <c r="AF110" s="299"/>
      <c r="AG110" s="299"/>
      <c r="AH110" s="299"/>
      <c r="AI110" s="299"/>
      <c r="AJ110" s="299"/>
      <c r="AK110" s="299"/>
      <c r="AL110" s="299"/>
      <c r="AM110" s="299"/>
      <c r="AN110" s="299"/>
      <c r="AO110" s="299"/>
      <c r="AP110" s="299"/>
      <c r="AQ110" s="299"/>
      <c r="AR110" s="299"/>
      <c r="AS110" s="299"/>
      <c r="AT110" s="299"/>
      <c r="AU110" s="299"/>
      <c r="AV110" s="299"/>
      <c r="AW110" s="299"/>
      <c r="AX110" s="299"/>
      <c r="AY110" s="299"/>
      <c r="AZ110" s="299"/>
      <c r="BA110" s="299"/>
      <c r="BB110" s="299"/>
      <c r="BC110" s="299"/>
      <c r="BD110" s="299"/>
      <c r="BE110" s="299"/>
      <c r="BF110" s="299"/>
      <c r="BG110" s="299"/>
      <c r="BH110" s="299"/>
      <c r="BI110" s="299"/>
      <c r="BJ110" s="299"/>
      <c r="BK110" s="299"/>
      <c r="BL110" s="299"/>
      <c r="BM110" s="299"/>
      <c r="BN110" s="299"/>
      <c r="BO110" s="299"/>
      <c r="BP110" s="299"/>
      <c r="BQ110" s="299"/>
      <c r="BR110" s="299"/>
      <c r="BS110" s="299"/>
      <c r="BT110" s="299"/>
      <c r="BU110" s="299"/>
      <c r="BV110" s="299"/>
      <c r="BW110" s="299"/>
      <c r="BX110" s="299"/>
      <c r="BY110" s="299"/>
      <c r="BZ110" s="299"/>
      <c r="CA110" s="299"/>
      <c r="CB110" s="299"/>
      <c r="CC110" s="299"/>
      <c r="CD110" s="299"/>
      <c r="CE110" s="299"/>
      <c r="CF110" s="299"/>
      <c r="CG110" s="299"/>
      <c r="CH110" s="299"/>
      <c r="CI110" s="299"/>
      <c r="CJ110" s="299"/>
      <c r="CK110" s="299"/>
      <c r="CL110" s="299"/>
      <c r="CM110" s="299"/>
      <c r="CN110" s="299"/>
      <c r="CO110" s="299"/>
      <c r="CP110" s="299"/>
      <c r="CQ110" s="299"/>
      <c r="CR110" s="299"/>
      <c r="CS110" s="299"/>
      <c r="CT110" s="299"/>
      <c r="CU110" s="299"/>
      <c r="CV110" s="299"/>
    </row>
    <row r="111" spans="1:100" s="269" customFormat="1" ht="16.5" hidden="1" customHeight="1">
      <c r="A111" s="288"/>
      <c r="B111" s="288"/>
      <c r="C111" s="288"/>
      <c r="D111" s="288"/>
      <c r="E111" s="288"/>
      <c r="F111" s="288"/>
      <c r="G111" s="288"/>
      <c r="H111" s="288"/>
      <c r="I111" s="280"/>
      <c r="J111" s="912"/>
      <c r="K111" s="912"/>
      <c r="L111" s="912"/>
      <c r="M111" s="912"/>
      <c r="N111" s="299"/>
      <c r="O111" s="299"/>
      <c r="P111" s="299"/>
      <c r="Q111" s="299"/>
      <c r="R111" s="299"/>
      <c r="S111" s="299"/>
      <c r="T111" s="299"/>
      <c r="U111" s="299"/>
      <c r="V111" s="299"/>
      <c r="W111" s="299"/>
      <c r="X111" s="299"/>
      <c r="Y111" s="299"/>
      <c r="Z111" s="299"/>
      <c r="AA111" s="299"/>
      <c r="AB111" s="299"/>
      <c r="AC111" s="299"/>
      <c r="AD111" s="299"/>
      <c r="AE111" s="299"/>
      <c r="AF111" s="299"/>
      <c r="AG111" s="299"/>
      <c r="AH111" s="299"/>
      <c r="AI111" s="299"/>
      <c r="AJ111" s="299"/>
      <c r="AK111" s="299"/>
      <c r="AL111" s="299"/>
      <c r="AM111" s="299"/>
      <c r="AN111" s="299"/>
      <c r="AO111" s="299"/>
      <c r="AP111" s="299"/>
      <c r="AQ111" s="299"/>
      <c r="AR111" s="299"/>
      <c r="AS111" s="299"/>
      <c r="AT111" s="299"/>
      <c r="AU111" s="299"/>
      <c r="AV111" s="299"/>
      <c r="AW111" s="299"/>
      <c r="AX111" s="299"/>
      <c r="AY111" s="299"/>
      <c r="AZ111" s="299"/>
      <c r="BA111" s="299"/>
      <c r="BB111" s="299"/>
      <c r="BC111" s="299"/>
      <c r="BD111" s="299"/>
      <c r="BE111" s="299"/>
      <c r="BF111" s="299"/>
      <c r="BG111" s="299"/>
      <c r="BH111" s="299"/>
      <c r="BI111" s="299"/>
      <c r="BJ111" s="299"/>
      <c r="BK111" s="299"/>
      <c r="BL111" s="299"/>
      <c r="BM111" s="299"/>
      <c r="BN111" s="299"/>
      <c r="BO111" s="299"/>
      <c r="BP111" s="299"/>
      <c r="BQ111" s="299"/>
      <c r="BR111" s="299"/>
      <c r="BS111" s="299"/>
      <c r="BT111" s="299"/>
      <c r="BU111" s="299"/>
      <c r="BV111" s="299"/>
      <c r="BW111" s="299"/>
      <c r="BX111" s="299"/>
      <c r="BY111" s="299"/>
      <c r="BZ111" s="299"/>
      <c r="CA111" s="299"/>
      <c r="CB111" s="299"/>
      <c r="CC111" s="299"/>
      <c r="CD111" s="299"/>
      <c r="CE111" s="299"/>
      <c r="CF111" s="299"/>
      <c r="CG111" s="299"/>
      <c r="CH111" s="299"/>
      <c r="CI111" s="299"/>
      <c r="CJ111" s="299"/>
      <c r="CK111" s="299"/>
      <c r="CL111" s="299"/>
      <c r="CM111" s="299"/>
      <c r="CN111" s="299"/>
      <c r="CO111" s="299"/>
      <c r="CP111" s="299"/>
      <c r="CQ111" s="299"/>
      <c r="CR111" s="299"/>
      <c r="CS111" s="299"/>
      <c r="CT111" s="299"/>
      <c r="CU111" s="299"/>
      <c r="CV111" s="299"/>
    </row>
    <row r="112" spans="1:100" s="269" customFormat="1" ht="20.100000000000001" hidden="1" customHeight="1">
      <c r="A112" s="284" t="e">
        <f>#REF!</f>
        <v>#REF!</v>
      </c>
      <c r="B112" s="284"/>
      <c r="C112" s="284"/>
      <c r="D112" s="284"/>
      <c r="E112" s="284"/>
      <c r="F112" s="284"/>
      <c r="G112" s="284"/>
      <c r="H112" s="284"/>
      <c r="I112" s="280" t="e">
        <f>#REF!</f>
        <v>#REF!</v>
      </c>
      <c r="J112" s="912"/>
      <c r="K112" s="912"/>
      <c r="L112" s="912"/>
      <c r="M112" s="912"/>
      <c r="N112" s="299"/>
      <c r="O112" s="299"/>
      <c r="P112" s="299"/>
      <c r="Q112" s="299"/>
      <c r="R112" s="299"/>
      <c r="S112" s="299"/>
      <c r="T112" s="299"/>
      <c r="U112" s="299"/>
      <c r="V112" s="299"/>
      <c r="W112" s="299"/>
      <c r="X112" s="299"/>
      <c r="Y112" s="299"/>
      <c r="Z112" s="299"/>
      <c r="AA112" s="299"/>
      <c r="AB112" s="299"/>
      <c r="AC112" s="299"/>
      <c r="AD112" s="299"/>
      <c r="AE112" s="299"/>
      <c r="AF112" s="299"/>
      <c r="AG112" s="299"/>
      <c r="AH112" s="299"/>
      <c r="AI112" s="299"/>
      <c r="AJ112" s="299"/>
      <c r="AK112" s="299"/>
      <c r="AL112" s="299"/>
      <c r="AM112" s="299"/>
      <c r="AN112" s="299"/>
      <c r="AO112" s="299"/>
      <c r="AP112" s="299"/>
      <c r="AQ112" s="299"/>
      <c r="AR112" s="299"/>
      <c r="AS112" s="299"/>
      <c r="AT112" s="299"/>
      <c r="AU112" s="299"/>
      <c r="AV112" s="299"/>
      <c r="AW112" s="299"/>
      <c r="AX112" s="299"/>
      <c r="AY112" s="299"/>
      <c r="AZ112" s="299"/>
      <c r="BA112" s="299"/>
      <c r="BB112" s="299"/>
      <c r="BC112" s="299"/>
      <c r="BD112" s="299"/>
      <c r="BE112" s="299"/>
      <c r="BF112" s="299"/>
      <c r="BG112" s="299"/>
      <c r="BH112" s="299"/>
      <c r="BI112" s="299"/>
      <c r="BJ112" s="299"/>
      <c r="BK112" s="299"/>
      <c r="BL112" s="299"/>
      <c r="BM112" s="299"/>
      <c r="BN112" s="299"/>
      <c r="BO112" s="299"/>
      <c r="BP112" s="299"/>
      <c r="BQ112" s="299"/>
      <c r="BR112" s="299"/>
      <c r="BS112" s="299"/>
      <c r="BT112" s="299"/>
      <c r="BU112" s="299"/>
      <c r="BV112" s="299"/>
      <c r="BW112" s="299"/>
      <c r="BX112" s="299"/>
      <c r="BY112" s="299"/>
      <c r="BZ112" s="299"/>
      <c r="CA112" s="299"/>
      <c r="CB112" s="299"/>
      <c r="CC112" s="299"/>
      <c r="CD112" s="299"/>
      <c r="CE112" s="299"/>
      <c r="CF112" s="299"/>
      <c r="CG112" s="299"/>
      <c r="CH112" s="299"/>
      <c r="CI112" s="299"/>
      <c r="CJ112" s="299"/>
      <c r="CK112" s="299"/>
      <c r="CL112" s="299"/>
      <c r="CM112" s="299"/>
      <c r="CN112" s="299"/>
      <c r="CO112" s="299"/>
      <c r="CP112" s="299"/>
      <c r="CQ112" s="299"/>
      <c r="CR112" s="299"/>
      <c r="CS112" s="299"/>
      <c r="CT112" s="299"/>
      <c r="CU112" s="299"/>
      <c r="CV112" s="299"/>
    </row>
    <row r="113" spans="1:100" s="269" customFormat="1" ht="30" hidden="1" customHeight="1">
      <c r="A113" s="285" t="e">
        <f>#REF!</f>
        <v>#REF!</v>
      </c>
      <c r="B113" s="285"/>
      <c r="C113" s="285"/>
      <c r="D113" s="285"/>
      <c r="E113" s="285"/>
      <c r="F113" s="285"/>
      <c r="G113" s="285"/>
      <c r="H113" s="285"/>
      <c r="I113" s="280" t="e">
        <f>#REF!</f>
        <v>#REF!</v>
      </c>
      <c r="J113" s="912"/>
      <c r="K113" s="912"/>
      <c r="L113" s="912"/>
      <c r="M113" s="912"/>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c r="AK113" s="299"/>
      <c r="AL113" s="299"/>
      <c r="AM113" s="299"/>
      <c r="AN113" s="299"/>
      <c r="AO113" s="299"/>
      <c r="AP113" s="299"/>
      <c r="AQ113" s="299"/>
      <c r="AR113" s="299"/>
      <c r="AS113" s="299"/>
      <c r="AT113" s="299"/>
      <c r="AU113" s="299"/>
      <c r="AV113" s="299"/>
      <c r="AW113" s="299"/>
      <c r="AX113" s="299"/>
      <c r="AY113" s="299"/>
      <c r="AZ113" s="299"/>
      <c r="BA113" s="299"/>
      <c r="BB113" s="299"/>
      <c r="BC113" s="299"/>
      <c r="BD113" s="299"/>
      <c r="BE113" s="299"/>
      <c r="BF113" s="299"/>
      <c r="BG113" s="299"/>
      <c r="BH113" s="299"/>
      <c r="BI113" s="299"/>
      <c r="BJ113" s="299"/>
      <c r="BK113" s="299"/>
      <c r="BL113" s="299"/>
      <c r="BM113" s="299"/>
      <c r="BN113" s="299"/>
      <c r="BO113" s="299"/>
      <c r="BP113" s="299"/>
      <c r="BQ113" s="299"/>
      <c r="BR113" s="299"/>
      <c r="BS113" s="299"/>
      <c r="BT113" s="299"/>
      <c r="BU113" s="299"/>
      <c r="BV113" s="299"/>
      <c r="BW113" s="299"/>
      <c r="BX113" s="299"/>
      <c r="BY113" s="299"/>
      <c r="BZ113" s="299"/>
      <c r="CA113" s="299"/>
      <c r="CB113" s="299"/>
      <c r="CC113" s="299"/>
      <c r="CD113" s="299"/>
      <c r="CE113" s="299"/>
      <c r="CF113" s="299"/>
      <c r="CG113" s="299"/>
      <c r="CH113" s="299"/>
      <c r="CI113" s="299"/>
      <c r="CJ113" s="299"/>
      <c r="CK113" s="299"/>
      <c r="CL113" s="299"/>
      <c r="CM113" s="299"/>
      <c r="CN113" s="299"/>
      <c r="CO113" s="299"/>
      <c r="CP113" s="299"/>
      <c r="CQ113" s="299"/>
      <c r="CR113" s="299"/>
      <c r="CS113" s="299"/>
      <c r="CT113" s="299"/>
      <c r="CU113" s="299"/>
      <c r="CV113" s="299"/>
    </row>
    <row r="114" spans="1:100" s="269" customFormat="1" ht="16.5" hidden="1" customHeight="1">
      <c r="A114" s="281" t="e">
        <f>#REF!</f>
        <v>#REF!</v>
      </c>
      <c r="B114" s="281"/>
      <c r="C114" s="281"/>
      <c r="D114" s="281"/>
      <c r="E114" s="281"/>
      <c r="F114" s="281"/>
      <c r="G114" s="281"/>
      <c r="H114" s="281"/>
      <c r="I114" s="282" t="e">
        <f>#REF!</f>
        <v>#REF!</v>
      </c>
      <c r="J114" s="912" t="e">
        <f>#REF!</f>
        <v>#REF!</v>
      </c>
      <c r="K114" s="912"/>
      <c r="L114" s="912"/>
      <c r="M114" s="912"/>
      <c r="N114" s="299"/>
      <c r="O114" s="299"/>
      <c r="P114" s="299"/>
      <c r="Q114" s="299"/>
      <c r="R114" s="299"/>
      <c r="S114" s="299"/>
      <c r="T114" s="299"/>
      <c r="U114" s="299"/>
      <c r="V114" s="299"/>
      <c r="W114" s="299"/>
      <c r="X114" s="299"/>
      <c r="Y114" s="299"/>
      <c r="Z114" s="299"/>
      <c r="AA114" s="299"/>
      <c r="AB114" s="299"/>
      <c r="AC114" s="299"/>
      <c r="AD114" s="299"/>
      <c r="AE114" s="299"/>
      <c r="AF114" s="299"/>
      <c r="AG114" s="299"/>
      <c r="AH114" s="299"/>
      <c r="AI114" s="299"/>
      <c r="AJ114" s="299"/>
      <c r="AK114" s="299"/>
      <c r="AL114" s="299"/>
      <c r="AM114" s="299"/>
      <c r="AN114" s="299"/>
      <c r="AO114" s="299"/>
      <c r="AP114" s="299"/>
      <c r="AQ114" s="299"/>
      <c r="AR114" s="299"/>
      <c r="AS114" s="299"/>
      <c r="AT114" s="299"/>
      <c r="AU114" s="299"/>
      <c r="AV114" s="299"/>
      <c r="AW114" s="299"/>
      <c r="AX114" s="299"/>
      <c r="AY114" s="299"/>
      <c r="AZ114" s="299"/>
      <c r="BA114" s="299"/>
      <c r="BB114" s="299"/>
      <c r="BC114" s="299"/>
      <c r="BD114" s="299"/>
      <c r="BE114" s="299"/>
      <c r="BF114" s="299"/>
      <c r="BG114" s="299"/>
      <c r="BH114" s="299"/>
      <c r="BI114" s="299"/>
      <c r="BJ114" s="299"/>
      <c r="BK114" s="299"/>
      <c r="BL114" s="299"/>
      <c r="BM114" s="299"/>
      <c r="BN114" s="299"/>
      <c r="BO114" s="299"/>
      <c r="BP114" s="299"/>
      <c r="BQ114" s="299"/>
      <c r="BR114" s="299"/>
      <c r="BS114" s="299"/>
      <c r="BT114" s="299"/>
      <c r="BU114" s="299"/>
      <c r="BV114" s="299"/>
      <c r="BW114" s="299"/>
      <c r="BX114" s="299"/>
      <c r="BY114" s="299"/>
      <c r="BZ114" s="299"/>
      <c r="CA114" s="299"/>
      <c r="CB114" s="299"/>
      <c r="CC114" s="299"/>
      <c r="CD114" s="299"/>
      <c r="CE114" s="299"/>
      <c r="CF114" s="299"/>
      <c r="CG114" s="299"/>
      <c r="CH114" s="299"/>
      <c r="CI114" s="299"/>
      <c r="CJ114" s="299"/>
      <c r="CK114" s="299"/>
      <c r="CL114" s="299"/>
      <c r="CM114" s="299"/>
      <c r="CN114" s="299"/>
      <c r="CO114" s="299"/>
      <c r="CP114" s="299"/>
      <c r="CQ114" s="299"/>
      <c r="CR114" s="299"/>
      <c r="CS114" s="299"/>
      <c r="CT114" s="299"/>
      <c r="CU114" s="299"/>
      <c r="CV114" s="299"/>
    </row>
    <row r="115" spans="1:100" s="269" customFormat="1" ht="16.5" hidden="1" customHeight="1">
      <c r="A115" s="281" t="e">
        <f>#REF!</f>
        <v>#REF!</v>
      </c>
      <c r="B115" s="281"/>
      <c r="C115" s="281"/>
      <c r="D115" s="281"/>
      <c r="E115" s="281"/>
      <c r="F115" s="281"/>
      <c r="G115" s="281"/>
      <c r="H115" s="281"/>
      <c r="I115" s="282" t="e">
        <f>#REF!</f>
        <v>#REF!</v>
      </c>
      <c r="J115" s="912" t="e">
        <f>#REF!</f>
        <v>#REF!</v>
      </c>
      <c r="K115" s="912"/>
      <c r="L115" s="912"/>
      <c r="M115" s="912"/>
      <c r="N115" s="299"/>
      <c r="O115" s="299"/>
      <c r="P115" s="299"/>
      <c r="Q115" s="299"/>
      <c r="R115" s="299"/>
      <c r="S115" s="299"/>
      <c r="T115" s="299"/>
      <c r="U115" s="299"/>
      <c r="V115" s="299"/>
      <c r="W115" s="299"/>
      <c r="X115" s="299"/>
      <c r="Y115" s="299"/>
      <c r="Z115" s="299"/>
      <c r="AA115" s="299"/>
      <c r="AB115" s="299"/>
      <c r="AC115" s="299"/>
      <c r="AD115" s="299"/>
      <c r="AE115" s="299"/>
      <c r="AF115" s="299"/>
      <c r="AG115" s="299"/>
      <c r="AH115" s="299"/>
      <c r="AI115" s="299"/>
      <c r="AJ115" s="299"/>
      <c r="AK115" s="299"/>
      <c r="AL115" s="299"/>
      <c r="AM115" s="299"/>
      <c r="AN115" s="299"/>
      <c r="AO115" s="299"/>
      <c r="AP115" s="299"/>
      <c r="AQ115" s="299"/>
      <c r="AR115" s="299"/>
      <c r="AS115" s="299"/>
      <c r="AT115" s="299"/>
      <c r="AU115" s="299"/>
      <c r="AV115" s="299"/>
      <c r="AW115" s="299"/>
      <c r="AX115" s="299"/>
      <c r="AY115" s="299"/>
      <c r="AZ115" s="299"/>
      <c r="BA115" s="299"/>
      <c r="BB115" s="299"/>
      <c r="BC115" s="299"/>
      <c r="BD115" s="299"/>
      <c r="BE115" s="299"/>
      <c r="BF115" s="299"/>
      <c r="BG115" s="299"/>
      <c r="BH115" s="299"/>
      <c r="BI115" s="299"/>
      <c r="BJ115" s="299"/>
      <c r="BK115" s="299"/>
      <c r="BL115" s="299"/>
      <c r="BM115" s="299"/>
      <c r="BN115" s="299"/>
      <c r="BO115" s="299"/>
      <c r="BP115" s="299"/>
      <c r="BQ115" s="299"/>
      <c r="BR115" s="299"/>
      <c r="BS115" s="299"/>
      <c r="BT115" s="299"/>
      <c r="BU115" s="299"/>
      <c r="BV115" s="299"/>
      <c r="BW115" s="299"/>
      <c r="BX115" s="299"/>
      <c r="BY115" s="299"/>
      <c r="BZ115" s="299"/>
      <c r="CA115" s="299"/>
      <c r="CB115" s="299"/>
      <c r="CC115" s="299"/>
      <c r="CD115" s="299"/>
      <c r="CE115" s="299"/>
      <c r="CF115" s="299"/>
      <c r="CG115" s="299"/>
      <c r="CH115" s="299"/>
      <c r="CI115" s="299"/>
      <c r="CJ115" s="299"/>
      <c r="CK115" s="299"/>
      <c r="CL115" s="299"/>
      <c r="CM115" s="299"/>
      <c r="CN115" s="299"/>
      <c r="CO115" s="299"/>
      <c r="CP115" s="299"/>
      <c r="CQ115" s="299"/>
      <c r="CR115" s="299"/>
      <c r="CS115" s="299"/>
      <c r="CT115" s="299"/>
      <c r="CU115" s="299"/>
      <c r="CV115" s="299"/>
    </row>
    <row r="116" spans="1:100" s="269" customFormat="1" ht="16.5" hidden="1" customHeight="1">
      <c r="A116" s="281" t="e">
        <f>#REF!</f>
        <v>#REF!</v>
      </c>
      <c r="B116" s="281"/>
      <c r="C116" s="281"/>
      <c r="D116" s="281"/>
      <c r="E116" s="281"/>
      <c r="F116" s="281"/>
      <c r="G116" s="281"/>
      <c r="H116" s="281"/>
      <c r="I116" s="282" t="e">
        <f>#REF!</f>
        <v>#REF!</v>
      </c>
      <c r="J116" s="912" t="e">
        <f>#REF!</f>
        <v>#REF!</v>
      </c>
      <c r="K116" s="912"/>
      <c r="L116" s="912"/>
      <c r="M116" s="912"/>
      <c r="N116" s="299"/>
      <c r="O116" s="299"/>
      <c r="P116" s="299"/>
      <c r="Q116" s="299"/>
      <c r="R116" s="299"/>
      <c r="S116" s="299"/>
      <c r="T116" s="299"/>
      <c r="U116" s="299"/>
      <c r="V116" s="299"/>
      <c r="W116" s="299"/>
      <c r="X116" s="299"/>
      <c r="Y116" s="299"/>
      <c r="Z116" s="299"/>
      <c r="AA116" s="299"/>
      <c r="AB116" s="299"/>
      <c r="AC116" s="299"/>
      <c r="AD116" s="299"/>
      <c r="AE116" s="299"/>
      <c r="AF116" s="299"/>
      <c r="AG116" s="299"/>
      <c r="AH116" s="299"/>
      <c r="AI116" s="299"/>
      <c r="AJ116" s="299"/>
      <c r="AK116" s="299"/>
      <c r="AL116" s="299"/>
      <c r="AM116" s="299"/>
      <c r="AN116" s="299"/>
      <c r="AO116" s="299"/>
      <c r="AP116" s="299"/>
      <c r="AQ116" s="299"/>
      <c r="AR116" s="299"/>
      <c r="AS116" s="299"/>
      <c r="AT116" s="299"/>
      <c r="AU116" s="299"/>
      <c r="AV116" s="299"/>
      <c r="AW116" s="299"/>
      <c r="AX116" s="299"/>
      <c r="AY116" s="299"/>
      <c r="AZ116" s="299"/>
      <c r="BA116" s="299"/>
      <c r="BB116" s="299"/>
      <c r="BC116" s="299"/>
      <c r="BD116" s="299"/>
      <c r="BE116" s="299"/>
      <c r="BF116" s="299"/>
      <c r="BG116" s="299"/>
      <c r="BH116" s="299"/>
      <c r="BI116" s="299"/>
      <c r="BJ116" s="299"/>
      <c r="BK116" s="299"/>
      <c r="BL116" s="299"/>
      <c r="BM116" s="299"/>
      <c r="BN116" s="299"/>
      <c r="BO116" s="299"/>
      <c r="BP116" s="299"/>
      <c r="BQ116" s="299"/>
      <c r="BR116" s="299"/>
      <c r="BS116" s="299"/>
      <c r="BT116" s="299"/>
      <c r="BU116" s="299"/>
      <c r="BV116" s="299"/>
      <c r="BW116" s="299"/>
      <c r="BX116" s="299"/>
      <c r="BY116" s="299"/>
      <c r="BZ116" s="299"/>
      <c r="CA116" s="299"/>
      <c r="CB116" s="299"/>
      <c r="CC116" s="299"/>
      <c r="CD116" s="299"/>
      <c r="CE116" s="299"/>
      <c r="CF116" s="299"/>
      <c r="CG116" s="299"/>
      <c r="CH116" s="299"/>
      <c r="CI116" s="299"/>
      <c r="CJ116" s="299"/>
      <c r="CK116" s="299"/>
      <c r="CL116" s="299"/>
      <c r="CM116" s="299"/>
      <c r="CN116" s="299"/>
      <c r="CO116" s="299"/>
      <c r="CP116" s="299"/>
      <c r="CQ116" s="299"/>
      <c r="CR116" s="299"/>
      <c r="CS116" s="299"/>
      <c r="CT116" s="299"/>
      <c r="CU116" s="299"/>
      <c r="CV116" s="299"/>
    </row>
    <row r="117" spans="1:100" s="269" customFormat="1" ht="20.100000000000001" hidden="1" customHeight="1">
      <c r="A117" s="289"/>
      <c r="B117" s="289"/>
      <c r="C117" s="289"/>
      <c r="D117" s="289"/>
      <c r="E117" s="289"/>
      <c r="F117" s="289"/>
      <c r="G117" s="289"/>
      <c r="H117" s="289"/>
      <c r="I117" s="280" t="e">
        <f>#REF!</f>
        <v>#REF!</v>
      </c>
      <c r="J117" s="912" t="e">
        <f>#REF!</f>
        <v>#REF!</v>
      </c>
      <c r="K117" s="912"/>
      <c r="L117" s="912"/>
      <c r="M117" s="912"/>
      <c r="N117" s="299"/>
      <c r="O117" s="299"/>
      <c r="P117" s="299"/>
      <c r="Q117" s="299"/>
      <c r="R117" s="299"/>
      <c r="S117" s="299"/>
      <c r="T117" s="299"/>
      <c r="U117" s="299"/>
      <c r="V117" s="299"/>
      <c r="W117" s="299"/>
      <c r="X117" s="299"/>
      <c r="Y117" s="299"/>
      <c r="Z117" s="299"/>
      <c r="AA117" s="299"/>
      <c r="AB117" s="299"/>
      <c r="AC117" s="299"/>
      <c r="AD117" s="299"/>
      <c r="AE117" s="299"/>
      <c r="AF117" s="299"/>
      <c r="AG117" s="299"/>
      <c r="AH117" s="299"/>
      <c r="AI117" s="299"/>
      <c r="AJ117" s="299"/>
      <c r="AK117" s="299"/>
      <c r="AL117" s="299"/>
      <c r="AM117" s="299"/>
      <c r="AN117" s="299"/>
      <c r="AO117" s="299"/>
      <c r="AP117" s="299"/>
      <c r="AQ117" s="299"/>
      <c r="AR117" s="299"/>
      <c r="AS117" s="299"/>
      <c r="AT117" s="299"/>
      <c r="AU117" s="299"/>
      <c r="AV117" s="299"/>
      <c r="AW117" s="299"/>
      <c r="AX117" s="299"/>
      <c r="AY117" s="299"/>
      <c r="AZ117" s="299"/>
      <c r="BA117" s="299"/>
      <c r="BB117" s="299"/>
      <c r="BC117" s="299"/>
      <c r="BD117" s="299"/>
      <c r="BE117" s="299"/>
      <c r="BF117" s="299"/>
      <c r="BG117" s="299"/>
      <c r="BH117" s="299"/>
      <c r="BI117" s="299"/>
      <c r="BJ117" s="299"/>
      <c r="BK117" s="299"/>
      <c r="BL117" s="299"/>
      <c r="BM117" s="299"/>
      <c r="BN117" s="299"/>
      <c r="BO117" s="299"/>
      <c r="BP117" s="299"/>
      <c r="BQ117" s="299"/>
      <c r="BR117" s="299"/>
      <c r="BS117" s="299"/>
      <c r="BT117" s="299"/>
      <c r="BU117" s="299"/>
      <c r="BV117" s="299"/>
      <c r="BW117" s="299"/>
      <c r="BX117" s="299"/>
      <c r="BY117" s="299"/>
      <c r="BZ117" s="299"/>
      <c r="CA117" s="299"/>
      <c r="CB117" s="299"/>
      <c r="CC117" s="299"/>
      <c r="CD117" s="299"/>
      <c r="CE117" s="299"/>
      <c r="CF117" s="299"/>
      <c r="CG117" s="299"/>
      <c r="CH117" s="299"/>
      <c r="CI117" s="299"/>
      <c r="CJ117" s="299"/>
      <c r="CK117" s="299"/>
      <c r="CL117" s="299"/>
      <c r="CM117" s="299"/>
      <c r="CN117" s="299"/>
      <c r="CO117" s="299"/>
      <c r="CP117" s="299"/>
      <c r="CQ117" s="299"/>
      <c r="CR117" s="299"/>
      <c r="CS117" s="299"/>
      <c r="CT117" s="299"/>
      <c r="CU117" s="299"/>
      <c r="CV117" s="299"/>
    </row>
    <row r="118" spans="1:100" s="269" customFormat="1" ht="20.100000000000001" hidden="1" customHeight="1">
      <c r="A118" s="288"/>
      <c r="B118" s="288"/>
      <c r="C118" s="288"/>
      <c r="D118" s="288"/>
      <c r="E118" s="288"/>
      <c r="F118" s="288"/>
      <c r="G118" s="288"/>
      <c r="H118" s="288"/>
      <c r="I118" s="280" t="e">
        <f>#REF!</f>
        <v>#REF!</v>
      </c>
      <c r="J118" s="912" t="e">
        <f>#REF!</f>
        <v>#REF!</v>
      </c>
      <c r="K118" s="912"/>
      <c r="L118" s="912"/>
      <c r="M118" s="912"/>
      <c r="N118" s="299"/>
      <c r="O118" s="299"/>
      <c r="P118" s="299"/>
      <c r="Q118" s="299"/>
      <c r="R118" s="299"/>
      <c r="S118" s="299"/>
      <c r="T118" s="299"/>
      <c r="U118" s="299"/>
      <c r="V118" s="299"/>
      <c r="W118" s="299"/>
      <c r="X118" s="299"/>
      <c r="Y118" s="299"/>
      <c r="Z118" s="299"/>
      <c r="AA118" s="299"/>
      <c r="AB118" s="299"/>
      <c r="AC118" s="299"/>
      <c r="AD118" s="299"/>
      <c r="AE118" s="299"/>
      <c r="AF118" s="299"/>
      <c r="AG118" s="299"/>
      <c r="AH118" s="299"/>
      <c r="AI118" s="299"/>
      <c r="AJ118" s="299"/>
      <c r="AK118" s="299"/>
      <c r="AL118" s="299"/>
      <c r="AM118" s="299"/>
      <c r="AN118" s="299"/>
      <c r="AO118" s="299"/>
      <c r="AP118" s="299"/>
      <c r="AQ118" s="299"/>
      <c r="AR118" s="299"/>
      <c r="AS118" s="299"/>
      <c r="AT118" s="299"/>
      <c r="AU118" s="299"/>
      <c r="AV118" s="299"/>
      <c r="AW118" s="299"/>
      <c r="AX118" s="299"/>
      <c r="AY118" s="299"/>
      <c r="AZ118" s="299"/>
      <c r="BA118" s="299"/>
      <c r="BB118" s="299"/>
      <c r="BC118" s="299"/>
      <c r="BD118" s="299"/>
      <c r="BE118" s="299"/>
      <c r="BF118" s="299"/>
      <c r="BG118" s="299"/>
      <c r="BH118" s="299"/>
      <c r="BI118" s="299"/>
      <c r="BJ118" s="299"/>
      <c r="BK118" s="299"/>
      <c r="BL118" s="299"/>
      <c r="BM118" s="299"/>
      <c r="BN118" s="299"/>
      <c r="BO118" s="299"/>
      <c r="BP118" s="299"/>
      <c r="BQ118" s="299"/>
      <c r="BR118" s="299"/>
      <c r="BS118" s="299"/>
      <c r="BT118" s="299"/>
      <c r="BU118" s="299"/>
      <c r="BV118" s="299"/>
      <c r="BW118" s="299"/>
      <c r="BX118" s="299"/>
      <c r="BY118" s="299"/>
      <c r="BZ118" s="299"/>
      <c r="CA118" s="299"/>
      <c r="CB118" s="299"/>
      <c r="CC118" s="299"/>
      <c r="CD118" s="299"/>
      <c r="CE118" s="299"/>
      <c r="CF118" s="299"/>
      <c r="CG118" s="299"/>
      <c r="CH118" s="299"/>
      <c r="CI118" s="299"/>
      <c r="CJ118" s="299"/>
      <c r="CK118" s="299"/>
      <c r="CL118" s="299"/>
      <c r="CM118" s="299"/>
      <c r="CN118" s="299"/>
      <c r="CO118" s="299"/>
      <c r="CP118" s="299"/>
      <c r="CQ118" s="299"/>
      <c r="CR118" s="299"/>
      <c r="CS118" s="299"/>
      <c r="CT118" s="299"/>
      <c r="CU118" s="299"/>
      <c r="CV118" s="299"/>
    </row>
    <row r="119" spans="1:100" s="269" customFormat="1" ht="20.100000000000001" hidden="1" customHeight="1">
      <c r="A119" s="279" t="e">
        <f>#REF!</f>
        <v>#REF!</v>
      </c>
      <c r="B119" s="279"/>
      <c r="C119" s="279"/>
      <c r="D119" s="279"/>
      <c r="E119" s="279"/>
      <c r="F119" s="279"/>
      <c r="G119" s="279"/>
      <c r="H119" s="279"/>
      <c r="I119" s="280" t="e">
        <f>#REF!</f>
        <v>#REF!</v>
      </c>
      <c r="J119" s="912"/>
      <c r="K119" s="912"/>
      <c r="L119" s="912"/>
      <c r="M119" s="912"/>
      <c r="N119" s="299"/>
      <c r="O119" s="299"/>
      <c r="P119" s="299"/>
      <c r="Q119" s="299"/>
      <c r="R119" s="299"/>
      <c r="S119" s="299"/>
      <c r="T119" s="299"/>
      <c r="U119" s="299"/>
      <c r="V119" s="299"/>
      <c r="W119" s="299"/>
      <c r="X119" s="299"/>
      <c r="Y119" s="299"/>
      <c r="Z119" s="299"/>
      <c r="AA119" s="299"/>
      <c r="AB119" s="299"/>
      <c r="AC119" s="299"/>
      <c r="AD119" s="299"/>
      <c r="AE119" s="299"/>
      <c r="AF119" s="299"/>
      <c r="AG119" s="299"/>
      <c r="AH119" s="299"/>
      <c r="AI119" s="299"/>
      <c r="AJ119" s="299"/>
      <c r="AK119" s="299"/>
      <c r="AL119" s="299"/>
      <c r="AM119" s="299"/>
      <c r="AN119" s="299"/>
      <c r="AO119" s="299"/>
      <c r="AP119" s="299"/>
      <c r="AQ119" s="299"/>
      <c r="AR119" s="299"/>
      <c r="AS119" s="299"/>
      <c r="AT119" s="299"/>
      <c r="AU119" s="299"/>
      <c r="AV119" s="299"/>
      <c r="AW119" s="299"/>
      <c r="AX119" s="299"/>
      <c r="AY119" s="299"/>
      <c r="AZ119" s="299"/>
      <c r="BA119" s="299"/>
      <c r="BB119" s="299"/>
      <c r="BC119" s="299"/>
      <c r="BD119" s="299"/>
      <c r="BE119" s="299"/>
      <c r="BF119" s="299"/>
      <c r="BG119" s="299"/>
      <c r="BH119" s="299"/>
      <c r="BI119" s="299"/>
      <c r="BJ119" s="299"/>
      <c r="BK119" s="299"/>
      <c r="BL119" s="299"/>
      <c r="BM119" s="299"/>
      <c r="BN119" s="299"/>
      <c r="BO119" s="299"/>
      <c r="BP119" s="299"/>
      <c r="BQ119" s="299"/>
      <c r="BR119" s="299"/>
      <c r="BS119" s="299"/>
      <c r="BT119" s="299"/>
      <c r="BU119" s="299"/>
      <c r="BV119" s="299"/>
      <c r="BW119" s="299"/>
      <c r="BX119" s="299"/>
      <c r="BY119" s="299"/>
      <c r="BZ119" s="299"/>
      <c r="CA119" s="299"/>
      <c r="CB119" s="299"/>
      <c r="CC119" s="299"/>
      <c r="CD119" s="299"/>
      <c r="CE119" s="299"/>
      <c r="CF119" s="299"/>
      <c r="CG119" s="299"/>
      <c r="CH119" s="299"/>
      <c r="CI119" s="299"/>
      <c r="CJ119" s="299"/>
      <c r="CK119" s="299"/>
      <c r="CL119" s="299"/>
      <c r="CM119" s="299"/>
      <c r="CN119" s="299"/>
      <c r="CO119" s="299"/>
      <c r="CP119" s="299"/>
      <c r="CQ119" s="299"/>
      <c r="CR119" s="299"/>
      <c r="CS119" s="299"/>
      <c r="CT119" s="299"/>
      <c r="CU119" s="299"/>
      <c r="CV119" s="299"/>
    </row>
    <row r="120" spans="1:100" s="269" customFormat="1" ht="30" hidden="1" customHeight="1">
      <c r="A120" s="284" t="e">
        <f>#REF!</f>
        <v>#REF!</v>
      </c>
      <c r="B120" s="284"/>
      <c r="C120" s="284"/>
      <c r="D120" s="284"/>
      <c r="E120" s="284"/>
      <c r="F120" s="284"/>
      <c r="G120" s="284"/>
      <c r="H120" s="284"/>
      <c r="I120" s="280" t="e">
        <f>#REF!</f>
        <v>#REF!</v>
      </c>
      <c r="J120" s="912"/>
      <c r="K120" s="912"/>
      <c r="L120" s="912"/>
      <c r="M120" s="912"/>
      <c r="N120" s="299"/>
      <c r="O120" s="299"/>
      <c r="P120" s="299"/>
      <c r="Q120" s="299"/>
      <c r="R120" s="299"/>
      <c r="S120" s="299"/>
      <c r="T120" s="299"/>
      <c r="U120" s="299"/>
      <c r="V120" s="299"/>
      <c r="W120" s="299"/>
      <c r="X120" s="299"/>
      <c r="Y120" s="299"/>
      <c r="Z120" s="299"/>
      <c r="AA120" s="299"/>
      <c r="AB120" s="299"/>
      <c r="AC120" s="299"/>
      <c r="AD120" s="299"/>
      <c r="AE120" s="299"/>
      <c r="AF120" s="299"/>
      <c r="AG120" s="299"/>
      <c r="AH120" s="299"/>
      <c r="AI120" s="299"/>
      <c r="AJ120" s="299"/>
      <c r="AK120" s="299"/>
      <c r="AL120" s="299"/>
      <c r="AM120" s="299"/>
      <c r="AN120" s="299"/>
      <c r="AO120" s="299"/>
      <c r="AP120" s="299"/>
      <c r="AQ120" s="299"/>
      <c r="AR120" s="299"/>
      <c r="AS120" s="299"/>
      <c r="AT120" s="299"/>
      <c r="AU120" s="299"/>
      <c r="AV120" s="299"/>
      <c r="AW120" s="299"/>
      <c r="AX120" s="299"/>
      <c r="AY120" s="299"/>
      <c r="AZ120" s="299"/>
      <c r="BA120" s="299"/>
      <c r="BB120" s="299"/>
      <c r="BC120" s="299"/>
      <c r="BD120" s="299"/>
      <c r="BE120" s="299"/>
      <c r="BF120" s="299"/>
      <c r="BG120" s="299"/>
      <c r="BH120" s="299"/>
      <c r="BI120" s="299"/>
      <c r="BJ120" s="299"/>
      <c r="BK120" s="299"/>
      <c r="BL120" s="299"/>
      <c r="BM120" s="299"/>
      <c r="BN120" s="299"/>
      <c r="BO120" s="299"/>
      <c r="BP120" s="299"/>
      <c r="BQ120" s="299"/>
      <c r="BR120" s="299"/>
      <c r="BS120" s="299"/>
      <c r="BT120" s="299"/>
      <c r="BU120" s="299"/>
      <c r="BV120" s="299"/>
      <c r="BW120" s="299"/>
      <c r="BX120" s="299"/>
      <c r="BY120" s="299"/>
      <c r="BZ120" s="299"/>
      <c r="CA120" s="299"/>
      <c r="CB120" s="299"/>
      <c r="CC120" s="299"/>
      <c r="CD120" s="299"/>
      <c r="CE120" s="299"/>
      <c r="CF120" s="299"/>
      <c r="CG120" s="299"/>
      <c r="CH120" s="299"/>
      <c r="CI120" s="299"/>
      <c r="CJ120" s="299"/>
      <c r="CK120" s="299"/>
      <c r="CL120" s="299"/>
      <c r="CM120" s="299"/>
      <c r="CN120" s="299"/>
      <c r="CO120" s="299"/>
      <c r="CP120" s="299"/>
      <c r="CQ120" s="299"/>
      <c r="CR120" s="299"/>
      <c r="CS120" s="299"/>
      <c r="CT120" s="299"/>
      <c r="CU120" s="299"/>
      <c r="CV120" s="299"/>
    </row>
    <row r="121" spans="1:100" s="269" customFormat="1" ht="20.100000000000001" hidden="1" customHeight="1">
      <c r="A121" s="281" t="e">
        <f>#REF!</f>
        <v>#REF!</v>
      </c>
      <c r="B121" s="281"/>
      <c r="C121" s="281"/>
      <c r="D121" s="281"/>
      <c r="E121" s="281"/>
      <c r="F121" s="281"/>
      <c r="G121" s="281"/>
      <c r="H121" s="281"/>
      <c r="I121" s="282" t="e">
        <f>#REF!</f>
        <v>#REF!</v>
      </c>
      <c r="J121" s="912" t="e">
        <f>#REF!</f>
        <v>#REF!</v>
      </c>
      <c r="K121" s="912"/>
      <c r="L121" s="912"/>
      <c r="M121" s="912"/>
      <c r="N121" s="299"/>
      <c r="O121" s="299"/>
      <c r="P121" s="299"/>
      <c r="Q121" s="299"/>
      <c r="R121" s="299"/>
      <c r="S121" s="299"/>
      <c r="T121" s="299"/>
      <c r="U121" s="299"/>
      <c r="V121" s="299"/>
      <c r="W121" s="299"/>
      <c r="X121" s="299"/>
      <c r="Y121" s="299"/>
      <c r="Z121" s="299"/>
      <c r="AA121" s="299"/>
      <c r="AB121" s="299"/>
      <c r="AC121" s="299"/>
      <c r="AD121" s="299"/>
      <c r="AE121" s="299"/>
      <c r="AF121" s="299"/>
      <c r="AG121" s="299"/>
      <c r="AH121" s="299"/>
      <c r="AI121" s="299"/>
      <c r="AJ121" s="299"/>
      <c r="AK121" s="299"/>
      <c r="AL121" s="299"/>
      <c r="AM121" s="299"/>
      <c r="AN121" s="299"/>
      <c r="AO121" s="299"/>
      <c r="AP121" s="299"/>
      <c r="AQ121" s="299"/>
      <c r="AR121" s="299"/>
      <c r="AS121" s="299"/>
      <c r="AT121" s="299"/>
      <c r="AU121" s="299"/>
      <c r="AV121" s="299"/>
      <c r="AW121" s="299"/>
      <c r="AX121" s="299"/>
      <c r="AY121" s="299"/>
      <c r="AZ121" s="299"/>
      <c r="BA121" s="299"/>
      <c r="BB121" s="299"/>
      <c r="BC121" s="299"/>
      <c r="BD121" s="299"/>
      <c r="BE121" s="299"/>
      <c r="BF121" s="299"/>
      <c r="BG121" s="299"/>
      <c r="BH121" s="299"/>
      <c r="BI121" s="299"/>
      <c r="BJ121" s="299"/>
      <c r="BK121" s="299"/>
      <c r="BL121" s="299"/>
      <c r="BM121" s="299"/>
      <c r="BN121" s="299"/>
      <c r="BO121" s="299"/>
      <c r="BP121" s="299"/>
      <c r="BQ121" s="299"/>
      <c r="BR121" s="299"/>
      <c r="BS121" s="299"/>
      <c r="BT121" s="299"/>
      <c r="BU121" s="299"/>
      <c r="BV121" s="299"/>
      <c r="BW121" s="299"/>
      <c r="BX121" s="299"/>
      <c r="BY121" s="299"/>
      <c r="BZ121" s="299"/>
      <c r="CA121" s="299"/>
      <c r="CB121" s="299"/>
      <c r="CC121" s="299"/>
      <c r="CD121" s="299"/>
      <c r="CE121" s="299"/>
      <c r="CF121" s="299"/>
      <c r="CG121" s="299"/>
      <c r="CH121" s="299"/>
      <c r="CI121" s="299"/>
      <c r="CJ121" s="299"/>
      <c r="CK121" s="299"/>
      <c r="CL121" s="299"/>
      <c r="CM121" s="299"/>
      <c r="CN121" s="299"/>
      <c r="CO121" s="299"/>
      <c r="CP121" s="299"/>
      <c r="CQ121" s="299"/>
      <c r="CR121" s="299"/>
      <c r="CS121" s="299"/>
      <c r="CT121" s="299"/>
      <c r="CU121" s="299"/>
      <c r="CV121" s="299"/>
    </row>
    <row r="122" spans="1:100" s="269" customFormat="1" ht="20.100000000000001" hidden="1" customHeight="1">
      <c r="A122" s="281" t="e">
        <f>#REF!</f>
        <v>#REF!</v>
      </c>
      <c r="B122" s="281"/>
      <c r="C122" s="281"/>
      <c r="D122" s="281"/>
      <c r="E122" s="281"/>
      <c r="F122" s="281"/>
      <c r="G122" s="281"/>
      <c r="H122" s="281"/>
      <c r="I122" s="282" t="e">
        <f>#REF!</f>
        <v>#REF!</v>
      </c>
      <c r="J122" s="912" t="e">
        <f>#REF!</f>
        <v>#REF!</v>
      </c>
      <c r="K122" s="912"/>
      <c r="L122" s="912"/>
      <c r="M122" s="912"/>
      <c r="N122" s="299"/>
      <c r="O122" s="299"/>
      <c r="P122" s="299"/>
      <c r="Q122" s="299"/>
      <c r="R122" s="299"/>
      <c r="S122" s="299"/>
      <c r="T122" s="299"/>
      <c r="U122" s="299"/>
      <c r="V122" s="299"/>
      <c r="W122" s="299"/>
      <c r="X122" s="299"/>
      <c r="Y122" s="299"/>
      <c r="Z122" s="299"/>
      <c r="AA122" s="299"/>
      <c r="AB122" s="299"/>
      <c r="AC122" s="299"/>
      <c r="AD122" s="299"/>
      <c r="AE122" s="299"/>
      <c r="AF122" s="299"/>
      <c r="AG122" s="299"/>
      <c r="AH122" s="299"/>
      <c r="AI122" s="299"/>
      <c r="AJ122" s="299"/>
      <c r="AK122" s="299"/>
      <c r="AL122" s="299"/>
      <c r="AM122" s="299"/>
      <c r="AN122" s="299"/>
      <c r="AO122" s="299"/>
      <c r="AP122" s="299"/>
      <c r="AQ122" s="299"/>
      <c r="AR122" s="299"/>
      <c r="AS122" s="299"/>
      <c r="AT122" s="299"/>
      <c r="AU122" s="299"/>
      <c r="AV122" s="299"/>
      <c r="AW122" s="299"/>
      <c r="AX122" s="299"/>
      <c r="AY122" s="299"/>
      <c r="AZ122" s="299"/>
      <c r="BA122" s="299"/>
      <c r="BB122" s="299"/>
      <c r="BC122" s="299"/>
      <c r="BD122" s="299"/>
      <c r="BE122" s="299"/>
      <c r="BF122" s="299"/>
      <c r="BG122" s="299"/>
      <c r="BH122" s="299"/>
      <c r="BI122" s="299"/>
      <c r="BJ122" s="299"/>
      <c r="BK122" s="299"/>
      <c r="BL122" s="299"/>
      <c r="BM122" s="299"/>
      <c r="BN122" s="299"/>
      <c r="BO122" s="299"/>
      <c r="BP122" s="299"/>
      <c r="BQ122" s="299"/>
      <c r="BR122" s="299"/>
      <c r="BS122" s="299"/>
      <c r="BT122" s="299"/>
      <c r="BU122" s="299"/>
      <c r="BV122" s="299"/>
      <c r="BW122" s="299"/>
      <c r="BX122" s="299"/>
      <c r="BY122" s="299"/>
      <c r="BZ122" s="299"/>
      <c r="CA122" s="299"/>
      <c r="CB122" s="299"/>
      <c r="CC122" s="299"/>
      <c r="CD122" s="299"/>
      <c r="CE122" s="299"/>
      <c r="CF122" s="299"/>
      <c r="CG122" s="299"/>
      <c r="CH122" s="299"/>
      <c r="CI122" s="299"/>
      <c r="CJ122" s="299"/>
      <c r="CK122" s="299"/>
      <c r="CL122" s="299"/>
      <c r="CM122" s="299"/>
      <c r="CN122" s="299"/>
      <c r="CO122" s="299"/>
      <c r="CP122" s="299"/>
      <c r="CQ122" s="299"/>
      <c r="CR122" s="299"/>
      <c r="CS122" s="299"/>
      <c r="CT122" s="299"/>
      <c r="CU122" s="299"/>
      <c r="CV122" s="299"/>
    </row>
    <row r="123" spans="1:100" s="269" customFormat="1" ht="20.100000000000001" hidden="1" customHeight="1">
      <c r="A123" s="281" t="e">
        <f>#REF!</f>
        <v>#REF!</v>
      </c>
      <c r="B123" s="281"/>
      <c r="C123" s="281"/>
      <c r="D123" s="281"/>
      <c r="E123" s="281"/>
      <c r="F123" s="281"/>
      <c r="G123" s="281"/>
      <c r="H123" s="281"/>
      <c r="I123" s="282" t="e">
        <f>#REF!</f>
        <v>#REF!</v>
      </c>
      <c r="J123" s="912" t="e">
        <f>#REF!</f>
        <v>#REF!</v>
      </c>
      <c r="K123" s="912"/>
      <c r="L123" s="912"/>
      <c r="M123" s="912"/>
      <c r="N123" s="299"/>
      <c r="O123" s="299"/>
      <c r="P123" s="299"/>
      <c r="Q123" s="299"/>
      <c r="R123" s="299"/>
      <c r="S123" s="299"/>
      <c r="T123" s="299"/>
      <c r="U123" s="299"/>
      <c r="V123" s="299"/>
      <c r="W123" s="299"/>
      <c r="X123" s="299"/>
      <c r="Y123" s="299"/>
      <c r="Z123" s="299"/>
      <c r="AA123" s="299"/>
      <c r="AB123" s="299"/>
      <c r="AC123" s="299"/>
      <c r="AD123" s="299"/>
      <c r="AE123" s="299"/>
      <c r="AF123" s="299"/>
      <c r="AG123" s="299"/>
      <c r="AH123" s="299"/>
      <c r="AI123" s="299"/>
      <c r="AJ123" s="299"/>
      <c r="AK123" s="299"/>
      <c r="AL123" s="299"/>
      <c r="AM123" s="299"/>
      <c r="AN123" s="299"/>
      <c r="AO123" s="299"/>
      <c r="AP123" s="299"/>
      <c r="AQ123" s="299"/>
      <c r="AR123" s="299"/>
      <c r="AS123" s="299"/>
      <c r="AT123" s="299"/>
      <c r="AU123" s="299"/>
      <c r="AV123" s="299"/>
      <c r="AW123" s="299"/>
      <c r="AX123" s="299"/>
      <c r="AY123" s="299"/>
      <c r="AZ123" s="299"/>
      <c r="BA123" s="299"/>
      <c r="BB123" s="299"/>
      <c r="BC123" s="299"/>
      <c r="BD123" s="299"/>
      <c r="BE123" s="299"/>
      <c r="BF123" s="299"/>
      <c r="BG123" s="299"/>
      <c r="BH123" s="299"/>
      <c r="BI123" s="299"/>
      <c r="BJ123" s="299"/>
      <c r="BK123" s="299"/>
      <c r="BL123" s="299"/>
      <c r="BM123" s="299"/>
      <c r="BN123" s="299"/>
      <c r="BO123" s="299"/>
      <c r="BP123" s="299"/>
      <c r="BQ123" s="299"/>
      <c r="BR123" s="299"/>
      <c r="BS123" s="299"/>
      <c r="BT123" s="299"/>
      <c r="BU123" s="299"/>
      <c r="BV123" s="299"/>
      <c r="BW123" s="299"/>
      <c r="BX123" s="299"/>
      <c r="BY123" s="299"/>
      <c r="BZ123" s="299"/>
      <c r="CA123" s="299"/>
      <c r="CB123" s="299"/>
      <c r="CC123" s="299"/>
      <c r="CD123" s="299"/>
      <c r="CE123" s="299"/>
      <c r="CF123" s="299"/>
      <c r="CG123" s="299"/>
      <c r="CH123" s="299"/>
      <c r="CI123" s="299"/>
      <c r="CJ123" s="299"/>
      <c r="CK123" s="299"/>
      <c r="CL123" s="299"/>
      <c r="CM123" s="299"/>
      <c r="CN123" s="299"/>
      <c r="CO123" s="299"/>
      <c r="CP123" s="299"/>
      <c r="CQ123" s="299"/>
      <c r="CR123" s="299"/>
      <c r="CS123" s="299"/>
      <c r="CT123" s="299"/>
      <c r="CU123" s="299"/>
      <c r="CV123" s="299"/>
    </row>
    <row r="124" spans="1:100" s="269" customFormat="1" ht="20.100000000000001" hidden="1" customHeight="1">
      <c r="A124" s="281" t="e">
        <f>#REF!</f>
        <v>#REF!</v>
      </c>
      <c r="B124" s="281"/>
      <c r="C124" s="281"/>
      <c r="D124" s="281"/>
      <c r="E124" s="281"/>
      <c r="F124" s="281"/>
      <c r="G124" s="281"/>
      <c r="H124" s="281"/>
      <c r="I124" s="282" t="e">
        <f>#REF!</f>
        <v>#REF!</v>
      </c>
      <c r="J124" s="912" t="e">
        <f>#REF!</f>
        <v>#REF!</v>
      </c>
      <c r="K124" s="912"/>
      <c r="L124" s="912"/>
      <c r="M124" s="912"/>
      <c r="N124" s="299"/>
      <c r="O124" s="299"/>
      <c r="P124" s="299"/>
      <c r="Q124" s="299"/>
      <c r="R124" s="299"/>
      <c r="S124" s="299"/>
      <c r="T124" s="299"/>
      <c r="U124" s="299"/>
      <c r="V124" s="299"/>
      <c r="W124" s="299"/>
      <c r="X124" s="299"/>
      <c r="Y124" s="299"/>
      <c r="Z124" s="299"/>
      <c r="AA124" s="299"/>
      <c r="AB124" s="299"/>
      <c r="AC124" s="299"/>
      <c r="AD124" s="299"/>
      <c r="AE124" s="299"/>
      <c r="AF124" s="299"/>
      <c r="AG124" s="299"/>
      <c r="AH124" s="299"/>
      <c r="AI124" s="299"/>
      <c r="AJ124" s="299"/>
      <c r="AK124" s="299"/>
      <c r="AL124" s="299"/>
      <c r="AM124" s="299"/>
      <c r="AN124" s="299"/>
      <c r="AO124" s="299"/>
      <c r="AP124" s="299"/>
      <c r="AQ124" s="299"/>
      <c r="AR124" s="299"/>
      <c r="AS124" s="299"/>
      <c r="AT124" s="299"/>
      <c r="AU124" s="299"/>
      <c r="AV124" s="299"/>
      <c r="AW124" s="299"/>
      <c r="AX124" s="299"/>
      <c r="AY124" s="299"/>
      <c r="AZ124" s="299"/>
      <c r="BA124" s="299"/>
      <c r="BB124" s="299"/>
      <c r="BC124" s="299"/>
      <c r="BD124" s="299"/>
      <c r="BE124" s="299"/>
      <c r="BF124" s="299"/>
      <c r="BG124" s="299"/>
      <c r="BH124" s="299"/>
      <c r="BI124" s="299"/>
      <c r="BJ124" s="299"/>
      <c r="BK124" s="299"/>
      <c r="BL124" s="299"/>
      <c r="BM124" s="299"/>
      <c r="BN124" s="299"/>
      <c r="BO124" s="299"/>
      <c r="BP124" s="299"/>
      <c r="BQ124" s="299"/>
      <c r="BR124" s="299"/>
      <c r="BS124" s="299"/>
      <c r="BT124" s="299"/>
      <c r="BU124" s="299"/>
      <c r="BV124" s="299"/>
      <c r="BW124" s="299"/>
      <c r="BX124" s="299"/>
      <c r="BY124" s="299"/>
      <c r="BZ124" s="299"/>
      <c r="CA124" s="299"/>
      <c r="CB124" s="299"/>
      <c r="CC124" s="299"/>
      <c r="CD124" s="299"/>
      <c r="CE124" s="299"/>
      <c r="CF124" s="299"/>
      <c r="CG124" s="299"/>
      <c r="CH124" s="299"/>
      <c r="CI124" s="299"/>
      <c r="CJ124" s="299"/>
      <c r="CK124" s="299"/>
      <c r="CL124" s="299"/>
      <c r="CM124" s="299"/>
      <c r="CN124" s="299"/>
      <c r="CO124" s="299"/>
      <c r="CP124" s="299"/>
      <c r="CQ124" s="299"/>
      <c r="CR124" s="299"/>
      <c r="CS124" s="299"/>
      <c r="CT124" s="299"/>
      <c r="CU124" s="299"/>
      <c r="CV124" s="299"/>
    </row>
    <row r="125" spans="1:100" s="269" customFormat="1" ht="20.100000000000001" hidden="1" customHeight="1">
      <c r="A125" s="281" t="e">
        <f>#REF!</f>
        <v>#REF!</v>
      </c>
      <c r="B125" s="281"/>
      <c r="C125" s="281"/>
      <c r="D125" s="281"/>
      <c r="E125" s="281"/>
      <c r="F125" s="281"/>
      <c r="G125" s="281"/>
      <c r="H125" s="281"/>
      <c r="I125" s="282" t="e">
        <f>#REF!</f>
        <v>#REF!</v>
      </c>
      <c r="J125" s="912" t="e">
        <f>#REF!</f>
        <v>#REF!</v>
      </c>
      <c r="K125" s="912"/>
      <c r="L125" s="912"/>
      <c r="M125" s="912"/>
      <c r="N125" s="299"/>
      <c r="O125" s="299"/>
      <c r="P125" s="299"/>
      <c r="Q125" s="299"/>
      <c r="R125" s="299"/>
      <c r="S125" s="299"/>
      <c r="T125" s="299"/>
      <c r="U125" s="299"/>
      <c r="V125" s="299"/>
      <c r="W125" s="299"/>
      <c r="X125" s="299"/>
      <c r="Y125" s="299"/>
      <c r="Z125" s="299"/>
      <c r="AA125" s="299"/>
      <c r="AB125" s="299"/>
      <c r="AC125" s="299"/>
      <c r="AD125" s="299"/>
      <c r="AE125" s="299"/>
      <c r="AF125" s="299"/>
      <c r="AG125" s="299"/>
      <c r="AH125" s="299"/>
      <c r="AI125" s="299"/>
      <c r="AJ125" s="299"/>
      <c r="AK125" s="299"/>
      <c r="AL125" s="299"/>
      <c r="AM125" s="299"/>
      <c r="AN125" s="299"/>
      <c r="AO125" s="299"/>
      <c r="AP125" s="299"/>
      <c r="AQ125" s="299"/>
      <c r="AR125" s="299"/>
      <c r="AS125" s="299"/>
      <c r="AT125" s="299"/>
      <c r="AU125" s="299"/>
      <c r="AV125" s="299"/>
      <c r="AW125" s="299"/>
      <c r="AX125" s="299"/>
      <c r="AY125" s="299"/>
      <c r="AZ125" s="299"/>
      <c r="BA125" s="299"/>
      <c r="BB125" s="299"/>
      <c r="BC125" s="299"/>
      <c r="BD125" s="299"/>
      <c r="BE125" s="299"/>
      <c r="BF125" s="299"/>
      <c r="BG125" s="299"/>
      <c r="BH125" s="299"/>
      <c r="BI125" s="299"/>
      <c r="BJ125" s="299"/>
      <c r="BK125" s="299"/>
      <c r="BL125" s="299"/>
      <c r="BM125" s="299"/>
      <c r="BN125" s="299"/>
      <c r="BO125" s="299"/>
      <c r="BP125" s="299"/>
      <c r="BQ125" s="299"/>
      <c r="BR125" s="299"/>
      <c r="BS125" s="299"/>
      <c r="BT125" s="299"/>
      <c r="BU125" s="299"/>
      <c r="BV125" s="299"/>
      <c r="BW125" s="299"/>
      <c r="BX125" s="299"/>
      <c r="BY125" s="299"/>
      <c r="BZ125" s="299"/>
      <c r="CA125" s="299"/>
      <c r="CB125" s="299"/>
      <c r="CC125" s="299"/>
      <c r="CD125" s="299"/>
      <c r="CE125" s="299"/>
      <c r="CF125" s="299"/>
      <c r="CG125" s="299"/>
      <c r="CH125" s="299"/>
      <c r="CI125" s="299"/>
      <c r="CJ125" s="299"/>
      <c r="CK125" s="299"/>
      <c r="CL125" s="299"/>
      <c r="CM125" s="299"/>
      <c r="CN125" s="299"/>
      <c r="CO125" s="299"/>
      <c r="CP125" s="299"/>
      <c r="CQ125" s="299"/>
      <c r="CR125" s="299"/>
      <c r="CS125" s="299"/>
      <c r="CT125" s="299"/>
      <c r="CU125" s="299"/>
      <c r="CV125" s="299"/>
    </row>
    <row r="126" spans="1:100" s="269" customFormat="1" ht="20.100000000000001" hidden="1" customHeight="1">
      <c r="A126" s="283"/>
      <c r="B126" s="283"/>
      <c r="C126" s="283"/>
      <c r="D126" s="283"/>
      <c r="E126" s="283"/>
      <c r="F126" s="283"/>
      <c r="G126" s="283"/>
      <c r="H126" s="283"/>
      <c r="I126" s="280" t="e">
        <f>#REF!</f>
        <v>#REF!</v>
      </c>
      <c r="J126" s="912" t="e">
        <f>#REF!</f>
        <v>#REF!</v>
      </c>
      <c r="K126" s="912"/>
      <c r="L126" s="912"/>
      <c r="M126" s="912"/>
      <c r="N126" s="299"/>
      <c r="O126" s="299"/>
      <c r="P126" s="299"/>
      <c r="Q126" s="299"/>
      <c r="R126" s="299"/>
      <c r="S126" s="299"/>
      <c r="T126" s="299"/>
      <c r="U126" s="299"/>
      <c r="V126" s="299"/>
      <c r="W126" s="299"/>
      <c r="X126" s="299"/>
      <c r="Y126" s="299"/>
      <c r="Z126" s="299"/>
      <c r="AA126" s="299"/>
      <c r="AB126" s="299"/>
      <c r="AC126" s="299"/>
      <c r="AD126" s="299"/>
      <c r="AE126" s="299"/>
      <c r="AF126" s="299"/>
      <c r="AG126" s="299"/>
      <c r="AH126" s="299"/>
      <c r="AI126" s="299"/>
      <c r="AJ126" s="299"/>
      <c r="AK126" s="299"/>
      <c r="AL126" s="299"/>
      <c r="AM126" s="299"/>
      <c r="AN126" s="299"/>
      <c r="AO126" s="299"/>
      <c r="AP126" s="299"/>
      <c r="AQ126" s="299"/>
      <c r="AR126" s="299"/>
      <c r="AS126" s="299"/>
      <c r="AT126" s="299"/>
      <c r="AU126" s="299"/>
      <c r="AV126" s="299"/>
      <c r="AW126" s="299"/>
      <c r="AX126" s="299"/>
      <c r="AY126" s="299"/>
      <c r="AZ126" s="299"/>
      <c r="BA126" s="299"/>
      <c r="BB126" s="299"/>
      <c r="BC126" s="299"/>
      <c r="BD126" s="299"/>
      <c r="BE126" s="299"/>
      <c r="BF126" s="299"/>
      <c r="BG126" s="299"/>
      <c r="BH126" s="299"/>
      <c r="BI126" s="299"/>
      <c r="BJ126" s="299"/>
      <c r="BK126" s="299"/>
      <c r="BL126" s="299"/>
      <c r="BM126" s="299"/>
      <c r="BN126" s="299"/>
      <c r="BO126" s="299"/>
      <c r="BP126" s="299"/>
      <c r="BQ126" s="299"/>
      <c r="BR126" s="299"/>
      <c r="BS126" s="299"/>
      <c r="BT126" s="299"/>
      <c r="BU126" s="299"/>
      <c r="BV126" s="299"/>
      <c r="BW126" s="299"/>
      <c r="BX126" s="299"/>
      <c r="BY126" s="299"/>
      <c r="BZ126" s="299"/>
      <c r="CA126" s="299"/>
      <c r="CB126" s="299"/>
      <c r="CC126" s="299"/>
      <c r="CD126" s="299"/>
      <c r="CE126" s="299"/>
      <c r="CF126" s="299"/>
      <c r="CG126" s="299"/>
      <c r="CH126" s="299"/>
      <c r="CI126" s="299"/>
      <c r="CJ126" s="299"/>
      <c r="CK126" s="299"/>
      <c r="CL126" s="299"/>
      <c r="CM126" s="299"/>
      <c r="CN126" s="299"/>
      <c r="CO126" s="299"/>
      <c r="CP126" s="299"/>
      <c r="CQ126" s="299"/>
      <c r="CR126" s="299"/>
      <c r="CS126" s="299"/>
      <c r="CT126" s="299"/>
      <c r="CU126" s="299"/>
      <c r="CV126" s="299"/>
    </row>
    <row r="127" spans="1:100" s="269" customFormat="1" ht="20.100000000000001" hidden="1" customHeight="1">
      <c r="A127" s="284" t="e">
        <f>#REF!</f>
        <v>#REF!</v>
      </c>
      <c r="B127" s="284"/>
      <c r="C127" s="284"/>
      <c r="D127" s="284"/>
      <c r="E127" s="284"/>
      <c r="F127" s="284"/>
      <c r="G127" s="284"/>
      <c r="H127" s="284"/>
      <c r="I127" s="280" t="e">
        <f>#REF!</f>
        <v>#REF!</v>
      </c>
      <c r="J127" s="912"/>
      <c r="K127" s="912"/>
      <c r="L127" s="912"/>
      <c r="M127" s="912"/>
      <c r="N127" s="299"/>
      <c r="O127" s="299"/>
      <c r="P127" s="299"/>
      <c r="Q127" s="299"/>
      <c r="R127" s="299"/>
      <c r="S127" s="299"/>
      <c r="T127" s="299"/>
      <c r="U127" s="299"/>
      <c r="V127" s="299"/>
      <c r="W127" s="299"/>
      <c r="X127" s="299"/>
      <c r="Y127" s="299"/>
      <c r="Z127" s="299"/>
      <c r="AA127" s="299"/>
      <c r="AB127" s="299"/>
      <c r="AC127" s="299"/>
      <c r="AD127" s="299"/>
      <c r="AE127" s="299"/>
      <c r="AF127" s="299"/>
      <c r="AG127" s="299"/>
      <c r="AH127" s="299"/>
      <c r="AI127" s="299"/>
      <c r="AJ127" s="299"/>
      <c r="AK127" s="299"/>
      <c r="AL127" s="299"/>
      <c r="AM127" s="299"/>
      <c r="AN127" s="299"/>
      <c r="AO127" s="299"/>
      <c r="AP127" s="299"/>
      <c r="AQ127" s="299"/>
      <c r="AR127" s="299"/>
      <c r="AS127" s="299"/>
      <c r="AT127" s="299"/>
      <c r="AU127" s="299"/>
      <c r="AV127" s="299"/>
      <c r="AW127" s="299"/>
      <c r="AX127" s="299"/>
      <c r="AY127" s="299"/>
      <c r="AZ127" s="299"/>
      <c r="BA127" s="299"/>
      <c r="BB127" s="299"/>
      <c r="BC127" s="299"/>
      <c r="BD127" s="299"/>
      <c r="BE127" s="299"/>
      <c r="BF127" s="299"/>
      <c r="BG127" s="299"/>
      <c r="BH127" s="299"/>
      <c r="BI127" s="299"/>
      <c r="BJ127" s="299"/>
      <c r="BK127" s="299"/>
      <c r="BL127" s="299"/>
      <c r="BM127" s="299"/>
      <c r="BN127" s="299"/>
      <c r="BO127" s="299"/>
      <c r="BP127" s="299"/>
      <c r="BQ127" s="299"/>
      <c r="BR127" s="299"/>
      <c r="BS127" s="299"/>
      <c r="BT127" s="299"/>
      <c r="BU127" s="299"/>
      <c r="BV127" s="299"/>
      <c r="BW127" s="299"/>
      <c r="BX127" s="299"/>
      <c r="BY127" s="299"/>
      <c r="BZ127" s="299"/>
      <c r="CA127" s="299"/>
      <c r="CB127" s="299"/>
      <c r="CC127" s="299"/>
      <c r="CD127" s="299"/>
      <c r="CE127" s="299"/>
      <c r="CF127" s="299"/>
      <c r="CG127" s="299"/>
      <c r="CH127" s="299"/>
      <c r="CI127" s="299"/>
      <c r="CJ127" s="299"/>
      <c r="CK127" s="299"/>
      <c r="CL127" s="299"/>
      <c r="CM127" s="299"/>
      <c r="CN127" s="299"/>
      <c r="CO127" s="299"/>
      <c r="CP127" s="299"/>
      <c r="CQ127" s="299"/>
      <c r="CR127" s="299"/>
      <c r="CS127" s="299"/>
      <c r="CT127" s="299"/>
      <c r="CU127" s="299"/>
      <c r="CV127" s="299"/>
    </row>
    <row r="128" spans="1:100" s="269" customFormat="1" ht="20.100000000000001" hidden="1" customHeight="1">
      <c r="A128" s="281" t="e">
        <f>#REF!</f>
        <v>#REF!</v>
      </c>
      <c r="B128" s="281"/>
      <c r="C128" s="281"/>
      <c r="D128" s="281"/>
      <c r="E128" s="281"/>
      <c r="F128" s="281"/>
      <c r="G128" s="281"/>
      <c r="H128" s="281"/>
      <c r="I128" s="290" t="e">
        <f>#REF!</f>
        <v>#REF!</v>
      </c>
      <c r="J128" s="912" t="e">
        <f>#REF!</f>
        <v>#REF!</v>
      </c>
      <c r="K128" s="912"/>
      <c r="L128" s="912"/>
      <c r="M128" s="912"/>
      <c r="N128" s="299"/>
      <c r="O128" s="299"/>
      <c r="P128" s="299"/>
      <c r="Q128" s="299"/>
      <c r="R128" s="299"/>
      <c r="S128" s="299"/>
      <c r="T128" s="299"/>
      <c r="U128" s="299"/>
      <c r="V128" s="299"/>
      <c r="W128" s="299"/>
      <c r="X128" s="299"/>
      <c r="Y128" s="299"/>
      <c r="Z128" s="299"/>
      <c r="AA128" s="299"/>
      <c r="AB128" s="299"/>
      <c r="AC128" s="299"/>
      <c r="AD128" s="299"/>
      <c r="AE128" s="299"/>
      <c r="AF128" s="299"/>
      <c r="AG128" s="299"/>
      <c r="AH128" s="299"/>
      <c r="AI128" s="299"/>
      <c r="AJ128" s="299"/>
      <c r="AK128" s="299"/>
      <c r="AL128" s="299"/>
      <c r="AM128" s="299"/>
      <c r="AN128" s="299"/>
      <c r="AO128" s="299"/>
      <c r="AP128" s="299"/>
      <c r="AQ128" s="299"/>
      <c r="AR128" s="299"/>
      <c r="AS128" s="299"/>
      <c r="AT128" s="299"/>
      <c r="AU128" s="299"/>
      <c r="AV128" s="299"/>
      <c r="AW128" s="299"/>
      <c r="AX128" s="299"/>
      <c r="AY128" s="299"/>
      <c r="AZ128" s="299"/>
      <c r="BA128" s="299"/>
      <c r="BB128" s="299"/>
      <c r="BC128" s="299"/>
      <c r="BD128" s="299"/>
      <c r="BE128" s="299"/>
      <c r="BF128" s="299"/>
      <c r="BG128" s="299"/>
      <c r="BH128" s="299"/>
      <c r="BI128" s="299"/>
      <c r="BJ128" s="299"/>
      <c r="BK128" s="299"/>
      <c r="BL128" s="299"/>
      <c r="BM128" s="299"/>
      <c r="BN128" s="299"/>
      <c r="BO128" s="299"/>
      <c r="BP128" s="299"/>
      <c r="BQ128" s="299"/>
      <c r="BR128" s="299"/>
      <c r="BS128" s="299"/>
      <c r="BT128" s="299"/>
      <c r="BU128" s="299"/>
      <c r="BV128" s="299"/>
      <c r="BW128" s="299"/>
      <c r="BX128" s="299"/>
      <c r="BY128" s="299"/>
      <c r="BZ128" s="299"/>
      <c r="CA128" s="299"/>
      <c r="CB128" s="299"/>
      <c r="CC128" s="299"/>
      <c r="CD128" s="299"/>
      <c r="CE128" s="299"/>
      <c r="CF128" s="299"/>
      <c r="CG128" s="299"/>
      <c r="CH128" s="299"/>
      <c r="CI128" s="299"/>
      <c r="CJ128" s="299"/>
      <c r="CK128" s="299"/>
      <c r="CL128" s="299"/>
      <c r="CM128" s="299"/>
      <c r="CN128" s="299"/>
      <c r="CO128" s="299"/>
      <c r="CP128" s="299"/>
      <c r="CQ128" s="299"/>
      <c r="CR128" s="299"/>
      <c r="CS128" s="299"/>
      <c r="CT128" s="299"/>
      <c r="CU128" s="299"/>
      <c r="CV128" s="299"/>
    </row>
    <row r="129" spans="1:100" s="269" customFormat="1" ht="20.100000000000001" hidden="1" customHeight="1">
      <c r="A129" s="281" t="e">
        <f>#REF!</f>
        <v>#REF!</v>
      </c>
      <c r="B129" s="281"/>
      <c r="C129" s="281"/>
      <c r="D129" s="281"/>
      <c r="E129" s="281"/>
      <c r="F129" s="281"/>
      <c r="G129" s="281"/>
      <c r="H129" s="281"/>
      <c r="I129" s="290" t="e">
        <f>#REF!</f>
        <v>#REF!</v>
      </c>
      <c r="J129" s="912" t="e">
        <f>#REF!</f>
        <v>#REF!</v>
      </c>
      <c r="K129" s="912"/>
      <c r="L129" s="912"/>
      <c r="M129" s="912"/>
      <c r="N129" s="299"/>
      <c r="O129" s="299"/>
      <c r="P129" s="299"/>
      <c r="Q129" s="299"/>
      <c r="R129" s="299"/>
      <c r="S129" s="299"/>
      <c r="T129" s="299"/>
      <c r="U129" s="299"/>
      <c r="V129" s="299"/>
      <c r="W129" s="299"/>
      <c r="X129" s="299"/>
      <c r="Y129" s="299"/>
      <c r="Z129" s="299"/>
      <c r="AA129" s="299"/>
      <c r="AB129" s="299"/>
      <c r="AC129" s="299"/>
      <c r="AD129" s="299"/>
      <c r="AE129" s="299"/>
      <c r="AF129" s="299"/>
      <c r="AG129" s="299"/>
      <c r="AH129" s="299"/>
      <c r="AI129" s="299"/>
      <c r="AJ129" s="299"/>
      <c r="AK129" s="299"/>
      <c r="AL129" s="299"/>
      <c r="AM129" s="299"/>
      <c r="AN129" s="299"/>
      <c r="AO129" s="299"/>
      <c r="AP129" s="299"/>
      <c r="AQ129" s="299"/>
      <c r="AR129" s="299"/>
      <c r="AS129" s="299"/>
      <c r="AT129" s="299"/>
      <c r="AU129" s="299"/>
      <c r="AV129" s="299"/>
      <c r="AW129" s="299"/>
      <c r="AX129" s="299"/>
      <c r="AY129" s="299"/>
      <c r="AZ129" s="299"/>
      <c r="BA129" s="299"/>
      <c r="BB129" s="299"/>
      <c r="BC129" s="299"/>
      <c r="BD129" s="299"/>
      <c r="BE129" s="299"/>
      <c r="BF129" s="299"/>
      <c r="BG129" s="299"/>
      <c r="BH129" s="299"/>
      <c r="BI129" s="299"/>
      <c r="BJ129" s="299"/>
      <c r="BK129" s="299"/>
      <c r="BL129" s="299"/>
      <c r="BM129" s="299"/>
      <c r="BN129" s="299"/>
      <c r="BO129" s="299"/>
      <c r="BP129" s="299"/>
      <c r="BQ129" s="299"/>
      <c r="BR129" s="299"/>
      <c r="BS129" s="299"/>
      <c r="BT129" s="299"/>
      <c r="BU129" s="299"/>
      <c r="BV129" s="299"/>
      <c r="BW129" s="299"/>
      <c r="BX129" s="299"/>
      <c r="BY129" s="299"/>
      <c r="BZ129" s="299"/>
      <c r="CA129" s="299"/>
      <c r="CB129" s="299"/>
      <c r="CC129" s="299"/>
      <c r="CD129" s="299"/>
      <c r="CE129" s="299"/>
      <c r="CF129" s="299"/>
      <c r="CG129" s="299"/>
      <c r="CH129" s="299"/>
      <c r="CI129" s="299"/>
      <c r="CJ129" s="299"/>
      <c r="CK129" s="299"/>
      <c r="CL129" s="299"/>
      <c r="CM129" s="299"/>
      <c r="CN129" s="299"/>
      <c r="CO129" s="299"/>
      <c r="CP129" s="299"/>
      <c r="CQ129" s="299"/>
      <c r="CR129" s="299"/>
      <c r="CS129" s="299"/>
      <c r="CT129" s="299"/>
      <c r="CU129" s="299"/>
      <c r="CV129" s="299"/>
    </row>
    <row r="130" spans="1:100" s="269" customFormat="1" ht="20.100000000000001" hidden="1" customHeight="1">
      <c r="A130" s="281" t="e">
        <f>#REF!</f>
        <v>#REF!</v>
      </c>
      <c r="B130" s="281"/>
      <c r="C130" s="281"/>
      <c r="D130" s="281"/>
      <c r="E130" s="281"/>
      <c r="F130" s="281"/>
      <c r="G130" s="281"/>
      <c r="H130" s="281"/>
      <c r="I130" s="290" t="e">
        <f>#REF!</f>
        <v>#REF!</v>
      </c>
      <c r="J130" s="912" t="e">
        <f>#REF!</f>
        <v>#REF!</v>
      </c>
      <c r="K130" s="912"/>
      <c r="L130" s="912"/>
      <c r="M130" s="912"/>
      <c r="N130" s="299"/>
      <c r="O130" s="299"/>
      <c r="P130" s="299"/>
      <c r="Q130" s="299"/>
      <c r="R130" s="299"/>
      <c r="S130" s="299"/>
      <c r="T130" s="299"/>
      <c r="U130" s="299"/>
      <c r="V130" s="299"/>
      <c r="W130" s="299"/>
      <c r="X130" s="299"/>
      <c r="Y130" s="299"/>
      <c r="Z130" s="299"/>
      <c r="AA130" s="299"/>
      <c r="AB130" s="299"/>
      <c r="AC130" s="299"/>
      <c r="AD130" s="299"/>
      <c r="AE130" s="299"/>
      <c r="AF130" s="299"/>
      <c r="AG130" s="299"/>
      <c r="AH130" s="299"/>
      <c r="AI130" s="299"/>
      <c r="AJ130" s="299"/>
      <c r="AK130" s="299"/>
      <c r="AL130" s="299"/>
      <c r="AM130" s="299"/>
      <c r="AN130" s="299"/>
      <c r="AO130" s="299"/>
      <c r="AP130" s="299"/>
      <c r="AQ130" s="299"/>
      <c r="AR130" s="299"/>
      <c r="AS130" s="299"/>
      <c r="AT130" s="299"/>
      <c r="AU130" s="299"/>
      <c r="AV130" s="299"/>
      <c r="AW130" s="299"/>
      <c r="AX130" s="299"/>
      <c r="AY130" s="299"/>
      <c r="AZ130" s="299"/>
      <c r="BA130" s="299"/>
      <c r="BB130" s="299"/>
      <c r="BC130" s="299"/>
      <c r="BD130" s="299"/>
      <c r="BE130" s="299"/>
      <c r="BF130" s="299"/>
      <c r="BG130" s="299"/>
      <c r="BH130" s="299"/>
      <c r="BI130" s="299"/>
      <c r="BJ130" s="299"/>
      <c r="BK130" s="299"/>
      <c r="BL130" s="299"/>
      <c r="BM130" s="299"/>
      <c r="BN130" s="299"/>
      <c r="BO130" s="299"/>
      <c r="BP130" s="299"/>
      <c r="BQ130" s="299"/>
      <c r="BR130" s="299"/>
      <c r="BS130" s="299"/>
      <c r="BT130" s="299"/>
      <c r="BU130" s="299"/>
      <c r="BV130" s="299"/>
      <c r="BW130" s="299"/>
      <c r="BX130" s="299"/>
      <c r="BY130" s="299"/>
      <c r="BZ130" s="299"/>
      <c r="CA130" s="299"/>
      <c r="CB130" s="299"/>
      <c r="CC130" s="299"/>
      <c r="CD130" s="299"/>
      <c r="CE130" s="299"/>
      <c r="CF130" s="299"/>
      <c r="CG130" s="299"/>
      <c r="CH130" s="299"/>
      <c r="CI130" s="299"/>
      <c r="CJ130" s="299"/>
      <c r="CK130" s="299"/>
      <c r="CL130" s="299"/>
      <c r="CM130" s="299"/>
      <c r="CN130" s="299"/>
      <c r="CO130" s="299"/>
      <c r="CP130" s="299"/>
      <c r="CQ130" s="299"/>
      <c r="CR130" s="299"/>
      <c r="CS130" s="299"/>
      <c r="CT130" s="299"/>
      <c r="CU130" s="299"/>
      <c r="CV130" s="299"/>
    </row>
    <row r="131" spans="1:100" s="269" customFormat="1" ht="20.100000000000001" hidden="1" customHeight="1">
      <c r="A131" s="281" t="e">
        <f>#REF!</f>
        <v>#REF!</v>
      </c>
      <c r="B131" s="281"/>
      <c r="C131" s="281"/>
      <c r="D131" s="281"/>
      <c r="E131" s="281"/>
      <c r="F131" s="281"/>
      <c r="G131" s="281"/>
      <c r="H131" s="281"/>
      <c r="I131" s="290" t="e">
        <f>#REF!</f>
        <v>#REF!</v>
      </c>
      <c r="J131" s="912" t="e">
        <f>#REF!</f>
        <v>#REF!</v>
      </c>
      <c r="K131" s="912"/>
      <c r="L131" s="912"/>
      <c r="M131" s="912"/>
      <c r="N131" s="299"/>
      <c r="O131" s="299"/>
      <c r="P131" s="299"/>
      <c r="Q131" s="299"/>
      <c r="R131" s="299"/>
      <c r="S131" s="299"/>
      <c r="T131" s="299"/>
      <c r="U131" s="299"/>
      <c r="V131" s="299"/>
      <c r="W131" s="299"/>
      <c r="X131" s="299"/>
      <c r="Y131" s="299"/>
      <c r="Z131" s="299"/>
      <c r="AA131" s="299"/>
      <c r="AB131" s="299"/>
      <c r="AC131" s="299"/>
      <c r="AD131" s="299"/>
      <c r="AE131" s="299"/>
      <c r="AF131" s="299"/>
      <c r="AG131" s="299"/>
      <c r="AH131" s="299"/>
      <c r="AI131" s="299"/>
      <c r="AJ131" s="299"/>
      <c r="AK131" s="299"/>
      <c r="AL131" s="299"/>
      <c r="AM131" s="299"/>
      <c r="AN131" s="299"/>
      <c r="AO131" s="299"/>
      <c r="AP131" s="299"/>
      <c r="AQ131" s="299"/>
      <c r="AR131" s="299"/>
      <c r="AS131" s="299"/>
      <c r="AT131" s="299"/>
      <c r="AU131" s="299"/>
      <c r="AV131" s="299"/>
      <c r="AW131" s="299"/>
      <c r="AX131" s="299"/>
      <c r="AY131" s="299"/>
      <c r="AZ131" s="299"/>
      <c r="BA131" s="299"/>
      <c r="BB131" s="299"/>
      <c r="BC131" s="299"/>
      <c r="BD131" s="299"/>
      <c r="BE131" s="299"/>
      <c r="BF131" s="299"/>
      <c r="BG131" s="299"/>
      <c r="BH131" s="299"/>
      <c r="BI131" s="299"/>
      <c r="BJ131" s="299"/>
      <c r="BK131" s="299"/>
      <c r="BL131" s="299"/>
      <c r="BM131" s="299"/>
      <c r="BN131" s="299"/>
      <c r="BO131" s="299"/>
      <c r="BP131" s="299"/>
      <c r="BQ131" s="299"/>
      <c r="BR131" s="299"/>
      <c r="BS131" s="299"/>
      <c r="BT131" s="299"/>
      <c r="BU131" s="299"/>
      <c r="BV131" s="299"/>
      <c r="BW131" s="299"/>
      <c r="BX131" s="299"/>
      <c r="BY131" s="299"/>
      <c r="BZ131" s="299"/>
      <c r="CA131" s="299"/>
      <c r="CB131" s="299"/>
      <c r="CC131" s="299"/>
      <c r="CD131" s="299"/>
      <c r="CE131" s="299"/>
      <c r="CF131" s="299"/>
      <c r="CG131" s="299"/>
      <c r="CH131" s="299"/>
      <c r="CI131" s="299"/>
      <c r="CJ131" s="299"/>
      <c r="CK131" s="299"/>
      <c r="CL131" s="299"/>
      <c r="CM131" s="299"/>
      <c r="CN131" s="299"/>
      <c r="CO131" s="299"/>
      <c r="CP131" s="299"/>
      <c r="CQ131" s="299"/>
      <c r="CR131" s="299"/>
      <c r="CS131" s="299"/>
      <c r="CT131" s="299"/>
      <c r="CU131" s="299"/>
      <c r="CV131" s="299"/>
    </row>
    <row r="132" spans="1:100" s="269" customFormat="1" ht="20.100000000000001" hidden="1" customHeight="1">
      <c r="A132" s="281" t="e">
        <f>#REF!</f>
        <v>#REF!</v>
      </c>
      <c r="B132" s="281"/>
      <c r="C132" s="281"/>
      <c r="D132" s="281"/>
      <c r="E132" s="281"/>
      <c r="F132" s="281"/>
      <c r="G132" s="281"/>
      <c r="H132" s="281"/>
      <c r="I132" s="290" t="e">
        <f>#REF!</f>
        <v>#REF!</v>
      </c>
      <c r="J132" s="912" t="e">
        <f>#REF!</f>
        <v>#REF!</v>
      </c>
      <c r="K132" s="912"/>
      <c r="L132" s="912"/>
      <c r="M132" s="912"/>
      <c r="N132" s="299"/>
      <c r="O132" s="299"/>
      <c r="P132" s="299"/>
      <c r="Q132" s="299"/>
      <c r="R132" s="299"/>
      <c r="S132" s="299"/>
      <c r="T132" s="299"/>
      <c r="U132" s="299"/>
      <c r="V132" s="299"/>
      <c r="W132" s="299"/>
      <c r="X132" s="299"/>
      <c r="Y132" s="299"/>
      <c r="Z132" s="299"/>
      <c r="AA132" s="299"/>
      <c r="AB132" s="299"/>
      <c r="AC132" s="299"/>
      <c r="AD132" s="299"/>
      <c r="AE132" s="299"/>
      <c r="AF132" s="299"/>
      <c r="AG132" s="299"/>
      <c r="AH132" s="299"/>
      <c r="AI132" s="299"/>
      <c r="AJ132" s="299"/>
      <c r="AK132" s="299"/>
      <c r="AL132" s="299"/>
      <c r="AM132" s="299"/>
      <c r="AN132" s="299"/>
      <c r="AO132" s="299"/>
      <c r="AP132" s="299"/>
      <c r="AQ132" s="299"/>
      <c r="AR132" s="299"/>
      <c r="AS132" s="299"/>
      <c r="AT132" s="299"/>
      <c r="AU132" s="299"/>
      <c r="AV132" s="299"/>
      <c r="AW132" s="299"/>
      <c r="AX132" s="299"/>
      <c r="AY132" s="299"/>
      <c r="AZ132" s="299"/>
      <c r="BA132" s="299"/>
      <c r="BB132" s="299"/>
      <c r="BC132" s="299"/>
      <c r="BD132" s="299"/>
      <c r="BE132" s="299"/>
      <c r="BF132" s="299"/>
      <c r="BG132" s="299"/>
      <c r="BH132" s="299"/>
      <c r="BI132" s="299"/>
      <c r="BJ132" s="299"/>
      <c r="BK132" s="299"/>
      <c r="BL132" s="299"/>
      <c r="BM132" s="299"/>
      <c r="BN132" s="299"/>
      <c r="BO132" s="299"/>
      <c r="BP132" s="299"/>
      <c r="BQ132" s="299"/>
      <c r="BR132" s="299"/>
      <c r="BS132" s="299"/>
      <c r="BT132" s="299"/>
      <c r="BU132" s="299"/>
      <c r="BV132" s="299"/>
      <c r="BW132" s="299"/>
      <c r="BX132" s="299"/>
      <c r="BY132" s="299"/>
      <c r="BZ132" s="299"/>
      <c r="CA132" s="299"/>
      <c r="CB132" s="299"/>
      <c r="CC132" s="299"/>
      <c r="CD132" s="299"/>
      <c r="CE132" s="299"/>
      <c r="CF132" s="299"/>
      <c r="CG132" s="299"/>
      <c r="CH132" s="299"/>
      <c r="CI132" s="299"/>
      <c r="CJ132" s="299"/>
      <c r="CK132" s="299"/>
      <c r="CL132" s="299"/>
      <c r="CM132" s="299"/>
      <c r="CN132" s="299"/>
      <c r="CO132" s="299"/>
      <c r="CP132" s="299"/>
      <c r="CQ132" s="299"/>
      <c r="CR132" s="299"/>
      <c r="CS132" s="299"/>
      <c r="CT132" s="299"/>
      <c r="CU132" s="299"/>
      <c r="CV132" s="299"/>
    </row>
    <row r="133" spans="1:100" s="269" customFormat="1" ht="20.100000000000001" hidden="1" customHeight="1">
      <c r="A133" s="281" t="e">
        <f>#REF!</f>
        <v>#REF!</v>
      </c>
      <c r="B133" s="281"/>
      <c r="C133" s="281"/>
      <c r="D133" s="281"/>
      <c r="E133" s="281"/>
      <c r="F133" s="281"/>
      <c r="G133" s="281"/>
      <c r="H133" s="281"/>
      <c r="I133" s="290" t="e">
        <f>#REF!</f>
        <v>#REF!</v>
      </c>
      <c r="J133" s="912" t="e">
        <f>#REF!</f>
        <v>#REF!</v>
      </c>
      <c r="K133" s="912"/>
      <c r="L133" s="912"/>
      <c r="M133" s="912"/>
      <c r="N133" s="299"/>
      <c r="O133" s="299"/>
      <c r="P133" s="299"/>
      <c r="Q133" s="299"/>
      <c r="R133" s="299"/>
      <c r="S133" s="299"/>
      <c r="T133" s="299"/>
      <c r="U133" s="299"/>
      <c r="V133" s="299"/>
      <c r="W133" s="299"/>
      <c r="X133" s="299"/>
      <c r="Y133" s="299"/>
      <c r="Z133" s="299"/>
      <c r="AA133" s="299"/>
      <c r="AB133" s="299"/>
      <c r="AC133" s="299"/>
      <c r="AD133" s="299"/>
      <c r="AE133" s="299"/>
      <c r="AF133" s="299"/>
      <c r="AG133" s="299"/>
      <c r="AH133" s="299"/>
      <c r="AI133" s="299"/>
      <c r="AJ133" s="299"/>
      <c r="AK133" s="299"/>
      <c r="AL133" s="299"/>
      <c r="AM133" s="299"/>
      <c r="AN133" s="299"/>
      <c r="AO133" s="299"/>
      <c r="AP133" s="299"/>
      <c r="AQ133" s="299"/>
      <c r="AR133" s="299"/>
      <c r="AS133" s="299"/>
      <c r="AT133" s="299"/>
      <c r="AU133" s="299"/>
      <c r="AV133" s="299"/>
      <c r="AW133" s="299"/>
      <c r="AX133" s="299"/>
      <c r="AY133" s="299"/>
      <c r="AZ133" s="299"/>
      <c r="BA133" s="299"/>
      <c r="BB133" s="299"/>
      <c r="BC133" s="299"/>
      <c r="BD133" s="299"/>
      <c r="BE133" s="299"/>
      <c r="BF133" s="299"/>
      <c r="BG133" s="299"/>
      <c r="BH133" s="299"/>
      <c r="BI133" s="299"/>
      <c r="BJ133" s="299"/>
      <c r="BK133" s="299"/>
      <c r="BL133" s="299"/>
      <c r="BM133" s="299"/>
      <c r="BN133" s="299"/>
      <c r="BO133" s="299"/>
      <c r="BP133" s="299"/>
      <c r="BQ133" s="299"/>
      <c r="BR133" s="299"/>
      <c r="BS133" s="299"/>
      <c r="BT133" s="299"/>
      <c r="BU133" s="299"/>
      <c r="BV133" s="299"/>
      <c r="BW133" s="299"/>
      <c r="BX133" s="299"/>
      <c r="BY133" s="299"/>
      <c r="BZ133" s="299"/>
      <c r="CA133" s="299"/>
      <c r="CB133" s="299"/>
      <c r="CC133" s="299"/>
      <c r="CD133" s="299"/>
      <c r="CE133" s="299"/>
      <c r="CF133" s="299"/>
      <c r="CG133" s="299"/>
      <c r="CH133" s="299"/>
      <c r="CI133" s="299"/>
      <c r="CJ133" s="299"/>
      <c r="CK133" s="299"/>
      <c r="CL133" s="299"/>
      <c r="CM133" s="299"/>
      <c r="CN133" s="299"/>
      <c r="CO133" s="299"/>
      <c r="CP133" s="299"/>
      <c r="CQ133" s="299"/>
      <c r="CR133" s="299"/>
      <c r="CS133" s="299"/>
      <c r="CT133" s="299"/>
      <c r="CU133" s="299"/>
      <c r="CV133" s="299"/>
    </row>
    <row r="134" spans="1:100" s="269" customFormat="1" ht="20.100000000000001" hidden="1" customHeight="1">
      <c r="A134" s="291"/>
      <c r="B134" s="291"/>
      <c r="C134" s="291"/>
      <c r="D134" s="291"/>
      <c r="E134" s="291"/>
      <c r="F134" s="291"/>
      <c r="G134" s="291"/>
      <c r="H134" s="291"/>
      <c r="I134" s="280" t="e">
        <f>#REF!</f>
        <v>#REF!</v>
      </c>
      <c r="J134" s="912" t="e">
        <f>#REF!</f>
        <v>#REF!</v>
      </c>
      <c r="K134" s="912"/>
      <c r="L134" s="912"/>
      <c r="M134" s="912"/>
      <c r="N134" s="299"/>
      <c r="O134" s="299"/>
      <c r="P134" s="299"/>
      <c r="Q134" s="299"/>
      <c r="R134" s="299"/>
      <c r="S134" s="299"/>
      <c r="T134" s="299"/>
      <c r="U134" s="299"/>
      <c r="V134" s="299"/>
      <c r="W134" s="299"/>
      <c r="X134" s="299"/>
      <c r="Y134" s="299"/>
      <c r="Z134" s="299"/>
      <c r="AA134" s="299"/>
      <c r="AB134" s="299"/>
      <c r="AC134" s="299"/>
      <c r="AD134" s="299"/>
      <c r="AE134" s="299"/>
      <c r="AF134" s="299"/>
      <c r="AG134" s="299"/>
      <c r="AH134" s="299"/>
      <c r="AI134" s="299"/>
      <c r="AJ134" s="299"/>
      <c r="AK134" s="299"/>
      <c r="AL134" s="299"/>
      <c r="AM134" s="299"/>
      <c r="AN134" s="299"/>
      <c r="AO134" s="299"/>
      <c r="AP134" s="299"/>
      <c r="AQ134" s="299"/>
      <c r="AR134" s="299"/>
      <c r="AS134" s="299"/>
      <c r="AT134" s="299"/>
      <c r="AU134" s="299"/>
      <c r="AV134" s="299"/>
      <c r="AW134" s="299"/>
      <c r="AX134" s="299"/>
      <c r="AY134" s="299"/>
      <c r="AZ134" s="299"/>
      <c r="BA134" s="299"/>
      <c r="BB134" s="299"/>
      <c r="BC134" s="299"/>
      <c r="BD134" s="299"/>
      <c r="BE134" s="299"/>
      <c r="BF134" s="299"/>
      <c r="BG134" s="299"/>
      <c r="BH134" s="299"/>
      <c r="BI134" s="299"/>
      <c r="BJ134" s="299"/>
      <c r="BK134" s="299"/>
      <c r="BL134" s="299"/>
      <c r="BM134" s="299"/>
      <c r="BN134" s="299"/>
      <c r="BO134" s="299"/>
      <c r="BP134" s="299"/>
      <c r="BQ134" s="299"/>
      <c r="BR134" s="299"/>
      <c r="BS134" s="299"/>
      <c r="BT134" s="299"/>
      <c r="BU134" s="299"/>
      <c r="BV134" s="299"/>
      <c r="BW134" s="299"/>
      <c r="BX134" s="299"/>
      <c r="BY134" s="299"/>
      <c r="BZ134" s="299"/>
      <c r="CA134" s="299"/>
      <c r="CB134" s="299"/>
      <c r="CC134" s="299"/>
      <c r="CD134" s="299"/>
      <c r="CE134" s="299"/>
      <c r="CF134" s="299"/>
      <c r="CG134" s="299"/>
      <c r="CH134" s="299"/>
      <c r="CI134" s="299"/>
      <c r="CJ134" s="299"/>
      <c r="CK134" s="299"/>
      <c r="CL134" s="299"/>
      <c r="CM134" s="299"/>
      <c r="CN134" s="299"/>
      <c r="CO134" s="299"/>
      <c r="CP134" s="299"/>
      <c r="CQ134" s="299"/>
      <c r="CR134" s="299"/>
      <c r="CS134" s="299"/>
      <c r="CT134" s="299"/>
      <c r="CU134" s="299"/>
      <c r="CV134" s="299"/>
    </row>
    <row r="135" spans="1:100" s="269" customFormat="1" ht="35.25" hidden="1" customHeight="1">
      <c r="A135" s="284" t="e">
        <f>#REF!</f>
        <v>#REF!</v>
      </c>
      <c r="B135" s="284"/>
      <c r="C135" s="284"/>
      <c r="D135" s="284"/>
      <c r="E135" s="284"/>
      <c r="F135" s="284"/>
      <c r="G135" s="284"/>
      <c r="H135" s="284"/>
      <c r="I135" s="280" t="e">
        <f>#REF!</f>
        <v>#REF!</v>
      </c>
      <c r="J135" s="912"/>
      <c r="K135" s="912"/>
      <c r="L135" s="912"/>
      <c r="M135" s="912"/>
      <c r="N135" s="299"/>
      <c r="O135" s="299"/>
      <c r="P135" s="299"/>
      <c r="Q135" s="299"/>
      <c r="R135" s="299"/>
      <c r="S135" s="299"/>
      <c r="T135" s="299"/>
      <c r="U135" s="299"/>
      <c r="V135" s="299"/>
      <c r="W135" s="299"/>
      <c r="X135" s="299"/>
      <c r="Y135" s="299"/>
      <c r="Z135" s="299"/>
      <c r="AA135" s="299"/>
      <c r="AB135" s="299"/>
      <c r="AC135" s="299"/>
      <c r="AD135" s="299"/>
      <c r="AE135" s="299"/>
      <c r="AF135" s="299"/>
      <c r="AG135" s="299"/>
      <c r="AH135" s="299"/>
      <c r="AI135" s="299"/>
      <c r="AJ135" s="299"/>
      <c r="AK135" s="299"/>
      <c r="AL135" s="299"/>
      <c r="AM135" s="299"/>
      <c r="AN135" s="299"/>
      <c r="AO135" s="299"/>
      <c r="AP135" s="299"/>
      <c r="AQ135" s="299"/>
      <c r="AR135" s="299"/>
      <c r="AS135" s="299"/>
      <c r="AT135" s="299"/>
      <c r="AU135" s="299"/>
      <c r="AV135" s="299"/>
      <c r="AW135" s="299"/>
      <c r="AX135" s="299"/>
      <c r="AY135" s="299"/>
      <c r="AZ135" s="299"/>
      <c r="BA135" s="299"/>
      <c r="BB135" s="299"/>
      <c r="BC135" s="299"/>
      <c r="BD135" s="299"/>
      <c r="BE135" s="299"/>
      <c r="BF135" s="299"/>
      <c r="BG135" s="299"/>
      <c r="BH135" s="299"/>
      <c r="BI135" s="299"/>
      <c r="BJ135" s="299"/>
      <c r="BK135" s="299"/>
      <c r="BL135" s="299"/>
      <c r="BM135" s="299"/>
      <c r="BN135" s="299"/>
      <c r="BO135" s="299"/>
      <c r="BP135" s="299"/>
      <c r="BQ135" s="299"/>
      <c r="BR135" s="299"/>
      <c r="BS135" s="299"/>
      <c r="BT135" s="299"/>
      <c r="BU135" s="299"/>
      <c r="BV135" s="299"/>
      <c r="BW135" s="299"/>
      <c r="BX135" s="299"/>
      <c r="BY135" s="299"/>
      <c r="BZ135" s="299"/>
      <c r="CA135" s="299"/>
      <c r="CB135" s="299"/>
      <c r="CC135" s="299"/>
      <c r="CD135" s="299"/>
      <c r="CE135" s="299"/>
      <c r="CF135" s="299"/>
      <c r="CG135" s="299"/>
      <c r="CH135" s="299"/>
      <c r="CI135" s="299"/>
      <c r="CJ135" s="299"/>
      <c r="CK135" s="299"/>
      <c r="CL135" s="299"/>
      <c r="CM135" s="299"/>
      <c r="CN135" s="299"/>
      <c r="CO135" s="299"/>
      <c r="CP135" s="299"/>
      <c r="CQ135" s="299"/>
      <c r="CR135" s="299"/>
      <c r="CS135" s="299"/>
      <c r="CT135" s="299"/>
      <c r="CU135" s="299"/>
      <c r="CV135" s="299"/>
    </row>
    <row r="136" spans="1:100" s="269" customFormat="1" ht="19.5" hidden="1" customHeight="1">
      <c r="A136" s="281" t="e">
        <f>#REF!</f>
        <v>#REF!</v>
      </c>
      <c r="B136" s="281"/>
      <c r="C136" s="281"/>
      <c r="D136" s="281"/>
      <c r="E136" s="281"/>
      <c r="F136" s="281"/>
      <c r="G136" s="281"/>
      <c r="H136" s="281"/>
      <c r="I136" s="290" t="e">
        <f>#REF!</f>
        <v>#REF!</v>
      </c>
      <c r="J136" s="912" t="e">
        <f>#REF!</f>
        <v>#REF!</v>
      </c>
      <c r="K136" s="912"/>
      <c r="L136" s="912"/>
      <c r="M136" s="912"/>
      <c r="N136" s="299"/>
      <c r="O136" s="299"/>
      <c r="P136" s="299"/>
      <c r="Q136" s="299"/>
      <c r="R136" s="299"/>
      <c r="S136" s="299"/>
      <c r="T136" s="299"/>
      <c r="U136" s="299"/>
      <c r="V136" s="299"/>
      <c r="W136" s="299"/>
      <c r="X136" s="299"/>
      <c r="Y136" s="299"/>
      <c r="Z136" s="299"/>
      <c r="AA136" s="299"/>
      <c r="AB136" s="299"/>
      <c r="AC136" s="299"/>
      <c r="AD136" s="299"/>
      <c r="AE136" s="299"/>
      <c r="AF136" s="299"/>
      <c r="AG136" s="299"/>
      <c r="AH136" s="299"/>
      <c r="AI136" s="299"/>
      <c r="AJ136" s="299"/>
      <c r="AK136" s="299"/>
      <c r="AL136" s="299"/>
      <c r="AM136" s="299"/>
      <c r="AN136" s="299"/>
      <c r="AO136" s="299"/>
      <c r="AP136" s="299"/>
      <c r="AQ136" s="299"/>
      <c r="AR136" s="299"/>
      <c r="AS136" s="299"/>
      <c r="AT136" s="299"/>
      <c r="AU136" s="299"/>
      <c r="AV136" s="299"/>
      <c r="AW136" s="299"/>
      <c r="AX136" s="299"/>
      <c r="AY136" s="299"/>
      <c r="AZ136" s="299"/>
      <c r="BA136" s="299"/>
      <c r="BB136" s="299"/>
      <c r="BC136" s="299"/>
      <c r="BD136" s="299"/>
      <c r="BE136" s="299"/>
      <c r="BF136" s="299"/>
      <c r="BG136" s="299"/>
      <c r="BH136" s="299"/>
      <c r="BI136" s="299"/>
      <c r="BJ136" s="299"/>
      <c r="BK136" s="299"/>
      <c r="BL136" s="299"/>
      <c r="BM136" s="299"/>
      <c r="BN136" s="299"/>
      <c r="BO136" s="299"/>
      <c r="BP136" s="299"/>
      <c r="BQ136" s="299"/>
      <c r="BR136" s="299"/>
      <c r="BS136" s="299"/>
      <c r="BT136" s="299"/>
      <c r="BU136" s="299"/>
      <c r="BV136" s="299"/>
      <c r="BW136" s="299"/>
      <c r="BX136" s="299"/>
      <c r="BY136" s="299"/>
      <c r="BZ136" s="299"/>
      <c r="CA136" s="299"/>
      <c r="CB136" s="299"/>
      <c r="CC136" s="299"/>
      <c r="CD136" s="299"/>
      <c r="CE136" s="299"/>
      <c r="CF136" s="299"/>
      <c r="CG136" s="299"/>
      <c r="CH136" s="299"/>
      <c r="CI136" s="299"/>
      <c r="CJ136" s="299"/>
      <c r="CK136" s="299"/>
      <c r="CL136" s="299"/>
      <c r="CM136" s="299"/>
      <c r="CN136" s="299"/>
      <c r="CO136" s="299"/>
      <c r="CP136" s="299"/>
      <c r="CQ136" s="299"/>
      <c r="CR136" s="299"/>
      <c r="CS136" s="299"/>
      <c r="CT136" s="299"/>
      <c r="CU136" s="299"/>
      <c r="CV136" s="299"/>
    </row>
    <row r="137" spans="1:100" s="269" customFormat="1" ht="19.5" hidden="1" customHeight="1">
      <c r="A137" s="281" t="e">
        <f>#REF!</f>
        <v>#REF!</v>
      </c>
      <c r="B137" s="281"/>
      <c r="C137" s="281"/>
      <c r="D137" s="281"/>
      <c r="E137" s="281"/>
      <c r="F137" s="281"/>
      <c r="G137" s="281"/>
      <c r="H137" s="281"/>
      <c r="I137" s="290" t="e">
        <f>#REF!</f>
        <v>#REF!</v>
      </c>
      <c r="J137" s="912" t="e">
        <f>#REF!</f>
        <v>#REF!</v>
      </c>
      <c r="K137" s="912"/>
      <c r="L137" s="912"/>
      <c r="M137" s="912"/>
      <c r="N137" s="299"/>
      <c r="O137" s="299"/>
      <c r="P137" s="299"/>
      <c r="Q137" s="299"/>
      <c r="R137" s="299"/>
      <c r="S137" s="299"/>
      <c r="T137" s="299"/>
      <c r="U137" s="299"/>
      <c r="V137" s="299"/>
      <c r="W137" s="299"/>
      <c r="X137" s="299"/>
      <c r="Y137" s="299"/>
      <c r="Z137" s="299"/>
      <c r="AA137" s="299"/>
      <c r="AB137" s="299"/>
      <c r="AC137" s="299"/>
      <c r="AD137" s="299"/>
      <c r="AE137" s="299"/>
      <c r="AF137" s="299"/>
      <c r="AG137" s="299"/>
      <c r="AH137" s="299"/>
      <c r="AI137" s="299"/>
      <c r="AJ137" s="299"/>
      <c r="AK137" s="299"/>
      <c r="AL137" s="299"/>
      <c r="AM137" s="299"/>
      <c r="AN137" s="299"/>
      <c r="AO137" s="299"/>
      <c r="AP137" s="299"/>
      <c r="AQ137" s="299"/>
      <c r="AR137" s="299"/>
      <c r="AS137" s="299"/>
      <c r="AT137" s="299"/>
      <c r="AU137" s="299"/>
      <c r="AV137" s="299"/>
      <c r="AW137" s="299"/>
      <c r="AX137" s="299"/>
      <c r="AY137" s="299"/>
      <c r="AZ137" s="299"/>
      <c r="BA137" s="299"/>
      <c r="BB137" s="299"/>
      <c r="BC137" s="299"/>
      <c r="BD137" s="299"/>
      <c r="BE137" s="299"/>
      <c r="BF137" s="299"/>
      <c r="BG137" s="299"/>
      <c r="BH137" s="299"/>
      <c r="BI137" s="299"/>
      <c r="BJ137" s="299"/>
      <c r="BK137" s="299"/>
      <c r="BL137" s="299"/>
      <c r="BM137" s="299"/>
      <c r="BN137" s="299"/>
      <c r="BO137" s="299"/>
      <c r="BP137" s="299"/>
      <c r="BQ137" s="299"/>
      <c r="BR137" s="299"/>
      <c r="BS137" s="299"/>
      <c r="BT137" s="299"/>
      <c r="BU137" s="299"/>
      <c r="BV137" s="299"/>
      <c r="BW137" s="299"/>
      <c r="BX137" s="299"/>
      <c r="BY137" s="299"/>
      <c r="BZ137" s="299"/>
      <c r="CA137" s="299"/>
      <c r="CB137" s="299"/>
      <c r="CC137" s="299"/>
      <c r="CD137" s="299"/>
      <c r="CE137" s="299"/>
      <c r="CF137" s="299"/>
      <c r="CG137" s="299"/>
      <c r="CH137" s="299"/>
      <c r="CI137" s="299"/>
      <c r="CJ137" s="299"/>
      <c r="CK137" s="299"/>
      <c r="CL137" s="299"/>
      <c r="CM137" s="299"/>
      <c r="CN137" s="299"/>
      <c r="CO137" s="299"/>
      <c r="CP137" s="299"/>
      <c r="CQ137" s="299"/>
      <c r="CR137" s="299"/>
      <c r="CS137" s="299"/>
      <c r="CT137" s="299"/>
      <c r="CU137" s="299"/>
      <c r="CV137" s="299"/>
    </row>
    <row r="138" spans="1:100" s="269" customFormat="1" ht="19.5" hidden="1" customHeight="1">
      <c r="A138" s="281" t="e">
        <f>#REF!</f>
        <v>#REF!</v>
      </c>
      <c r="B138" s="281"/>
      <c r="C138" s="281"/>
      <c r="D138" s="281"/>
      <c r="E138" s="281"/>
      <c r="F138" s="281"/>
      <c r="G138" s="281"/>
      <c r="H138" s="281"/>
      <c r="I138" s="290" t="e">
        <f>#REF!</f>
        <v>#REF!</v>
      </c>
      <c r="J138" s="912" t="e">
        <f>#REF!</f>
        <v>#REF!</v>
      </c>
      <c r="K138" s="912"/>
      <c r="L138" s="912"/>
      <c r="M138" s="912"/>
      <c r="N138" s="299"/>
      <c r="O138" s="299"/>
      <c r="P138" s="299"/>
      <c r="Q138" s="299"/>
      <c r="R138" s="299"/>
      <c r="S138" s="299"/>
      <c r="T138" s="299"/>
      <c r="U138" s="299"/>
      <c r="V138" s="299"/>
      <c r="W138" s="299"/>
      <c r="X138" s="299"/>
      <c r="Y138" s="299"/>
      <c r="Z138" s="299"/>
      <c r="AA138" s="299"/>
      <c r="AB138" s="299"/>
      <c r="AC138" s="299"/>
      <c r="AD138" s="299"/>
      <c r="AE138" s="299"/>
      <c r="AF138" s="299"/>
      <c r="AG138" s="299"/>
      <c r="AH138" s="299"/>
      <c r="AI138" s="299"/>
      <c r="AJ138" s="299"/>
      <c r="AK138" s="299"/>
      <c r="AL138" s="299"/>
      <c r="AM138" s="299"/>
      <c r="AN138" s="299"/>
      <c r="AO138" s="299"/>
      <c r="AP138" s="299"/>
      <c r="AQ138" s="299"/>
      <c r="AR138" s="299"/>
      <c r="AS138" s="299"/>
      <c r="AT138" s="299"/>
      <c r="AU138" s="299"/>
      <c r="AV138" s="299"/>
      <c r="AW138" s="299"/>
      <c r="AX138" s="299"/>
      <c r="AY138" s="299"/>
      <c r="AZ138" s="299"/>
      <c r="BA138" s="299"/>
      <c r="BB138" s="299"/>
      <c r="BC138" s="299"/>
      <c r="BD138" s="299"/>
      <c r="BE138" s="299"/>
      <c r="BF138" s="299"/>
      <c r="BG138" s="299"/>
      <c r="BH138" s="299"/>
      <c r="BI138" s="299"/>
      <c r="BJ138" s="299"/>
      <c r="BK138" s="299"/>
      <c r="BL138" s="299"/>
      <c r="BM138" s="299"/>
      <c r="BN138" s="299"/>
      <c r="BO138" s="299"/>
      <c r="BP138" s="299"/>
      <c r="BQ138" s="299"/>
      <c r="BR138" s="299"/>
      <c r="BS138" s="299"/>
      <c r="BT138" s="299"/>
      <c r="BU138" s="299"/>
      <c r="BV138" s="299"/>
      <c r="BW138" s="299"/>
      <c r="BX138" s="299"/>
      <c r="BY138" s="299"/>
      <c r="BZ138" s="299"/>
      <c r="CA138" s="299"/>
      <c r="CB138" s="299"/>
      <c r="CC138" s="299"/>
      <c r="CD138" s="299"/>
      <c r="CE138" s="299"/>
      <c r="CF138" s="299"/>
      <c r="CG138" s="299"/>
      <c r="CH138" s="299"/>
      <c r="CI138" s="299"/>
      <c r="CJ138" s="299"/>
      <c r="CK138" s="299"/>
      <c r="CL138" s="299"/>
      <c r="CM138" s="299"/>
      <c r="CN138" s="299"/>
      <c r="CO138" s="299"/>
      <c r="CP138" s="299"/>
      <c r="CQ138" s="299"/>
      <c r="CR138" s="299"/>
      <c r="CS138" s="299"/>
      <c r="CT138" s="299"/>
      <c r="CU138" s="299"/>
      <c r="CV138" s="299"/>
    </row>
    <row r="139" spans="1:100" s="269" customFormat="1" ht="19.5" hidden="1" customHeight="1">
      <c r="A139" s="281" t="e">
        <f>#REF!</f>
        <v>#REF!</v>
      </c>
      <c r="B139" s="281"/>
      <c r="C139" s="281"/>
      <c r="D139" s="281"/>
      <c r="E139" s="281"/>
      <c r="F139" s="281"/>
      <c r="G139" s="281"/>
      <c r="H139" s="281"/>
      <c r="I139" s="290" t="e">
        <f>#REF!</f>
        <v>#REF!</v>
      </c>
      <c r="J139" s="912" t="e">
        <f>#REF!</f>
        <v>#REF!</v>
      </c>
      <c r="K139" s="912"/>
      <c r="L139" s="912"/>
      <c r="M139" s="912"/>
      <c r="N139" s="299"/>
      <c r="O139" s="299"/>
      <c r="P139" s="299"/>
      <c r="Q139" s="299"/>
      <c r="R139" s="299"/>
      <c r="S139" s="299"/>
      <c r="T139" s="299"/>
      <c r="U139" s="299"/>
      <c r="V139" s="299"/>
      <c r="W139" s="299"/>
      <c r="X139" s="299"/>
      <c r="Y139" s="299"/>
      <c r="Z139" s="299"/>
      <c r="AA139" s="299"/>
      <c r="AB139" s="299"/>
      <c r="AC139" s="299"/>
      <c r="AD139" s="299"/>
      <c r="AE139" s="299"/>
      <c r="AF139" s="299"/>
      <c r="AG139" s="299"/>
      <c r="AH139" s="299"/>
      <c r="AI139" s="299"/>
      <c r="AJ139" s="299"/>
      <c r="AK139" s="299"/>
      <c r="AL139" s="299"/>
      <c r="AM139" s="299"/>
      <c r="AN139" s="299"/>
      <c r="AO139" s="299"/>
      <c r="AP139" s="299"/>
      <c r="AQ139" s="299"/>
      <c r="AR139" s="299"/>
      <c r="AS139" s="299"/>
      <c r="AT139" s="299"/>
      <c r="AU139" s="299"/>
      <c r="AV139" s="299"/>
      <c r="AW139" s="299"/>
      <c r="AX139" s="299"/>
      <c r="AY139" s="299"/>
      <c r="AZ139" s="299"/>
      <c r="BA139" s="299"/>
      <c r="BB139" s="299"/>
      <c r="BC139" s="299"/>
      <c r="BD139" s="299"/>
      <c r="BE139" s="299"/>
      <c r="BF139" s="299"/>
      <c r="BG139" s="299"/>
      <c r="BH139" s="299"/>
      <c r="BI139" s="299"/>
      <c r="BJ139" s="299"/>
      <c r="BK139" s="299"/>
      <c r="BL139" s="299"/>
      <c r="BM139" s="299"/>
      <c r="BN139" s="299"/>
      <c r="BO139" s="299"/>
      <c r="BP139" s="299"/>
      <c r="BQ139" s="299"/>
      <c r="BR139" s="299"/>
      <c r="BS139" s="299"/>
      <c r="BT139" s="299"/>
      <c r="BU139" s="299"/>
      <c r="BV139" s="299"/>
      <c r="BW139" s="299"/>
      <c r="BX139" s="299"/>
      <c r="BY139" s="299"/>
      <c r="BZ139" s="299"/>
      <c r="CA139" s="299"/>
      <c r="CB139" s="299"/>
      <c r="CC139" s="299"/>
      <c r="CD139" s="299"/>
      <c r="CE139" s="299"/>
      <c r="CF139" s="299"/>
      <c r="CG139" s="299"/>
      <c r="CH139" s="299"/>
      <c r="CI139" s="299"/>
      <c r="CJ139" s="299"/>
      <c r="CK139" s="299"/>
      <c r="CL139" s="299"/>
      <c r="CM139" s="299"/>
      <c r="CN139" s="299"/>
      <c r="CO139" s="299"/>
      <c r="CP139" s="299"/>
      <c r="CQ139" s="299"/>
      <c r="CR139" s="299"/>
      <c r="CS139" s="299"/>
      <c r="CT139" s="299"/>
      <c r="CU139" s="299"/>
      <c r="CV139" s="299"/>
    </row>
    <row r="140" spans="1:100" s="269" customFormat="1" ht="33" hidden="1" customHeight="1">
      <c r="A140" s="281" t="e">
        <f>#REF!</f>
        <v>#REF!</v>
      </c>
      <c r="B140" s="281"/>
      <c r="C140" s="281"/>
      <c r="D140" s="281"/>
      <c r="E140" s="281"/>
      <c r="F140" s="281"/>
      <c r="G140" s="281"/>
      <c r="H140" s="281"/>
      <c r="I140" s="290" t="e">
        <f>#REF!</f>
        <v>#REF!</v>
      </c>
      <c r="J140" s="912" t="e">
        <f>#REF!</f>
        <v>#REF!</v>
      </c>
      <c r="K140" s="912"/>
      <c r="L140" s="912"/>
      <c r="M140" s="912"/>
      <c r="N140" s="299"/>
      <c r="O140" s="299"/>
      <c r="P140" s="299"/>
      <c r="Q140" s="299"/>
      <c r="R140" s="299"/>
      <c r="S140" s="299"/>
      <c r="T140" s="299"/>
      <c r="U140" s="299"/>
      <c r="V140" s="299"/>
      <c r="W140" s="299"/>
      <c r="X140" s="299"/>
      <c r="Y140" s="299"/>
      <c r="Z140" s="299"/>
      <c r="AA140" s="299"/>
      <c r="AB140" s="299"/>
      <c r="AC140" s="299"/>
      <c r="AD140" s="299"/>
      <c r="AE140" s="299"/>
      <c r="AF140" s="299"/>
      <c r="AG140" s="299"/>
      <c r="AH140" s="299"/>
      <c r="AI140" s="299"/>
      <c r="AJ140" s="299"/>
      <c r="AK140" s="299"/>
      <c r="AL140" s="299"/>
      <c r="AM140" s="299"/>
      <c r="AN140" s="299"/>
      <c r="AO140" s="299"/>
      <c r="AP140" s="299"/>
      <c r="AQ140" s="299"/>
      <c r="AR140" s="299"/>
      <c r="AS140" s="299"/>
      <c r="AT140" s="299"/>
      <c r="AU140" s="299"/>
      <c r="AV140" s="299"/>
      <c r="AW140" s="299"/>
      <c r="AX140" s="299"/>
      <c r="AY140" s="299"/>
      <c r="AZ140" s="299"/>
      <c r="BA140" s="299"/>
      <c r="BB140" s="299"/>
      <c r="BC140" s="299"/>
      <c r="BD140" s="299"/>
      <c r="BE140" s="299"/>
      <c r="BF140" s="299"/>
      <c r="BG140" s="299"/>
      <c r="BH140" s="299"/>
      <c r="BI140" s="299"/>
      <c r="BJ140" s="299"/>
      <c r="BK140" s="299"/>
      <c r="BL140" s="299"/>
      <c r="BM140" s="299"/>
      <c r="BN140" s="299"/>
      <c r="BO140" s="299"/>
      <c r="BP140" s="299"/>
      <c r="BQ140" s="299"/>
      <c r="BR140" s="299"/>
      <c r="BS140" s="299"/>
      <c r="BT140" s="299"/>
      <c r="BU140" s="299"/>
      <c r="BV140" s="299"/>
      <c r="BW140" s="299"/>
      <c r="BX140" s="299"/>
      <c r="BY140" s="299"/>
      <c r="BZ140" s="299"/>
      <c r="CA140" s="299"/>
      <c r="CB140" s="299"/>
      <c r="CC140" s="299"/>
      <c r="CD140" s="299"/>
      <c r="CE140" s="299"/>
      <c r="CF140" s="299"/>
      <c r="CG140" s="299"/>
      <c r="CH140" s="299"/>
      <c r="CI140" s="299"/>
      <c r="CJ140" s="299"/>
      <c r="CK140" s="299"/>
      <c r="CL140" s="299"/>
      <c r="CM140" s="299"/>
      <c r="CN140" s="299"/>
      <c r="CO140" s="299"/>
      <c r="CP140" s="299"/>
      <c r="CQ140" s="299"/>
      <c r="CR140" s="299"/>
      <c r="CS140" s="299"/>
      <c r="CT140" s="299"/>
      <c r="CU140" s="299"/>
      <c r="CV140" s="299"/>
    </row>
    <row r="141" spans="1:100" s="269" customFormat="1" ht="19.5" hidden="1" customHeight="1">
      <c r="A141" s="281" t="e">
        <f>#REF!</f>
        <v>#REF!</v>
      </c>
      <c r="B141" s="281"/>
      <c r="C141" s="281"/>
      <c r="D141" s="281"/>
      <c r="E141" s="281"/>
      <c r="F141" s="281"/>
      <c r="G141" s="281"/>
      <c r="H141" s="281"/>
      <c r="I141" s="290" t="e">
        <f>#REF!</f>
        <v>#REF!</v>
      </c>
      <c r="J141" s="912" t="e">
        <f>#REF!</f>
        <v>#REF!</v>
      </c>
      <c r="K141" s="912"/>
      <c r="L141" s="912"/>
      <c r="M141" s="912"/>
      <c r="N141" s="299"/>
      <c r="O141" s="299"/>
      <c r="P141" s="299"/>
      <c r="Q141" s="299"/>
      <c r="R141" s="299"/>
      <c r="S141" s="299"/>
      <c r="T141" s="299"/>
      <c r="U141" s="299"/>
      <c r="V141" s="299"/>
      <c r="W141" s="299"/>
      <c r="X141" s="299"/>
      <c r="Y141" s="299"/>
      <c r="Z141" s="299"/>
      <c r="AA141" s="299"/>
      <c r="AB141" s="299"/>
      <c r="AC141" s="299"/>
      <c r="AD141" s="299"/>
      <c r="AE141" s="299"/>
      <c r="AF141" s="299"/>
      <c r="AG141" s="299"/>
      <c r="AH141" s="299"/>
      <c r="AI141" s="299"/>
      <c r="AJ141" s="299"/>
      <c r="AK141" s="299"/>
      <c r="AL141" s="299"/>
      <c r="AM141" s="299"/>
      <c r="AN141" s="299"/>
      <c r="AO141" s="299"/>
      <c r="AP141" s="299"/>
      <c r="AQ141" s="299"/>
      <c r="AR141" s="299"/>
      <c r="AS141" s="299"/>
      <c r="AT141" s="299"/>
      <c r="AU141" s="299"/>
      <c r="AV141" s="299"/>
      <c r="AW141" s="299"/>
      <c r="AX141" s="299"/>
      <c r="AY141" s="299"/>
      <c r="AZ141" s="299"/>
      <c r="BA141" s="299"/>
      <c r="BB141" s="299"/>
      <c r="BC141" s="299"/>
      <c r="BD141" s="299"/>
      <c r="BE141" s="299"/>
      <c r="BF141" s="299"/>
      <c r="BG141" s="299"/>
      <c r="BH141" s="299"/>
      <c r="BI141" s="299"/>
      <c r="BJ141" s="299"/>
      <c r="BK141" s="299"/>
      <c r="BL141" s="299"/>
      <c r="BM141" s="299"/>
      <c r="BN141" s="299"/>
      <c r="BO141" s="299"/>
      <c r="BP141" s="299"/>
      <c r="BQ141" s="299"/>
      <c r="BR141" s="299"/>
      <c r="BS141" s="299"/>
      <c r="BT141" s="299"/>
      <c r="BU141" s="299"/>
      <c r="BV141" s="299"/>
      <c r="BW141" s="299"/>
      <c r="BX141" s="299"/>
      <c r="BY141" s="299"/>
      <c r="BZ141" s="299"/>
      <c r="CA141" s="299"/>
      <c r="CB141" s="299"/>
      <c r="CC141" s="299"/>
      <c r="CD141" s="299"/>
      <c r="CE141" s="299"/>
      <c r="CF141" s="299"/>
      <c r="CG141" s="299"/>
      <c r="CH141" s="299"/>
      <c r="CI141" s="299"/>
      <c r="CJ141" s="299"/>
      <c r="CK141" s="299"/>
      <c r="CL141" s="299"/>
      <c r="CM141" s="299"/>
      <c r="CN141" s="299"/>
      <c r="CO141" s="299"/>
      <c r="CP141" s="299"/>
      <c r="CQ141" s="299"/>
      <c r="CR141" s="299"/>
      <c r="CS141" s="299"/>
      <c r="CT141" s="299"/>
      <c r="CU141" s="299"/>
      <c r="CV141" s="299"/>
    </row>
    <row r="142" spans="1:100" s="269" customFormat="1" ht="19.5" hidden="1" customHeight="1">
      <c r="A142" s="281" t="e">
        <f>#REF!</f>
        <v>#REF!</v>
      </c>
      <c r="B142" s="281"/>
      <c r="C142" s="281"/>
      <c r="D142" s="281"/>
      <c r="E142" s="281"/>
      <c r="F142" s="281"/>
      <c r="G142" s="281"/>
      <c r="H142" s="281"/>
      <c r="I142" s="290" t="e">
        <f>#REF!</f>
        <v>#REF!</v>
      </c>
      <c r="J142" s="912" t="e">
        <f>#REF!</f>
        <v>#REF!</v>
      </c>
      <c r="K142" s="912"/>
      <c r="L142" s="912"/>
      <c r="M142" s="912"/>
      <c r="N142" s="299"/>
      <c r="O142" s="299"/>
      <c r="P142" s="299"/>
      <c r="Q142" s="299"/>
      <c r="R142" s="299"/>
      <c r="S142" s="299"/>
      <c r="T142" s="299"/>
      <c r="U142" s="299"/>
      <c r="V142" s="299"/>
      <c r="W142" s="299"/>
      <c r="X142" s="299"/>
      <c r="Y142" s="299"/>
      <c r="Z142" s="299"/>
      <c r="AA142" s="299"/>
      <c r="AB142" s="299"/>
      <c r="AC142" s="299"/>
      <c r="AD142" s="299"/>
      <c r="AE142" s="299"/>
      <c r="AF142" s="299"/>
      <c r="AG142" s="299"/>
      <c r="AH142" s="299"/>
      <c r="AI142" s="299"/>
      <c r="AJ142" s="299"/>
      <c r="AK142" s="299"/>
      <c r="AL142" s="299"/>
      <c r="AM142" s="299"/>
      <c r="AN142" s="299"/>
      <c r="AO142" s="299"/>
      <c r="AP142" s="299"/>
      <c r="AQ142" s="299"/>
      <c r="AR142" s="299"/>
      <c r="AS142" s="299"/>
      <c r="AT142" s="299"/>
      <c r="AU142" s="299"/>
      <c r="AV142" s="299"/>
      <c r="AW142" s="299"/>
      <c r="AX142" s="299"/>
      <c r="AY142" s="299"/>
      <c r="AZ142" s="299"/>
      <c r="BA142" s="299"/>
      <c r="BB142" s="299"/>
      <c r="BC142" s="299"/>
      <c r="BD142" s="299"/>
      <c r="BE142" s="299"/>
      <c r="BF142" s="299"/>
      <c r="BG142" s="299"/>
      <c r="BH142" s="299"/>
      <c r="BI142" s="299"/>
      <c r="BJ142" s="299"/>
      <c r="BK142" s="299"/>
      <c r="BL142" s="299"/>
      <c r="BM142" s="299"/>
      <c r="BN142" s="299"/>
      <c r="BO142" s="299"/>
      <c r="BP142" s="299"/>
      <c r="BQ142" s="299"/>
      <c r="BR142" s="299"/>
      <c r="BS142" s="299"/>
      <c r="BT142" s="299"/>
      <c r="BU142" s="299"/>
      <c r="BV142" s="299"/>
      <c r="BW142" s="299"/>
      <c r="BX142" s="299"/>
      <c r="BY142" s="299"/>
      <c r="BZ142" s="299"/>
      <c r="CA142" s="299"/>
      <c r="CB142" s="299"/>
      <c r="CC142" s="299"/>
      <c r="CD142" s="299"/>
      <c r="CE142" s="299"/>
      <c r="CF142" s="299"/>
      <c r="CG142" s="299"/>
      <c r="CH142" s="299"/>
      <c r="CI142" s="299"/>
      <c r="CJ142" s="299"/>
      <c r="CK142" s="299"/>
      <c r="CL142" s="299"/>
      <c r="CM142" s="299"/>
      <c r="CN142" s="299"/>
      <c r="CO142" s="299"/>
      <c r="CP142" s="299"/>
      <c r="CQ142" s="299"/>
      <c r="CR142" s="299"/>
      <c r="CS142" s="299"/>
      <c r="CT142" s="299"/>
      <c r="CU142" s="299"/>
      <c r="CV142" s="299"/>
    </row>
    <row r="143" spans="1:100" s="269" customFormat="1" ht="19.5" hidden="1" customHeight="1">
      <c r="A143" s="281" t="e">
        <f>#REF!</f>
        <v>#REF!</v>
      </c>
      <c r="B143" s="281"/>
      <c r="C143" s="281"/>
      <c r="D143" s="281"/>
      <c r="E143" s="281"/>
      <c r="F143" s="281"/>
      <c r="G143" s="281"/>
      <c r="H143" s="281"/>
      <c r="I143" s="290" t="e">
        <f>#REF!</f>
        <v>#REF!</v>
      </c>
      <c r="J143" s="912" t="e">
        <f>#REF!</f>
        <v>#REF!</v>
      </c>
      <c r="K143" s="912"/>
      <c r="L143" s="912"/>
      <c r="M143" s="912"/>
      <c r="N143" s="299"/>
      <c r="O143" s="299"/>
      <c r="P143" s="299"/>
      <c r="Q143" s="299"/>
      <c r="R143" s="299"/>
      <c r="S143" s="299"/>
      <c r="T143" s="299"/>
      <c r="U143" s="299"/>
      <c r="V143" s="299"/>
      <c r="W143" s="299"/>
      <c r="X143" s="299"/>
      <c r="Y143" s="299"/>
      <c r="Z143" s="299"/>
      <c r="AA143" s="299"/>
      <c r="AB143" s="299"/>
      <c r="AC143" s="299"/>
      <c r="AD143" s="299"/>
      <c r="AE143" s="299"/>
      <c r="AF143" s="299"/>
      <c r="AG143" s="299"/>
      <c r="AH143" s="299"/>
      <c r="AI143" s="299"/>
      <c r="AJ143" s="299"/>
      <c r="AK143" s="299"/>
      <c r="AL143" s="299"/>
      <c r="AM143" s="299"/>
      <c r="AN143" s="299"/>
      <c r="AO143" s="299"/>
      <c r="AP143" s="299"/>
      <c r="AQ143" s="299"/>
      <c r="AR143" s="299"/>
      <c r="AS143" s="299"/>
      <c r="AT143" s="299"/>
      <c r="AU143" s="299"/>
      <c r="AV143" s="299"/>
      <c r="AW143" s="299"/>
      <c r="AX143" s="299"/>
      <c r="AY143" s="299"/>
      <c r="AZ143" s="299"/>
      <c r="BA143" s="299"/>
      <c r="BB143" s="299"/>
      <c r="BC143" s="299"/>
      <c r="BD143" s="299"/>
      <c r="BE143" s="299"/>
      <c r="BF143" s="299"/>
      <c r="BG143" s="299"/>
      <c r="BH143" s="299"/>
      <c r="BI143" s="299"/>
      <c r="BJ143" s="299"/>
      <c r="BK143" s="299"/>
      <c r="BL143" s="299"/>
      <c r="BM143" s="299"/>
      <c r="BN143" s="299"/>
      <c r="BO143" s="299"/>
      <c r="BP143" s="299"/>
      <c r="BQ143" s="299"/>
      <c r="BR143" s="299"/>
      <c r="BS143" s="299"/>
      <c r="BT143" s="299"/>
      <c r="BU143" s="299"/>
      <c r="BV143" s="299"/>
      <c r="BW143" s="299"/>
      <c r="BX143" s="299"/>
      <c r="BY143" s="299"/>
      <c r="BZ143" s="299"/>
      <c r="CA143" s="299"/>
      <c r="CB143" s="299"/>
      <c r="CC143" s="299"/>
      <c r="CD143" s="299"/>
      <c r="CE143" s="299"/>
      <c r="CF143" s="299"/>
      <c r="CG143" s="299"/>
      <c r="CH143" s="299"/>
      <c r="CI143" s="299"/>
      <c r="CJ143" s="299"/>
      <c r="CK143" s="299"/>
      <c r="CL143" s="299"/>
      <c r="CM143" s="299"/>
      <c r="CN143" s="299"/>
      <c r="CO143" s="299"/>
      <c r="CP143" s="299"/>
      <c r="CQ143" s="299"/>
      <c r="CR143" s="299"/>
      <c r="CS143" s="299"/>
      <c r="CT143" s="299"/>
      <c r="CU143" s="299"/>
      <c r="CV143" s="299"/>
    </row>
    <row r="144" spans="1:100" s="269" customFormat="1" ht="19.5" hidden="1" customHeight="1">
      <c r="A144" s="281" t="e">
        <f>#REF!</f>
        <v>#REF!</v>
      </c>
      <c r="B144" s="281"/>
      <c r="C144" s="281"/>
      <c r="D144" s="281"/>
      <c r="E144" s="281"/>
      <c r="F144" s="281"/>
      <c r="G144" s="281"/>
      <c r="H144" s="281"/>
      <c r="I144" s="290" t="e">
        <f>#REF!</f>
        <v>#REF!</v>
      </c>
      <c r="J144" s="912" t="e">
        <f>#REF!</f>
        <v>#REF!</v>
      </c>
      <c r="K144" s="912"/>
      <c r="L144" s="912"/>
      <c r="M144" s="912"/>
      <c r="N144" s="299"/>
      <c r="O144" s="299"/>
      <c r="P144" s="299"/>
      <c r="Q144" s="299"/>
      <c r="R144" s="299"/>
      <c r="S144" s="299"/>
      <c r="T144" s="299"/>
      <c r="U144" s="299"/>
      <c r="V144" s="299"/>
      <c r="W144" s="299"/>
      <c r="X144" s="299"/>
      <c r="Y144" s="299"/>
      <c r="Z144" s="299"/>
      <c r="AA144" s="299"/>
      <c r="AB144" s="299"/>
      <c r="AC144" s="299"/>
      <c r="AD144" s="299"/>
      <c r="AE144" s="299"/>
      <c r="AF144" s="299"/>
      <c r="AG144" s="299"/>
      <c r="AH144" s="299"/>
      <c r="AI144" s="299"/>
      <c r="AJ144" s="299"/>
      <c r="AK144" s="299"/>
      <c r="AL144" s="299"/>
      <c r="AM144" s="299"/>
      <c r="AN144" s="299"/>
      <c r="AO144" s="299"/>
      <c r="AP144" s="299"/>
      <c r="AQ144" s="299"/>
      <c r="AR144" s="299"/>
      <c r="AS144" s="299"/>
      <c r="AT144" s="299"/>
      <c r="AU144" s="299"/>
      <c r="AV144" s="299"/>
      <c r="AW144" s="299"/>
      <c r="AX144" s="299"/>
      <c r="AY144" s="299"/>
      <c r="AZ144" s="299"/>
      <c r="BA144" s="299"/>
      <c r="BB144" s="299"/>
      <c r="BC144" s="299"/>
      <c r="BD144" s="299"/>
      <c r="BE144" s="299"/>
      <c r="BF144" s="299"/>
      <c r="BG144" s="299"/>
      <c r="BH144" s="299"/>
      <c r="BI144" s="299"/>
      <c r="BJ144" s="299"/>
      <c r="BK144" s="299"/>
      <c r="BL144" s="299"/>
      <c r="BM144" s="299"/>
      <c r="BN144" s="299"/>
      <c r="BO144" s="299"/>
      <c r="BP144" s="299"/>
      <c r="BQ144" s="299"/>
      <c r="BR144" s="299"/>
      <c r="BS144" s="299"/>
      <c r="BT144" s="299"/>
      <c r="BU144" s="299"/>
      <c r="BV144" s="299"/>
      <c r="BW144" s="299"/>
      <c r="BX144" s="299"/>
      <c r="BY144" s="299"/>
      <c r="BZ144" s="299"/>
      <c r="CA144" s="299"/>
      <c r="CB144" s="299"/>
      <c r="CC144" s="299"/>
      <c r="CD144" s="299"/>
      <c r="CE144" s="299"/>
      <c r="CF144" s="299"/>
      <c r="CG144" s="299"/>
      <c r="CH144" s="299"/>
      <c r="CI144" s="299"/>
      <c r="CJ144" s="299"/>
      <c r="CK144" s="299"/>
      <c r="CL144" s="299"/>
      <c r="CM144" s="299"/>
      <c r="CN144" s="299"/>
      <c r="CO144" s="299"/>
      <c r="CP144" s="299"/>
      <c r="CQ144" s="299"/>
      <c r="CR144" s="299"/>
      <c r="CS144" s="299"/>
      <c r="CT144" s="299"/>
      <c r="CU144" s="299"/>
      <c r="CV144" s="299"/>
    </row>
    <row r="145" spans="1:100" s="269" customFormat="1" ht="19.5" hidden="1" customHeight="1">
      <c r="A145" s="291"/>
      <c r="B145" s="291"/>
      <c r="C145" s="291"/>
      <c r="D145" s="291"/>
      <c r="E145" s="291"/>
      <c r="F145" s="291"/>
      <c r="G145" s="291"/>
      <c r="H145" s="291"/>
      <c r="I145" s="280" t="e">
        <f>#REF!</f>
        <v>#REF!</v>
      </c>
      <c r="J145" s="912" t="e">
        <f>#REF!</f>
        <v>#REF!</v>
      </c>
      <c r="K145" s="912"/>
      <c r="L145" s="912"/>
      <c r="M145" s="912"/>
      <c r="N145" s="299"/>
      <c r="O145" s="299"/>
      <c r="P145" s="299"/>
      <c r="Q145" s="299"/>
      <c r="R145" s="299"/>
      <c r="S145" s="299"/>
      <c r="T145" s="299"/>
      <c r="U145" s="299"/>
      <c r="V145" s="299"/>
      <c r="W145" s="299"/>
      <c r="X145" s="299"/>
      <c r="Y145" s="299"/>
      <c r="Z145" s="299"/>
      <c r="AA145" s="299"/>
      <c r="AB145" s="299"/>
      <c r="AC145" s="299"/>
      <c r="AD145" s="299"/>
      <c r="AE145" s="299"/>
      <c r="AF145" s="299"/>
      <c r="AG145" s="299"/>
      <c r="AH145" s="299"/>
      <c r="AI145" s="299"/>
      <c r="AJ145" s="299"/>
      <c r="AK145" s="299"/>
      <c r="AL145" s="299"/>
      <c r="AM145" s="299"/>
      <c r="AN145" s="299"/>
      <c r="AO145" s="299"/>
      <c r="AP145" s="299"/>
      <c r="AQ145" s="299"/>
      <c r="AR145" s="299"/>
      <c r="AS145" s="299"/>
      <c r="AT145" s="299"/>
      <c r="AU145" s="299"/>
      <c r="AV145" s="299"/>
      <c r="AW145" s="299"/>
      <c r="AX145" s="299"/>
      <c r="AY145" s="299"/>
      <c r="AZ145" s="299"/>
      <c r="BA145" s="299"/>
      <c r="BB145" s="299"/>
      <c r="BC145" s="299"/>
      <c r="BD145" s="299"/>
      <c r="BE145" s="299"/>
      <c r="BF145" s="299"/>
      <c r="BG145" s="299"/>
      <c r="BH145" s="299"/>
      <c r="BI145" s="299"/>
      <c r="BJ145" s="299"/>
      <c r="BK145" s="299"/>
      <c r="BL145" s="299"/>
      <c r="BM145" s="299"/>
      <c r="BN145" s="299"/>
      <c r="BO145" s="299"/>
      <c r="BP145" s="299"/>
      <c r="BQ145" s="299"/>
      <c r="BR145" s="299"/>
      <c r="BS145" s="299"/>
      <c r="BT145" s="299"/>
      <c r="BU145" s="299"/>
      <c r="BV145" s="299"/>
      <c r="BW145" s="299"/>
      <c r="BX145" s="299"/>
      <c r="BY145" s="299"/>
      <c r="BZ145" s="299"/>
      <c r="CA145" s="299"/>
      <c r="CB145" s="299"/>
      <c r="CC145" s="299"/>
      <c r="CD145" s="299"/>
      <c r="CE145" s="299"/>
      <c r="CF145" s="299"/>
      <c r="CG145" s="299"/>
      <c r="CH145" s="299"/>
      <c r="CI145" s="299"/>
      <c r="CJ145" s="299"/>
      <c r="CK145" s="299"/>
      <c r="CL145" s="299"/>
      <c r="CM145" s="299"/>
      <c r="CN145" s="299"/>
      <c r="CO145" s="299"/>
      <c r="CP145" s="299"/>
      <c r="CQ145" s="299"/>
      <c r="CR145" s="299"/>
      <c r="CS145" s="299"/>
      <c r="CT145" s="299"/>
      <c r="CU145" s="299"/>
      <c r="CV145" s="299"/>
    </row>
    <row r="146" spans="1:100" s="269" customFormat="1" ht="19.5" hidden="1" customHeight="1">
      <c r="A146" s="284" t="e">
        <f>#REF!</f>
        <v>#REF!</v>
      </c>
      <c r="B146" s="284"/>
      <c r="C146" s="284"/>
      <c r="D146" s="284"/>
      <c r="E146" s="284"/>
      <c r="F146" s="284"/>
      <c r="G146" s="284"/>
      <c r="H146" s="284"/>
      <c r="I146" s="280" t="e">
        <f>#REF!</f>
        <v>#REF!</v>
      </c>
      <c r="J146" s="912"/>
      <c r="K146" s="912"/>
      <c r="L146" s="912"/>
      <c r="M146" s="912"/>
      <c r="N146" s="299"/>
      <c r="O146" s="299"/>
      <c r="P146" s="299"/>
      <c r="Q146" s="299"/>
      <c r="R146" s="299"/>
      <c r="S146" s="299"/>
      <c r="T146" s="299"/>
      <c r="U146" s="299"/>
      <c r="V146" s="299"/>
      <c r="W146" s="299"/>
      <c r="X146" s="299"/>
      <c r="Y146" s="299"/>
      <c r="Z146" s="299"/>
      <c r="AA146" s="299"/>
      <c r="AB146" s="299"/>
      <c r="AC146" s="299"/>
      <c r="AD146" s="299"/>
      <c r="AE146" s="299"/>
      <c r="AF146" s="299"/>
      <c r="AG146" s="299"/>
      <c r="AH146" s="299"/>
      <c r="AI146" s="299"/>
      <c r="AJ146" s="299"/>
      <c r="AK146" s="299"/>
      <c r="AL146" s="299"/>
      <c r="AM146" s="299"/>
      <c r="AN146" s="299"/>
      <c r="AO146" s="299"/>
      <c r="AP146" s="299"/>
      <c r="AQ146" s="299"/>
      <c r="AR146" s="299"/>
      <c r="AS146" s="299"/>
      <c r="AT146" s="299"/>
      <c r="AU146" s="299"/>
      <c r="AV146" s="299"/>
      <c r="AW146" s="299"/>
      <c r="AX146" s="299"/>
      <c r="AY146" s="299"/>
      <c r="AZ146" s="299"/>
      <c r="BA146" s="299"/>
      <c r="BB146" s="299"/>
      <c r="BC146" s="299"/>
      <c r="BD146" s="299"/>
      <c r="BE146" s="299"/>
      <c r="BF146" s="299"/>
      <c r="BG146" s="299"/>
      <c r="BH146" s="299"/>
      <c r="BI146" s="299"/>
      <c r="BJ146" s="299"/>
      <c r="BK146" s="299"/>
      <c r="BL146" s="299"/>
      <c r="BM146" s="299"/>
      <c r="BN146" s="299"/>
      <c r="BO146" s="299"/>
      <c r="BP146" s="299"/>
      <c r="BQ146" s="299"/>
      <c r="BR146" s="299"/>
      <c r="BS146" s="299"/>
      <c r="BT146" s="299"/>
      <c r="BU146" s="299"/>
      <c r="BV146" s="299"/>
      <c r="BW146" s="299"/>
      <c r="BX146" s="299"/>
      <c r="BY146" s="299"/>
      <c r="BZ146" s="299"/>
      <c r="CA146" s="299"/>
      <c r="CB146" s="299"/>
      <c r="CC146" s="299"/>
      <c r="CD146" s="299"/>
      <c r="CE146" s="299"/>
      <c r="CF146" s="299"/>
      <c r="CG146" s="299"/>
      <c r="CH146" s="299"/>
      <c r="CI146" s="299"/>
      <c r="CJ146" s="299"/>
      <c r="CK146" s="299"/>
      <c r="CL146" s="299"/>
      <c r="CM146" s="299"/>
      <c r="CN146" s="299"/>
      <c r="CO146" s="299"/>
      <c r="CP146" s="299"/>
      <c r="CQ146" s="299"/>
      <c r="CR146" s="299"/>
      <c r="CS146" s="299"/>
      <c r="CT146" s="299"/>
      <c r="CU146" s="299"/>
      <c r="CV146" s="299"/>
    </row>
    <row r="147" spans="1:100" s="269" customFormat="1" ht="19.5" hidden="1" customHeight="1">
      <c r="A147" s="281" t="e">
        <f>#REF!</f>
        <v>#REF!</v>
      </c>
      <c r="B147" s="281"/>
      <c r="C147" s="281"/>
      <c r="D147" s="281"/>
      <c r="E147" s="281"/>
      <c r="F147" s="281"/>
      <c r="G147" s="281"/>
      <c r="H147" s="281"/>
      <c r="I147" s="282" t="e">
        <f>#REF!</f>
        <v>#REF!</v>
      </c>
      <c r="J147" s="912" t="e">
        <f>#REF!</f>
        <v>#REF!</v>
      </c>
      <c r="K147" s="912"/>
      <c r="L147" s="912"/>
      <c r="M147" s="912"/>
      <c r="N147" s="299"/>
      <c r="O147" s="299"/>
      <c r="P147" s="299"/>
      <c r="Q147" s="299"/>
      <c r="R147" s="299"/>
      <c r="S147" s="299"/>
      <c r="T147" s="299"/>
      <c r="U147" s="299"/>
      <c r="V147" s="299"/>
      <c r="W147" s="299"/>
      <c r="X147" s="299"/>
      <c r="Y147" s="299"/>
      <c r="Z147" s="299"/>
      <c r="AA147" s="299"/>
      <c r="AB147" s="299"/>
      <c r="AC147" s="299"/>
      <c r="AD147" s="299"/>
      <c r="AE147" s="299"/>
      <c r="AF147" s="299"/>
      <c r="AG147" s="299"/>
      <c r="AH147" s="299"/>
      <c r="AI147" s="299"/>
      <c r="AJ147" s="299"/>
      <c r="AK147" s="299"/>
      <c r="AL147" s="299"/>
      <c r="AM147" s="299"/>
      <c r="AN147" s="299"/>
      <c r="AO147" s="299"/>
      <c r="AP147" s="299"/>
      <c r="AQ147" s="299"/>
      <c r="AR147" s="299"/>
      <c r="AS147" s="299"/>
      <c r="AT147" s="299"/>
      <c r="AU147" s="299"/>
      <c r="AV147" s="299"/>
      <c r="AW147" s="299"/>
      <c r="AX147" s="299"/>
      <c r="AY147" s="299"/>
      <c r="AZ147" s="299"/>
      <c r="BA147" s="299"/>
      <c r="BB147" s="299"/>
      <c r="BC147" s="299"/>
      <c r="BD147" s="299"/>
      <c r="BE147" s="299"/>
      <c r="BF147" s="299"/>
      <c r="BG147" s="299"/>
      <c r="BH147" s="299"/>
      <c r="BI147" s="299"/>
      <c r="BJ147" s="299"/>
      <c r="BK147" s="299"/>
      <c r="BL147" s="299"/>
      <c r="BM147" s="299"/>
      <c r="BN147" s="299"/>
      <c r="BO147" s="299"/>
      <c r="BP147" s="299"/>
      <c r="BQ147" s="299"/>
      <c r="BR147" s="299"/>
      <c r="BS147" s="299"/>
      <c r="BT147" s="299"/>
      <c r="BU147" s="299"/>
      <c r="BV147" s="299"/>
      <c r="BW147" s="299"/>
      <c r="BX147" s="299"/>
      <c r="BY147" s="299"/>
      <c r="BZ147" s="299"/>
      <c r="CA147" s="299"/>
      <c r="CB147" s="299"/>
      <c r="CC147" s="299"/>
      <c r="CD147" s="299"/>
      <c r="CE147" s="299"/>
      <c r="CF147" s="299"/>
      <c r="CG147" s="299"/>
      <c r="CH147" s="299"/>
      <c r="CI147" s="299"/>
      <c r="CJ147" s="299"/>
      <c r="CK147" s="299"/>
      <c r="CL147" s="299"/>
      <c r="CM147" s="299"/>
      <c r="CN147" s="299"/>
      <c r="CO147" s="299"/>
      <c r="CP147" s="299"/>
      <c r="CQ147" s="299"/>
      <c r="CR147" s="299"/>
      <c r="CS147" s="299"/>
      <c r="CT147" s="299"/>
      <c r="CU147" s="299"/>
      <c r="CV147" s="299"/>
    </row>
    <row r="148" spans="1:100" s="269" customFormat="1" ht="19.5" hidden="1" customHeight="1">
      <c r="A148" s="281" t="e">
        <f>#REF!</f>
        <v>#REF!</v>
      </c>
      <c r="B148" s="281"/>
      <c r="C148" s="281"/>
      <c r="D148" s="281"/>
      <c r="E148" s="281"/>
      <c r="F148" s="281"/>
      <c r="G148" s="281"/>
      <c r="H148" s="281"/>
      <c r="I148" s="282" t="e">
        <f>#REF!</f>
        <v>#REF!</v>
      </c>
      <c r="J148" s="912" t="e">
        <f>#REF!</f>
        <v>#REF!</v>
      </c>
      <c r="K148" s="912"/>
      <c r="L148" s="912"/>
      <c r="M148" s="912"/>
      <c r="N148" s="299"/>
      <c r="O148" s="299"/>
      <c r="P148" s="299"/>
      <c r="Q148" s="299"/>
      <c r="R148" s="299"/>
      <c r="S148" s="299"/>
      <c r="T148" s="299"/>
      <c r="U148" s="299"/>
      <c r="V148" s="299"/>
      <c r="W148" s="299"/>
      <c r="X148" s="299"/>
      <c r="Y148" s="299"/>
      <c r="Z148" s="299"/>
      <c r="AA148" s="299"/>
      <c r="AB148" s="299"/>
      <c r="AC148" s="299"/>
      <c r="AD148" s="299"/>
      <c r="AE148" s="299"/>
      <c r="AF148" s="299"/>
      <c r="AG148" s="299"/>
      <c r="AH148" s="299"/>
      <c r="AI148" s="299"/>
      <c r="AJ148" s="299"/>
      <c r="AK148" s="299"/>
      <c r="AL148" s="299"/>
      <c r="AM148" s="299"/>
      <c r="AN148" s="299"/>
      <c r="AO148" s="299"/>
      <c r="AP148" s="299"/>
      <c r="AQ148" s="299"/>
      <c r="AR148" s="299"/>
      <c r="AS148" s="299"/>
      <c r="AT148" s="299"/>
      <c r="AU148" s="299"/>
      <c r="AV148" s="299"/>
      <c r="AW148" s="299"/>
      <c r="AX148" s="299"/>
      <c r="AY148" s="299"/>
      <c r="AZ148" s="299"/>
      <c r="BA148" s="299"/>
      <c r="BB148" s="299"/>
      <c r="BC148" s="299"/>
      <c r="BD148" s="299"/>
      <c r="BE148" s="299"/>
      <c r="BF148" s="299"/>
      <c r="BG148" s="299"/>
      <c r="BH148" s="299"/>
      <c r="BI148" s="299"/>
      <c r="BJ148" s="299"/>
      <c r="BK148" s="299"/>
      <c r="BL148" s="299"/>
      <c r="BM148" s="299"/>
      <c r="BN148" s="299"/>
      <c r="BO148" s="299"/>
      <c r="BP148" s="299"/>
      <c r="BQ148" s="299"/>
      <c r="BR148" s="299"/>
      <c r="BS148" s="299"/>
      <c r="BT148" s="299"/>
      <c r="BU148" s="299"/>
      <c r="BV148" s="299"/>
      <c r="BW148" s="299"/>
      <c r="BX148" s="299"/>
      <c r="BY148" s="299"/>
      <c r="BZ148" s="299"/>
      <c r="CA148" s="299"/>
      <c r="CB148" s="299"/>
      <c r="CC148" s="299"/>
      <c r="CD148" s="299"/>
      <c r="CE148" s="299"/>
      <c r="CF148" s="299"/>
      <c r="CG148" s="299"/>
      <c r="CH148" s="299"/>
      <c r="CI148" s="299"/>
      <c r="CJ148" s="299"/>
      <c r="CK148" s="299"/>
      <c r="CL148" s="299"/>
      <c r="CM148" s="299"/>
      <c r="CN148" s="299"/>
      <c r="CO148" s="299"/>
      <c r="CP148" s="299"/>
      <c r="CQ148" s="299"/>
      <c r="CR148" s="299"/>
      <c r="CS148" s="299"/>
      <c r="CT148" s="299"/>
      <c r="CU148" s="299"/>
      <c r="CV148" s="299"/>
    </row>
    <row r="149" spans="1:100" s="269" customFormat="1" ht="19.5" hidden="1" customHeight="1">
      <c r="A149" s="281" t="e">
        <f>#REF!</f>
        <v>#REF!</v>
      </c>
      <c r="B149" s="281"/>
      <c r="C149" s="281"/>
      <c r="D149" s="281"/>
      <c r="E149" s="281"/>
      <c r="F149" s="281"/>
      <c r="G149" s="281"/>
      <c r="H149" s="281"/>
      <c r="I149" s="282" t="e">
        <f>#REF!</f>
        <v>#REF!</v>
      </c>
      <c r="J149" s="912" t="e">
        <f>#REF!</f>
        <v>#REF!</v>
      </c>
      <c r="K149" s="912"/>
      <c r="L149" s="912"/>
      <c r="M149" s="912"/>
      <c r="N149" s="299"/>
      <c r="O149" s="299"/>
      <c r="P149" s="299"/>
      <c r="Q149" s="299"/>
      <c r="R149" s="299"/>
      <c r="S149" s="299"/>
      <c r="T149" s="299"/>
      <c r="U149" s="299"/>
      <c r="V149" s="299"/>
      <c r="W149" s="299"/>
      <c r="X149" s="299"/>
      <c r="Y149" s="299"/>
      <c r="Z149" s="299"/>
      <c r="AA149" s="299"/>
      <c r="AB149" s="299"/>
      <c r="AC149" s="299"/>
      <c r="AD149" s="299"/>
      <c r="AE149" s="299"/>
      <c r="AF149" s="299"/>
      <c r="AG149" s="299"/>
      <c r="AH149" s="299"/>
      <c r="AI149" s="299"/>
      <c r="AJ149" s="299"/>
      <c r="AK149" s="299"/>
      <c r="AL149" s="299"/>
      <c r="AM149" s="299"/>
      <c r="AN149" s="299"/>
      <c r="AO149" s="299"/>
      <c r="AP149" s="299"/>
      <c r="AQ149" s="299"/>
      <c r="AR149" s="299"/>
      <c r="AS149" s="299"/>
      <c r="AT149" s="299"/>
      <c r="AU149" s="299"/>
      <c r="AV149" s="299"/>
      <c r="AW149" s="299"/>
      <c r="AX149" s="299"/>
      <c r="AY149" s="299"/>
      <c r="AZ149" s="299"/>
      <c r="BA149" s="299"/>
      <c r="BB149" s="299"/>
      <c r="BC149" s="299"/>
      <c r="BD149" s="299"/>
      <c r="BE149" s="299"/>
      <c r="BF149" s="299"/>
      <c r="BG149" s="299"/>
      <c r="BH149" s="299"/>
      <c r="BI149" s="299"/>
      <c r="BJ149" s="299"/>
      <c r="BK149" s="299"/>
      <c r="BL149" s="299"/>
      <c r="BM149" s="299"/>
      <c r="BN149" s="299"/>
      <c r="BO149" s="299"/>
      <c r="BP149" s="299"/>
      <c r="BQ149" s="299"/>
      <c r="BR149" s="299"/>
      <c r="BS149" s="299"/>
      <c r="BT149" s="299"/>
      <c r="BU149" s="299"/>
      <c r="BV149" s="299"/>
      <c r="BW149" s="299"/>
      <c r="BX149" s="299"/>
      <c r="BY149" s="299"/>
      <c r="BZ149" s="299"/>
      <c r="CA149" s="299"/>
      <c r="CB149" s="299"/>
      <c r="CC149" s="299"/>
      <c r="CD149" s="299"/>
      <c r="CE149" s="299"/>
      <c r="CF149" s="299"/>
      <c r="CG149" s="299"/>
      <c r="CH149" s="299"/>
      <c r="CI149" s="299"/>
      <c r="CJ149" s="299"/>
      <c r="CK149" s="299"/>
      <c r="CL149" s="299"/>
      <c r="CM149" s="299"/>
      <c r="CN149" s="299"/>
      <c r="CO149" s="299"/>
      <c r="CP149" s="299"/>
      <c r="CQ149" s="299"/>
      <c r="CR149" s="299"/>
      <c r="CS149" s="299"/>
      <c r="CT149" s="299"/>
      <c r="CU149" s="299"/>
      <c r="CV149" s="299"/>
    </row>
    <row r="150" spans="1:100" s="269" customFormat="1" ht="19.5" hidden="1" customHeight="1">
      <c r="A150" s="291"/>
      <c r="B150" s="291"/>
      <c r="C150" s="291"/>
      <c r="D150" s="291"/>
      <c r="E150" s="291"/>
      <c r="F150" s="291"/>
      <c r="G150" s="291"/>
      <c r="H150" s="291"/>
      <c r="I150" s="280" t="e">
        <f>#REF!</f>
        <v>#REF!</v>
      </c>
      <c r="J150" s="912" t="e">
        <f>#REF!</f>
        <v>#REF!</v>
      </c>
      <c r="K150" s="912"/>
      <c r="L150" s="912"/>
      <c r="M150" s="912"/>
      <c r="N150" s="299"/>
      <c r="O150" s="299"/>
      <c r="P150" s="299"/>
      <c r="Q150" s="299"/>
      <c r="R150" s="299"/>
      <c r="S150" s="299"/>
      <c r="T150" s="299"/>
      <c r="U150" s="299"/>
      <c r="V150" s="299"/>
      <c r="W150" s="299"/>
      <c r="X150" s="299"/>
      <c r="Y150" s="299"/>
      <c r="Z150" s="299"/>
      <c r="AA150" s="299"/>
      <c r="AB150" s="299"/>
      <c r="AC150" s="299"/>
      <c r="AD150" s="299"/>
      <c r="AE150" s="299"/>
      <c r="AF150" s="299"/>
      <c r="AG150" s="299"/>
      <c r="AH150" s="299"/>
      <c r="AI150" s="299"/>
      <c r="AJ150" s="299"/>
      <c r="AK150" s="299"/>
      <c r="AL150" s="299"/>
      <c r="AM150" s="299"/>
      <c r="AN150" s="299"/>
      <c r="AO150" s="299"/>
      <c r="AP150" s="299"/>
      <c r="AQ150" s="299"/>
      <c r="AR150" s="299"/>
      <c r="AS150" s="299"/>
      <c r="AT150" s="299"/>
      <c r="AU150" s="299"/>
      <c r="AV150" s="299"/>
      <c r="AW150" s="299"/>
      <c r="AX150" s="299"/>
      <c r="AY150" s="299"/>
      <c r="AZ150" s="299"/>
      <c r="BA150" s="299"/>
      <c r="BB150" s="299"/>
      <c r="BC150" s="299"/>
      <c r="BD150" s="299"/>
      <c r="BE150" s="299"/>
      <c r="BF150" s="299"/>
      <c r="BG150" s="299"/>
      <c r="BH150" s="299"/>
      <c r="BI150" s="299"/>
      <c r="BJ150" s="299"/>
      <c r="BK150" s="299"/>
      <c r="BL150" s="299"/>
      <c r="BM150" s="299"/>
      <c r="BN150" s="299"/>
      <c r="BO150" s="299"/>
      <c r="BP150" s="299"/>
      <c r="BQ150" s="299"/>
      <c r="BR150" s="299"/>
      <c r="BS150" s="299"/>
      <c r="BT150" s="299"/>
      <c r="BU150" s="299"/>
      <c r="BV150" s="299"/>
      <c r="BW150" s="299"/>
      <c r="BX150" s="299"/>
      <c r="BY150" s="299"/>
      <c r="BZ150" s="299"/>
      <c r="CA150" s="299"/>
      <c r="CB150" s="299"/>
      <c r="CC150" s="299"/>
      <c r="CD150" s="299"/>
      <c r="CE150" s="299"/>
      <c r="CF150" s="299"/>
      <c r="CG150" s="299"/>
      <c r="CH150" s="299"/>
      <c r="CI150" s="299"/>
      <c r="CJ150" s="299"/>
      <c r="CK150" s="299"/>
      <c r="CL150" s="299"/>
      <c r="CM150" s="299"/>
      <c r="CN150" s="299"/>
      <c r="CO150" s="299"/>
      <c r="CP150" s="299"/>
      <c r="CQ150" s="299"/>
      <c r="CR150" s="299"/>
      <c r="CS150" s="299"/>
      <c r="CT150" s="299"/>
      <c r="CU150" s="299"/>
      <c r="CV150" s="299"/>
    </row>
    <row r="151" spans="1:100" s="269" customFormat="1" ht="33" hidden="1" customHeight="1">
      <c r="A151" s="284" t="e">
        <f>#REF!</f>
        <v>#REF!</v>
      </c>
      <c r="B151" s="284"/>
      <c r="C151" s="284"/>
      <c r="D151" s="284"/>
      <c r="E151" s="284"/>
      <c r="F151" s="284"/>
      <c r="G151" s="284"/>
      <c r="H151" s="284"/>
      <c r="I151" s="280" t="e">
        <f>#REF!</f>
        <v>#REF!</v>
      </c>
      <c r="J151" s="912"/>
      <c r="K151" s="912"/>
      <c r="L151" s="912"/>
      <c r="M151" s="912"/>
      <c r="N151" s="299"/>
      <c r="O151" s="299"/>
      <c r="P151" s="299"/>
      <c r="Q151" s="299"/>
      <c r="R151" s="299"/>
      <c r="S151" s="299"/>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299"/>
      <c r="AP151" s="299"/>
      <c r="AQ151" s="299"/>
      <c r="AR151" s="299"/>
      <c r="AS151" s="299"/>
      <c r="AT151" s="299"/>
      <c r="AU151" s="299"/>
      <c r="AV151" s="299"/>
      <c r="AW151" s="299"/>
      <c r="AX151" s="299"/>
      <c r="AY151" s="299"/>
      <c r="AZ151" s="299"/>
      <c r="BA151" s="299"/>
      <c r="BB151" s="299"/>
      <c r="BC151" s="299"/>
      <c r="BD151" s="299"/>
      <c r="BE151" s="299"/>
      <c r="BF151" s="299"/>
      <c r="BG151" s="299"/>
      <c r="BH151" s="299"/>
      <c r="BI151" s="299"/>
      <c r="BJ151" s="299"/>
      <c r="BK151" s="299"/>
      <c r="BL151" s="299"/>
      <c r="BM151" s="299"/>
      <c r="BN151" s="299"/>
      <c r="BO151" s="299"/>
      <c r="BP151" s="299"/>
      <c r="BQ151" s="299"/>
      <c r="BR151" s="299"/>
      <c r="BS151" s="299"/>
      <c r="BT151" s="299"/>
      <c r="BU151" s="299"/>
      <c r="BV151" s="299"/>
      <c r="BW151" s="299"/>
      <c r="BX151" s="299"/>
      <c r="BY151" s="299"/>
      <c r="BZ151" s="299"/>
      <c r="CA151" s="299"/>
      <c r="CB151" s="299"/>
      <c r="CC151" s="299"/>
      <c r="CD151" s="299"/>
      <c r="CE151" s="299"/>
      <c r="CF151" s="299"/>
      <c r="CG151" s="299"/>
      <c r="CH151" s="299"/>
      <c r="CI151" s="299"/>
      <c r="CJ151" s="299"/>
      <c r="CK151" s="299"/>
      <c r="CL151" s="299"/>
      <c r="CM151" s="299"/>
      <c r="CN151" s="299"/>
      <c r="CO151" s="299"/>
      <c r="CP151" s="299"/>
      <c r="CQ151" s="299"/>
      <c r="CR151" s="299"/>
      <c r="CS151" s="299"/>
      <c r="CT151" s="299"/>
      <c r="CU151" s="299"/>
      <c r="CV151" s="299"/>
    </row>
    <row r="152" spans="1:100" s="269" customFormat="1" ht="19.5" hidden="1" customHeight="1">
      <c r="A152" s="291" t="e">
        <f>#REF!</f>
        <v>#REF!</v>
      </c>
      <c r="B152" s="291"/>
      <c r="C152" s="291"/>
      <c r="D152" s="291"/>
      <c r="E152" s="291"/>
      <c r="F152" s="291"/>
      <c r="G152" s="291"/>
      <c r="H152" s="291"/>
      <c r="I152" s="282" t="e">
        <f>#REF!</f>
        <v>#REF!</v>
      </c>
      <c r="J152" s="912" t="e">
        <f>#REF!</f>
        <v>#REF!</v>
      </c>
      <c r="K152" s="912"/>
      <c r="L152" s="912"/>
      <c r="M152" s="912"/>
      <c r="N152" s="299"/>
      <c r="O152" s="299"/>
      <c r="P152" s="299"/>
      <c r="Q152" s="299"/>
      <c r="R152" s="299"/>
      <c r="S152" s="299"/>
      <c r="T152" s="299"/>
      <c r="U152" s="299"/>
      <c r="V152" s="299"/>
      <c r="W152" s="299"/>
      <c r="X152" s="299"/>
      <c r="Y152" s="299"/>
      <c r="Z152" s="299"/>
      <c r="AA152" s="299"/>
      <c r="AB152" s="299"/>
      <c r="AC152" s="299"/>
      <c r="AD152" s="299"/>
      <c r="AE152" s="299"/>
      <c r="AF152" s="299"/>
      <c r="AG152" s="299"/>
      <c r="AH152" s="299"/>
      <c r="AI152" s="299"/>
      <c r="AJ152" s="299"/>
      <c r="AK152" s="299"/>
      <c r="AL152" s="299"/>
      <c r="AM152" s="299"/>
      <c r="AN152" s="299"/>
      <c r="AO152" s="299"/>
      <c r="AP152" s="299"/>
      <c r="AQ152" s="299"/>
      <c r="AR152" s="299"/>
      <c r="AS152" s="299"/>
      <c r="AT152" s="299"/>
      <c r="AU152" s="299"/>
      <c r="AV152" s="299"/>
      <c r="AW152" s="299"/>
      <c r="AX152" s="299"/>
      <c r="AY152" s="299"/>
      <c r="AZ152" s="299"/>
      <c r="BA152" s="299"/>
      <c r="BB152" s="299"/>
      <c r="BC152" s="299"/>
      <c r="BD152" s="299"/>
      <c r="BE152" s="299"/>
      <c r="BF152" s="299"/>
      <c r="BG152" s="299"/>
      <c r="BH152" s="299"/>
      <c r="BI152" s="299"/>
      <c r="BJ152" s="299"/>
      <c r="BK152" s="299"/>
      <c r="BL152" s="299"/>
      <c r="BM152" s="299"/>
      <c r="BN152" s="299"/>
      <c r="BO152" s="299"/>
      <c r="BP152" s="299"/>
      <c r="BQ152" s="299"/>
      <c r="BR152" s="299"/>
      <c r="BS152" s="299"/>
      <c r="BT152" s="299"/>
      <c r="BU152" s="299"/>
      <c r="BV152" s="299"/>
      <c r="BW152" s="299"/>
      <c r="BX152" s="299"/>
      <c r="BY152" s="299"/>
      <c r="BZ152" s="299"/>
      <c r="CA152" s="299"/>
      <c r="CB152" s="299"/>
      <c r="CC152" s="299"/>
      <c r="CD152" s="299"/>
      <c r="CE152" s="299"/>
      <c r="CF152" s="299"/>
      <c r="CG152" s="299"/>
      <c r="CH152" s="299"/>
      <c r="CI152" s="299"/>
      <c r="CJ152" s="299"/>
      <c r="CK152" s="299"/>
      <c r="CL152" s="299"/>
      <c r="CM152" s="299"/>
      <c r="CN152" s="299"/>
      <c r="CO152" s="299"/>
      <c r="CP152" s="299"/>
      <c r="CQ152" s="299"/>
      <c r="CR152" s="299"/>
      <c r="CS152" s="299"/>
      <c r="CT152" s="299"/>
      <c r="CU152" s="299"/>
      <c r="CV152" s="299"/>
    </row>
    <row r="153" spans="1:100" s="269" customFormat="1" ht="19.5" hidden="1" customHeight="1">
      <c r="A153" s="291" t="e">
        <f>#REF!</f>
        <v>#REF!</v>
      </c>
      <c r="B153" s="291"/>
      <c r="C153" s="291"/>
      <c r="D153" s="291"/>
      <c r="E153" s="291"/>
      <c r="F153" s="291"/>
      <c r="G153" s="291"/>
      <c r="H153" s="291"/>
      <c r="I153" s="282" t="e">
        <f>#REF!</f>
        <v>#REF!</v>
      </c>
      <c r="J153" s="912" t="e">
        <f>#REF!</f>
        <v>#REF!</v>
      </c>
      <c r="K153" s="912"/>
      <c r="L153" s="912"/>
      <c r="M153" s="912"/>
      <c r="N153" s="299"/>
      <c r="O153" s="299"/>
      <c r="P153" s="299"/>
      <c r="Q153" s="299"/>
      <c r="R153" s="299"/>
      <c r="S153" s="299"/>
      <c r="T153" s="299"/>
      <c r="U153" s="299"/>
      <c r="V153" s="299"/>
      <c r="W153" s="299"/>
      <c r="X153" s="299"/>
      <c r="Y153" s="299"/>
      <c r="Z153" s="299"/>
      <c r="AA153" s="299"/>
      <c r="AB153" s="299"/>
      <c r="AC153" s="299"/>
      <c r="AD153" s="299"/>
      <c r="AE153" s="299"/>
      <c r="AF153" s="299"/>
      <c r="AG153" s="299"/>
      <c r="AH153" s="299"/>
      <c r="AI153" s="299"/>
      <c r="AJ153" s="299"/>
      <c r="AK153" s="299"/>
      <c r="AL153" s="299"/>
      <c r="AM153" s="299"/>
      <c r="AN153" s="299"/>
      <c r="AO153" s="299"/>
      <c r="AP153" s="299"/>
      <c r="AQ153" s="299"/>
      <c r="AR153" s="299"/>
      <c r="AS153" s="299"/>
      <c r="AT153" s="299"/>
      <c r="AU153" s="299"/>
      <c r="AV153" s="299"/>
      <c r="AW153" s="299"/>
      <c r="AX153" s="299"/>
      <c r="AY153" s="299"/>
      <c r="AZ153" s="299"/>
      <c r="BA153" s="299"/>
      <c r="BB153" s="299"/>
      <c r="BC153" s="299"/>
      <c r="BD153" s="299"/>
      <c r="BE153" s="299"/>
      <c r="BF153" s="299"/>
      <c r="BG153" s="299"/>
      <c r="BH153" s="299"/>
      <c r="BI153" s="299"/>
      <c r="BJ153" s="299"/>
      <c r="BK153" s="299"/>
      <c r="BL153" s="299"/>
      <c r="BM153" s="299"/>
      <c r="BN153" s="299"/>
      <c r="BO153" s="299"/>
      <c r="BP153" s="299"/>
      <c r="BQ153" s="299"/>
      <c r="BR153" s="299"/>
      <c r="BS153" s="299"/>
      <c r="BT153" s="299"/>
      <c r="BU153" s="299"/>
      <c r="BV153" s="299"/>
      <c r="BW153" s="299"/>
      <c r="BX153" s="299"/>
      <c r="BY153" s="299"/>
      <c r="BZ153" s="299"/>
      <c r="CA153" s="299"/>
      <c r="CB153" s="299"/>
      <c r="CC153" s="299"/>
      <c r="CD153" s="299"/>
      <c r="CE153" s="299"/>
      <c r="CF153" s="299"/>
      <c r="CG153" s="299"/>
      <c r="CH153" s="299"/>
      <c r="CI153" s="299"/>
      <c r="CJ153" s="299"/>
      <c r="CK153" s="299"/>
      <c r="CL153" s="299"/>
      <c r="CM153" s="299"/>
      <c r="CN153" s="299"/>
      <c r="CO153" s="299"/>
      <c r="CP153" s="299"/>
      <c r="CQ153" s="299"/>
      <c r="CR153" s="299"/>
      <c r="CS153" s="299"/>
      <c r="CT153" s="299"/>
      <c r="CU153" s="299"/>
      <c r="CV153" s="299"/>
    </row>
    <row r="154" spans="1:100" s="269" customFormat="1" ht="19.5" hidden="1" customHeight="1">
      <c r="A154" s="291" t="e">
        <f>#REF!</f>
        <v>#REF!</v>
      </c>
      <c r="B154" s="291"/>
      <c r="C154" s="291"/>
      <c r="D154" s="291"/>
      <c r="E154" s="291"/>
      <c r="F154" s="291"/>
      <c r="G154" s="291"/>
      <c r="H154" s="291"/>
      <c r="I154" s="282" t="e">
        <f>#REF!</f>
        <v>#REF!</v>
      </c>
      <c r="J154" s="912" t="e">
        <f>#REF!</f>
        <v>#REF!</v>
      </c>
      <c r="K154" s="912"/>
      <c r="L154" s="912"/>
      <c r="M154" s="912"/>
      <c r="N154" s="299"/>
      <c r="O154" s="299"/>
      <c r="P154" s="299"/>
      <c r="Q154" s="299"/>
      <c r="R154" s="299"/>
      <c r="S154" s="299"/>
      <c r="T154" s="299"/>
      <c r="U154" s="299"/>
      <c r="V154" s="299"/>
      <c r="W154" s="299"/>
      <c r="X154" s="299"/>
      <c r="Y154" s="299"/>
      <c r="Z154" s="299"/>
      <c r="AA154" s="299"/>
      <c r="AB154" s="299"/>
      <c r="AC154" s="299"/>
      <c r="AD154" s="299"/>
      <c r="AE154" s="299"/>
      <c r="AF154" s="299"/>
      <c r="AG154" s="299"/>
      <c r="AH154" s="299"/>
      <c r="AI154" s="299"/>
      <c r="AJ154" s="299"/>
      <c r="AK154" s="299"/>
      <c r="AL154" s="299"/>
      <c r="AM154" s="299"/>
      <c r="AN154" s="299"/>
      <c r="AO154" s="299"/>
      <c r="AP154" s="299"/>
      <c r="AQ154" s="299"/>
      <c r="AR154" s="299"/>
      <c r="AS154" s="299"/>
      <c r="AT154" s="299"/>
      <c r="AU154" s="299"/>
      <c r="AV154" s="299"/>
      <c r="AW154" s="299"/>
      <c r="AX154" s="299"/>
      <c r="AY154" s="299"/>
      <c r="AZ154" s="299"/>
      <c r="BA154" s="299"/>
      <c r="BB154" s="299"/>
      <c r="BC154" s="299"/>
      <c r="BD154" s="299"/>
      <c r="BE154" s="299"/>
      <c r="BF154" s="299"/>
      <c r="BG154" s="299"/>
      <c r="BH154" s="299"/>
      <c r="BI154" s="299"/>
      <c r="BJ154" s="299"/>
      <c r="BK154" s="299"/>
      <c r="BL154" s="299"/>
      <c r="BM154" s="299"/>
      <c r="BN154" s="299"/>
      <c r="BO154" s="299"/>
      <c r="BP154" s="299"/>
      <c r="BQ154" s="299"/>
      <c r="BR154" s="299"/>
      <c r="BS154" s="299"/>
      <c r="BT154" s="299"/>
      <c r="BU154" s="299"/>
      <c r="BV154" s="299"/>
      <c r="BW154" s="299"/>
      <c r="BX154" s="299"/>
      <c r="BY154" s="299"/>
      <c r="BZ154" s="299"/>
      <c r="CA154" s="299"/>
      <c r="CB154" s="299"/>
      <c r="CC154" s="299"/>
      <c r="CD154" s="299"/>
      <c r="CE154" s="299"/>
      <c r="CF154" s="299"/>
      <c r="CG154" s="299"/>
      <c r="CH154" s="299"/>
      <c r="CI154" s="299"/>
      <c r="CJ154" s="299"/>
      <c r="CK154" s="299"/>
      <c r="CL154" s="299"/>
      <c r="CM154" s="299"/>
      <c r="CN154" s="299"/>
      <c r="CO154" s="299"/>
      <c r="CP154" s="299"/>
      <c r="CQ154" s="299"/>
      <c r="CR154" s="299"/>
      <c r="CS154" s="299"/>
      <c r="CT154" s="299"/>
      <c r="CU154" s="299"/>
      <c r="CV154" s="299"/>
    </row>
    <row r="155" spans="1:100" s="269" customFormat="1" ht="19.5" hidden="1" customHeight="1">
      <c r="A155" s="291"/>
      <c r="B155" s="291"/>
      <c r="C155" s="291"/>
      <c r="D155" s="291"/>
      <c r="E155" s="291"/>
      <c r="F155" s="291"/>
      <c r="G155" s="291"/>
      <c r="H155" s="291"/>
      <c r="I155" s="280" t="e">
        <f>#REF!</f>
        <v>#REF!</v>
      </c>
      <c r="J155" s="912" t="e">
        <f>#REF!</f>
        <v>#REF!</v>
      </c>
      <c r="K155" s="912"/>
      <c r="L155" s="912"/>
      <c r="M155" s="912"/>
      <c r="N155" s="299"/>
      <c r="O155" s="299"/>
      <c r="P155" s="299"/>
      <c r="Q155" s="299"/>
      <c r="R155" s="299"/>
      <c r="S155" s="299"/>
      <c r="T155" s="299"/>
      <c r="U155" s="299"/>
      <c r="V155" s="299"/>
      <c r="W155" s="299"/>
      <c r="X155" s="299"/>
      <c r="Y155" s="299"/>
      <c r="Z155" s="299"/>
      <c r="AA155" s="299"/>
      <c r="AB155" s="299"/>
      <c r="AC155" s="299"/>
      <c r="AD155" s="299"/>
      <c r="AE155" s="299"/>
      <c r="AF155" s="299"/>
      <c r="AG155" s="299"/>
      <c r="AH155" s="299"/>
      <c r="AI155" s="299"/>
      <c r="AJ155" s="299"/>
      <c r="AK155" s="299"/>
      <c r="AL155" s="299"/>
      <c r="AM155" s="299"/>
      <c r="AN155" s="299"/>
      <c r="AO155" s="299"/>
      <c r="AP155" s="299"/>
      <c r="AQ155" s="299"/>
      <c r="AR155" s="299"/>
      <c r="AS155" s="299"/>
      <c r="AT155" s="299"/>
      <c r="AU155" s="299"/>
      <c r="AV155" s="299"/>
      <c r="AW155" s="299"/>
      <c r="AX155" s="299"/>
      <c r="AY155" s="299"/>
      <c r="AZ155" s="299"/>
      <c r="BA155" s="299"/>
      <c r="BB155" s="299"/>
      <c r="BC155" s="299"/>
      <c r="BD155" s="299"/>
      <c r="BE155" s="299"/>
      <c r="BF155" s="299"/>
      <c r="BG155" s="299"/>
      <c r="BH155" s="299"/>
      <c r="BI155" s="299"/>
      <c r="BJ155" s="299"/>
      <c r="BK155" s="299"/>
      <c r="BL155" s="299"/>
      <c r="BM155" s="299"/>
      <c r="BN155" s="299"/>
      <c r="BO155" s="299"/>
      <c r="BP155" s="299"/>
      <c r="BQ155" s="299"/>
      <c r="BR155" s="299"/>
      <c r="BS155" s="299"/>
      <c r="BT155" s="299"/>
      <c r="BU155" s="299"/>
      <c r="BV155" s="299"/>
      <c r="BW155" s="299"/>
      <c r="BX155" s="299"/>
      <c r="BY155" s="299"/>
      <c r="BZ155" s="299"/>
      <c r="CA155" s="299"/>
      <c r="CB155" s="299"/>
      <c r="CC155" s="299"/>
      <c r="CD155" s="299"/>
      <c r="CE155" s="299"/>
      <c r="CF155" s="299"/>
      <c r="CG155" s="299"/>
      <c r="CH155" s="299"/>
      <c r="CI155" s="299"/>
      <c r="CJ155" s="299"/>
      <c r="CK155" s="299"/>
      <c r="CL155" s="299"/>
      <c r="CM155" s="299"/>
      <c r="CN155" s="299"/>
      <c r="CO155" s="299"/>
      <c r="CP155" s="299"/>
      <c r="CQ155" s="299"/>
      <c r="CR155" s="299"/>
      <c r="CS155" s="299"/>
      <c r="CT155" s="299"/>
      <c r="CU155" s="299"/>
      <c r="CV155" s="299"/>
    </row>
    <row r="156" spans="1:100" s="269" customFormat="1" ht="19.5" hidden="1" customHeight="1">
      <c r="A156" s="284" t="e">
        <f>#REF!</f>
        <v>#REF!</v>
      </c>
      <c r="B156" s="284"/>
      <c r="C156" s="284"/>
      <c r="D156" s="284"/>
      <c r="E156" s="284"/>
      <c r="F156" s="284"/>
      <c r="G156" s="284"/>
      <c r="H156" s="284"/>
      <c r="I156" s="280" t="e">
        <f>#REF!</f>
        <v>#REF!</v>
      </c>
      <c r="J156" s="912"/>
      <c r="K156" s="912"/>
      <c r="L156" s="912"/>
      <c r="M156" s="912"/>
      <c r="N156" s="299"/>
      <c r="O156" s="299"/>
      <c r="P156" s="299"/>
      <c r="Q156" s="299"/>
      <c r="R156" s="299"/>
      <c r="S156" s="299"/>
      <c r="T156" s="299"/>
      <c r="U156" s="299"/>
      <c r="V156" s="299"/>
      <c r="W156" s="299"/>
      <c r="X156" s="299"/>
      <c r="Y156" s="299"/>
      <c r="Z156" s="299"/>
      <c r="AA156" s="299"/>
      <c r="AB156" s="299"/>
      <c r="AC156" s="299"/>
      <c r="AD156" s="299"/>
      <c r="AE156" s="299"/>
      <c r="AF156" s="299"/>
      <c r="AG156" s="299"/>
      <c r="AH156" s="299"/>
      <c r="AI156" s="299"/>
      <c r="AJ156" s="299"/>
      <c r="AK156" s="299"/>
      <c r="AL156" s="299"/>
      <c r="AM156" s="299"/>
      <c r="AN156" s="299"/>
      <c r="AO156" s="299"/>
      <c r="AP156" s="299"/>
      <c r="AQ156" s="299"/>
      <c r="AR156" s="299"/>
      <c r="AS156" s="299"/>
      <c r="AT156" s="299"/>
      <c r="AU156" s="299"/>
      <c r="AV156" s="299"/>
      <c r="AW156" s="299"/>
      <c r="AX156" s="299"/>
      <c r="AY156" s="299"/>
      <c r="AZ156" s="299"/>
      <c r="BA156" s="299"/>
      <c r="BB156" s="299"/>
      <c r="BC156" s="299"/>
      <c r="BD156" s="299"/>
      <c r="BE156" s="299"/>
      <c r="BF156" s="299"/>
      <c r="BG156" s="299"/>
      <c r="BH156" s="299"/>
      <c r="BI156" s="299"/>
      <c r="BJ156" s="299"/>
      <c r="BK156" s="299"/>
      <c r="BL156" s="299"/>
      <c r="BM156" s="299"/>
      <c r="BN156" s="299"/>
      <c r="BO156" s="299"/>
      <c r="BP156" s="299"/>
      <c r="BQ156" s="299"/>
      <c r="BR156" s="299"/>
      <c r="BS156" s="299"/>
      <c r="BT156" s="299"/>
      <c r="BU156" s="299"/>
      <c r="BV156" s="299"/>
      <c r="BW156" s="299"/>
      <c r="BX156" s="299"/>
      <c r="BY156" s="299"/>
      <c r="BZ156" s="299"/>
      <c r="CA156" s="299"/>
      <c r="CB156" s="299"/>
      <c r="CC156" s="299"/>
      <c r="CD156" s="299"/>
      <c r="CE156" s="299"/>
      <c r="CF156" s="299"/>
      <c r="CG156" s="299"/>
      <c r="CH156" s="299"/>
      <c r="CI156" s="299"/>
      <c r="CJ156" s="299"/>
      <c r="CK156" s="299"/>
      <c r="CL156" s="299"/>
      <c r="CM156" s="299"/>
      <c r="CN156" s="299"/>
      <c r="CO156" s="299"/>
      <c r="CP156" s="299"/>
      <c r="CQ156" s="299"/>
      <c r="CR156" s="299"/>
      <c r="CS156" s="299"/>
      <c r="CT156" s="299"/>
      <c r="CU156" s="299"/>
      <c r="CV156" s="299"/>
    </row>
    <row r="157" spans="1:100" s="269" customFormat="1" ht="19.5" hidden="1" customHeight="1">
      <c r="A157" s="281" t="e">
        <f>#REF!</f>
        <v>#REF!</v>
      </c>
      <c r="B157" s="281"/>
      <c r="C157" s="281"/>
      <c r="D157" s="281"/>
      <c r="E157" s="281"/>
      <c r="F157" s="281"/>
      <c r="G157" s="281"/>
      <c r="H157" s="281"/>
      <c r="I157" s="282" t="e">
        <f>#REF!</f>
        <v>#REF!</v>
      </c>
      <c r="J157" s="912" t="e">
        <f>#REF!</f>
        <v>#REF!</v>
      </c>
      <c r="K157" s="912"/>
      <c r="L157" s="912"/>
      <c r="M157" s="912"/>
      <c r="N157" s="299"/>
      <c r="O157" s="299"/>
      <c r="P157" s="299"/>
      <c r="Q157" s="299"/>
      <c r="R157" s="299"/>
      <c r="S157" s="299"/>
      <c r="T157" s="299"/>
      <c r="U157" s="299"/>
      <c r="V157" s="299"/>
      <c r="W157" s="299"/>
      <c r="X157" s="299"/>
      <c r="Y157" s="299"/>
      <c r="Z157" s="299"/>
      <c r="AA157" s="299"/>
      <c r="AB157" s="299"/>
      <c r="AC157" s="299"/>
      <c r="AD157" s="299"/>
      <c r="AE157" s="299"/>
      <c r="AF157" s="299"/>
      <c r="AG157" s="299"/>
      <c r="AH157" s="299"/>
      <c r="AI157" s="299"/>
      <c r="AJ157" s="299"/>
      <c r="AK157" s="299"/>
      <c r="AL157" s="299"/>
      <c r="AM157" s="299"/>
      <c r="AN157" s="299"/>
      <c r="AO157" s="299"/>
      <c r="AP157" s="299"/>
      <c r="AQ157" s="299"/>
      <c r="AR157" s="299"/>
      <c r="AS157" s="299"/>
      <c r="AT157" s="299"/>
      <c r="AU157" s="299"/>
      <c r="AV157" s="299"/>
      <c r="AW157" s="299"/>
      <c r="AX157" s="299"/>
      <c r="AY157" s="299"/>
      <c r="AZ157" s="299"/>
      <c r="BA157" s="299"/>
      <c r="BB157" s="299"/>
      <c r="BC157" s="299"/>
      <c r="BD157" s="299"/>
      <c r="BE157" s="299"/>
      <c r="BF157" s="299"/>
      <c r="BG157" s="299"/>
      <c r="BH157" s="299"/>
      <c r="BI157" s="299"/>
      <c r="BJ157" s="299"/>
      <c r="BK157" s="299"/>
      <c r="BL157" s="299"/>
      <c r="BM157" s="299"/>
      <c r="BN157" s="299"/>
      <c r="BO157" s="299"/>
      <c r="BP157" s="299"/>
      <c r="BQ157" s="299"/>
      <c r="BR157" s="299"/>
      <c r="BS157" s="299"/>
      <c r="BT157" s="299"/>
      <c r="BU157" s="299"/>
      <c r="BV157" s="299"/>
      <c r="BW157" s="299"/>
      <c r="BX157" s="299"/>
      <c r="BY157" s="299"/>
      <c r="BZ157" s="299"/>
      <c r="CA157" s="299"/>
      <c r="CB157" s="299"/>
      <c r="CC157" s="299"/>
      <c r="CD157" s="299"/>
      <c r="CE157" s="299"/>
      <c r="CF157" s="299"/>
      <c r="CG157" s="299"/>
      <c r="CH157" s="299"/>
      <c r="CI157" s="299"/>
      <c r="CJ157" s="299"/>
      <c r="CK157" s="299"/>
      <c r="CL157" s="299"/>
      <c r="CM157" s="299"/>
      <c r="CN157" s="299"/>
      <c r="CO157" s="299"/>
      <c r="CP157" s="299"/>
      <c r="CQ157" s="299"/>
      <c r="CR157" s="299"/>
      <c r="CS157" s="299"/>
      <c r="CT157" s="299"/>
      <c r="CU157" s="299"/>
      <c r="CV157" s="299"/>
    </row>
    <row r="158" spans="1:100" s="269" customFormat="1" ht="19.5" hidden="1" customHeight="1">
      <c r="A158" s="281" t="e">
        <f>#REF!</f>
        <v>#REF!</v>
      </c>
      <c r="B158" s="281"/>
      <c r="C158" s="281"/>
      <c r="D158" s="281"/>
      <c r="E158" s="281"/>
      <c r="F158" s="281"/>
      <c r="G158" s="281"/>
      <c r="H158" s="281"/>
      <c r="I158" s="282" t="e">
        <f>#REF!</f>
        <v>#REF!</v>
      </c>
      <c r="J158" s="912" t="e">
        <f>#REF!</f>
        <v>#REF!</v>
      </c>
      <c r="K158" s="912"/>
      <c r="L158" s="912"/>
      <c r="M158" s="912"/>
      <c r="N158" s="299"/>
      <c r="O158" s="299"/>
      <c r="P158" s="299"/>
      <c r="Q158" s="299"/>
      <c r="R158" s="299"/>
      <c r="S158" s="299"/>
      <c r="T158" s="299"/>
      <c r="U158" s="299"/>
      <c r="V158" s="299"/>
      <c r="W158" s="299"/>
      <c r="X158" s="299"/>
      <c r="Y158" s="299"/>
      <c r="Z158" s="299"/>
      <c r="AA158" s="299"/>
      <c r="AB158" s="299"/>
      <c r="AC158" s="299"/>
      <c r="AD158" s="299"/>
      <c r="AE158" s="299"/>
      <c r="AF158" s="299"/>
      <c r="AG158" s="299"/>
      <c r="AH158" s="299"/>
      <c r="AI158" s="299"/>
      <c r="AJ158" s="299"/>
      <c r="AK158" s="299"/>
      <c r="AL158" s="299"/>
      <c r="AM158" s="299"/>
      <c r="AN158" s="299"/>
      <c r="AO158" s="299"/>
      <c r="AP158" s="299"/>
      <c r="AQ158" s="299"/>
      <c r="AR158" s="299"/>
      <c r="AS158" s="299"/>
      <c r="AT158" s="299"/>
      <c r="AU158" s="299"/>
      <c r="AV158" s="299"/>
      <c r="AW158" s="299"/>
      <c r="AX158" s="299"/>
      <c r="AY158" s="299"/>
      <c r="AZ158" s="299"/>
      <c r="BA158" s="299"/>
      <c r="BB158" s="299"/>
      <c r="BC158" s="299"/>
      <c r="BD158" s="299"/>
      <c r="BE158" s="299"/>
      <c r="BF158" s="299"/>
      <c r="BG158" s="299"/>
      <c r="BH158" s="299"/>
      <c r="BI158" s="299"/>
      <c r="BJ158" s="299"/>
      <c r="BK158" s="299"/>
      <c r="BL158" s="299"/>
      <c r="BM158" s="299"/>
      <c r="BN158" s="299"/>
      <c r="BO158" s="299"/>
      <c r="BP158" s="299"/>
      <c r="BQ158" s="299"/>
      <c r="BR158" s="299"/>
      <c r="BS158" s="299"/>
      <c r="BT158" s="299"/>
      <c r="BU158" s="299"/>
      <c r="BV158" s="299"/>
      <c r="BW158" s="299"/>
      <c r="BX158" s="299"/>
      <c r="BY158" s="299"/>
      <c r="BZ158" s="299"/>
      <c r="CA158" s="299"/>
      <c r="CB158" s="299"/>
      <c r="CC158" s="299"/>
      <c r="CD158" s="299"/>
      <c r="CE158" s="299"/>
      <c r="CF158" s="299"/>
      <c r="CG158" s="299"/>
      <c r="CH158" s="299"/>
      <c r="CI158" s="299"/>
      <c r="CJ158" s="299"/>
      <c r="CK158" s="299"/>
      <c r="CL158" s="299"/>
      <c r="CM158" s="299"/>
      <c r="CN158" s="299"/>
      <c r="CO158" s="299"/>
      <c r="CP158" s="299"/>
      <c r="CQ158" s="299"/>
      <c r="CR158" s="299"/>
      <c r="CS158" s="299"/>
      <c r="CT158" s="299"/>
      <c r="CU158" s="299"/>
      <c r="CV158" s="299"/>
    </row>
    <row r="159" spans="1:100" s="269" customFormat="1" ht="19.5" hidden="1" customHeight="1">
      <c r="A159" s="291"/>
      <c r="B159" s="291"/>
      <c r="C159" s="291"/>
      <c r="D159" s="291"/>
      <c r="E159" s="291"/>
      <c r="F159" s="291"/>
      <c r="G159" s="291"/>
      <c r="H159" s="291"/>
      <c r="I159" s="280" t="e">
        <f>#REF!</f>
        <v>#REF!</v>
      </c>
      <c r="J159" s="912" t="e">
        <f>#REF!</f>
        <v>#REF!</v>
      </c>
      <c r="K159" s="912"/>
      <c r="L159" s="912"/>
      <c r="M159" s="912"/>
      <c r="N159" s="299"/>
      <c r="O159" s="299"/>
      <c r="P159" s="299"/>
      <c r="Q159" s="299"/>
      <c r="R159" s="299"/>
      <c r="S159" s="299"/>
      <c r="T159" s="299"/>
      <c r="U159" s="299"/>
      <c r="V159" s="299"/>
      <c r="W159" s="299"/>
      <c r="X159" s="299"/>
      <c r="Y159" s="299"/>
      <c r="Z159" s="299"/>
      <c r="AA159" s="299"/>
      <c r="AB159" s="299"/>
      <c r="AC159" s="299"/>
      <c r="AD159" s="299"/>
      <c r="AE159" s="299"/>
      <c r="AF159" s="299"/>
      <c r="AG159" s="299"/>
      <c r="AH159" s="299"/>
      <c r="AI159" s="299"/>
      <c r="AJ159" s="299"/>
      <c r="AK159" s="299"/>
      <c r="AL159" s="299"/>
      <c r="AM159" s="299"/>
      <c r="AN159" s="299"/>
      <c r="AO159" s="299"/>
      <c r="AP159" s="299"/>
      <c r="AQ159" s="299"/>
      <c r="AR159" s="299"/>
      <c r="AS159" s="299"/>
      <c r="AT159" s="299"/>
      <c r="AU159" s="299"/>
      <c r="AV159" s="299"/>
      <c r="AW159" s="299"/>
      <c r="AX159" s="299"/>
      <c r="AY159" s="299"/>
      <c r="AZ159" s="299"/>
      <c r="BA159" s="299"/>
      <c r="BB159" s="299"/>
      <c r="BC159" s="299"/>
      <c r="BD159" s="299"/>
      <c r="BE159" s="299"/>
      <c r="BF159" s="299"/>
      <c r="BG159" s="299"/>
      <c r="BH159" s="299"/>
      <c r="BI159" s="299"/>
      <c r="BJ159" s="299"/>
      <c r="BK159" s="299"/>
      <c r="BL159" s="299"/>
      <c r="BM159" s="299"/>
      <c r="BN159" s="299"/>
      <c r="BO159" s="299"/>
      <c r="BP159" s="299"/>
      <c r="BQ159" s="299"/>
      <c r="BR159" s="299"/>
      <c r="BS159" s="299"/>
      <c r="BT159" s="299"/>
      <c r="BU159" s="299"/>
      <c r="BV159" s="299"/>
      <c r="BW159" s="299"/>
      <c r="BX159" s="299"/>
      <c r="BY159" s="299"/>
      <c r="BZ159" s="299"/>
      <c r="CA159" s="299"/>
      <c r="CB159" s="299"/>
      <c r="CC159" s="299"/>
      <c r="CD159" s="299"/>
      <c r="CE159" s="299"/>
      <c r="CF159" s="299"/>
      <c r="CG159" s="299"/>
      <c r="CH159" s="299"/>
      <c r="CI159" s="299"/>
      <c r="CJ159" s="299"/>
      <c r="CK159" s="299"/>
      <c r="CL159" s="299"/>
      <c r="CM159" s="299"/>
      <c r="CN159" s="299"/>
      <c r="CO159" s="299"/>
      <c r="CP159" s="299"/>
      <c r="CQ159" s="299"/>
      <c r="CR159" s="299"/>
      <c r="CS159" s="299"/>
      <c r="CT159" s="299"/>
      <c r="CU159" s="299"/>
      <c r="CV159" s="299"/>
    </row>
    <row r="160" spans="1:100" s="269" customFormat="1" ht="33" hidden="1" customHeight="1">
      <c r="A160" s="284" t="e">
        <f>#REF!</f>
        <v>#REF!</v>
      </c>
      <c r="B160" s="284"/>
      <c r="C160" s="284"/>
      <c r="D160" s="284"/>
      <c r="E160" s="284"/>
      <c r="F160" s="284"/>
      <c r="G160" s="284"/>
      <c r="H160" s="284"/>
      <c r="I160" s="280" t="e">
        <f>#REF!</f>
        <v>#REF!</v>
      </c>
      <c r="J160" s="912"/>
      <c r="K160" s="912"/>
      <c r="L160" s="912"/>
      <c r="M160" s="912"/>
      <c r="N160" s="299"/>
      <c r="O160" s="299"/>
      <c r="P160" s="299"/>
      <c r="Q160" s="299"/>
      <c r="R160" s="299"/>
      <c r="S160" s="299"/>
      <c r="T160" s="299"/>
      <c r="U160" s="299"/>
      <c r="V160" s="299"/>
      <c r="W160" s="299"/>
      <c r="X160" s="299"/>
      <c r="Y160" s="299"/>
      <c r="Z160" s="299"/>
      <c r="AA160" s="299"/>
      <c r="AB160" s="299"/>
      <c r="AC160" s="299"/>
      <c r="AD160" s="299"/>
      <c r="AE160" s="299"/>
      <c r="AF160" s="299"/>
      <c r="AG160" s="299"/>
      <c r="AH160" s="299"/>
      <c r="AI160" s="299"/>
      <c r="AJ160" s="299"/>
      <c r="AK160" s="299"/>
      <c r="AL160" s="299"/>
      <c r="AM160" s="299"/>
      <c r="AN160" s="299"/>
      <c r="AO160" s="299"/>
      <c r="AP160" s="299"/>
      <c r="AQ160" s="299"/>
      <c r="AR160" s="299"/>
      <c r="AS160" s="299"/>
      <c r="AT160" s="299"/>
      <c r="AU160" s="299"/>
      <c r="AV160" s="299"/>
      <c r="AW160" s="299"/>
      <c r="AX160" s="299"/>
      <c r="AY160" s="299"/>
      <c r="AZ160" s="299"/>
      <c r="BA160" s="299"/>
      <c r="BB160" s="299"/>
      <c r="BC160" s="299"/>
      <c r="BD160" s="299"/>
      <c r="BE160" s="299"/>
      <c r="BF160" s="299"/>
      <c r="BG160" s="299"/>
      <c r="BH160" s="299"/>
      <c r="BI160" s="299"/>
      <c r="BJ160" s="299"/>
      <c r="BK160" s="299"/>
      <c r="BL160" s="299"/>
      <c r="BM160" s="299"/>
      <c r="BN160" s="299"/>
      <c r="BO160" s="299"/>
      <c r="BP160" s="299"/>
      <c r="BQ160" s="299"/>
      <c r="BR160" s="299"/>
      <c r="BS160" s="299"/>
      <c r="BT160" s="299"/>
      <c r="BU160" s="299"/>
      <c r="BV160" s="299"/>
      <c r="BW160" s="299"/>
      <c r="BX160" s="299"/>
      <c r="BY160" s="299"/>
      <c r="BZ160" s="299"/>
      <c r="CA160" s="299"/>
      <c r="CB160" s="299"/>
      <c r="CC160" s="299"/>
      <c r="CD160" s="299"/>
      <c r="CE160" s="299"/>
      <c r="CF160" s="299"/>
      <c r="CG160" s="299"/>
      <c r="CH160" s="299"/>
      <c r="CI160" s="299"/>
      <c r="CJ160" s="299"/>
      <c r="CK160" s="299"/>
      <c r="CL160" s="299"/>
      <c r="CM160" s="299"/>
      <c r="CN160" s="299"/>
      <c r="CO160" s="299"/>
      <c r="CP160" s="299"/>
      <c r="CQ160" s="299"/>
      <c r="CR160" s="299"/>
      <c r="CS160" s="299"/>
      <c r="CT160" s="299"/>
      <c r="CU160" s="299"/>
      <c r="CV160" s="299"/>
    </row>
    <row r="161" spans="1:100" s="269" customFormat="1" ht="19.5" hidden="1" customHeight="1">
      <c r="A161" s="281" t="e">
        <f>#REF!</f>
        <v>#REF!</v>
      </c>
      <c r="B161" s="281"/>
      <c r="C161" s="281"/>
      <c r="D161" s="281"/>
      <c r="E161" s="281"/>
      <c r="F161" s="281"/>
      <c r="G161" s="281"/>
      <c r="H161" s="281"/>
      <c r="I161" s="282" t="e">
        <f>#REF!</f>
        <v>#REF!</v>
      </c>
      <c r="J161" s="912" t="e">
        <f>#REF!</f>
        <v>#REF!</v>
      </c>
      <c r="K161" s="912"/>
      <c r="L161" s="912"/>
      <c r="M161" s="912"/>
      <c r="N161" s="299"/>
      <c r="O161" s="299"/>
      <c r="P161" s="299"/>
      <c r="Q161" s="299"/>
      <c r="R161" s="299"/>
      <c r="S161" s="299"/>
      <c r="T161" s="299"/>
      <c r="U161" s="299"/>
      <c r="V161" s="299"/>
      <c r="W161" s="299"/>
      <c r="X161" s="299"/>
      <c r="Y161" s="299"/>
      <c r="Z161" s="299"/>
      <c r="AA161" s="299"/>
      <c r="AB161" s="299"/>
      <c r="AC161" s="299"/>
      <c r="AD161" s="299"/>
      <c r="AE161" s="299"/>
      <c r="AF161" s="299"/>
      <c r="AG161" s="299"/>
      <c r="AH161" s="299"/>
      <c r="AI161" s="299"/>
      <c r="AJ161" s="299"/>
      <c r="AK161" s="299"/>
      <c r="AL161" s="299"/>
      <c r="AM161" s="299"/>
      <c r="AN161" s="299"/>
      <c r="AO161" s="299"/>
      <c r="AP161" s="299"/>
      <c r="AQ161" s="299"/>
      <c r="AR161" s="299"/>
      <c r="AS161" s="299"/>
      <c r="AT161" s="299"/>
      <c r="AU161" s="299"/>
      <c r="AV161" s="299"/>
      <c r="AW161" s="299"/>
      <c r="AX161" s="299"/>
      <c r="AY161" s="299"/>
      <c r="AZ161" s="299"/>
      <c r="BA161" s="299"/>
      <c r="BB161" s="299"/>
      <c r="BC161" s="299"/>
      <c r="BD161" s="299"/>
      <c r="BE161" s="299"/>
      <c r="BF161" s="299"/>
      <c r="BG161" s="299"/>
      <c r="BH161" s="299"/>
      <c r="BI161" s="299"/>
      <c r="BJ161" s="299"/>
      <c r="BK161" s="299"/>
      <c r="BL161" s="299"/>
      <c r="BM161" s="299"/>
      <c r="BN161" s="299"/>
      <c r="BO161" s="299"/>
      <c r="BP161" s="299"/>
      <c r="BQ161" s="299"/>
      <c r="BR161" s="299"/>
      <c r="BS161" s="299"/>
      <c r="BT161" s="299"/>
      <c r="BU161" s="299"/>
      <c r="BV161" s="299"/>
      <c r="BW161" s="299"/>
      <c r="BX161" s="299"/>
      <c r="BY161" s="299"/>
      <c r="BZ161" s="299"/>
      <c r="CA161" s="299"/>
      <c r="CB161" s="299"/>
      <c r="CC161" s="299"/>
      <c r="CD161" s="299"/>
      <c r="CE161" s="299"/>
      <c r="CF161" s="299"/>
      <c r="CG161" s="299"/>
      <c r="CH161" s="299"/>
      <c r="CI161" s="299"/>
      <c r="CJ161" s="299"/>
      <c r="CK161" s="299"/>
      <c r="CL161" s="299"/>
      <c r="CM161" s="299"/>
      <c r="CN161" s="299"/>
      <c r="CO161" s="299"/>
      <c r="CP161" s="299"/>
      <c r="CQ161" s="299"/>
      <c r="CR161" s="299"/>
      <c r="CS161" s="299"/>
      <c r="CT161" s="299"/>
      <c r="CU161" s="299"/>
      <c r="CV161" s="299"/>
    </row>
    <row r="162" spans="1:100" s="269" customFormat="1" ht="19.5" hidden="1" customHeight="1">
      <c r="A162" s="281" t="e">
        <f>#REF!</f>
        <v>#REF!</v>
      </c>
      <c r="B162" s="281"/>
      <c r="C162" s="281"/>
      <c r="D162" s="281"/>
      <c r="E162" s="281"/>
      <c r="F162" s="281"/>
      <c r="G162" s="281"/>
      <c r="H162" s="281"/>
      <c r="I162" s="282" t="e">
        <f>#REF!</f>
        <v>#REF!</v>
      </c>
      <c r="J162" s="912" t="e">
        <f>#REF!</f>
        <v>#REF!</v>
      </c>
      <c r="K162" s="912"/>
      <c r="L162" s="912"/>
      <c r="M162" s="912"/>
      <c r="N162" s="299"/>
      <c r="O162" s="299"/>
      <c r="P162" s="299"/>
      <c r="Q162" s="299"/>
      <c r="R162" s="299"/>
      <c r="S162" s="299"/>
      <c r="T162" s="299"/>
      <c r="U162" s="299"/>
      <c r="V162" s="299"/>
      <c r="W162" s="299"/>
      <c r="X162" s="299"/>
      <c r="Y162" s="299"/>
      <c r="Z162" s="299"/>
      <c r="AA162" s="299"/>
      <c r="AB162" s="299"/>
      <c r="AC162" s="299"/>
      <c r="AD162" s="299"/>
      <c r="AE162" s="299"/>
      <c r="AF162" s="299"/>
      <c r="AG162" s="299"/>
      <c r="AH162" s="299"/>
      <c r="AI162" s="299"/>
      <c r="AJ162" s="299"/>
      <c r="AK162" s="299"/>
      <c r="AL162" s="299"/>
      <c r="AM162" s="299"/>
      <c r="AN162" s="299"/>
      <c r="AO162" s="299"/>
      <c r="AP162" s="299"/>
      <c r="AQ162" s="299"/>
      <c r="AR162" s="299"/>
      <c r="AS162" s="299"/>
      <c r="AT162" s="299"/>
      <c r="AU162" s="299"/>
      <c r="AV162" s="299"/>
      <c r="AW162" s="299"/>
      <c r="AX162" s="299"/>
      <c r="AY162" s="299"/>
      <c r="AZ162" s="299"/>
      <c r="BA162" s="299"/>
      <c r="BB162" s="299"/>
      <c r="BC162" s="299"/>
      <c r="BD162" s="299"/>
      <c r="BE162" s="299"/>
      <c r="BF162" s="299"/>
      <c r="BG162" s="299"/>
      <c r="BH162" s="299"/>
      <c r="BI162" s="299"/>
      <c r="BJ162" s="299"/>
      <c r="BK162" s="299"/>
      <c r="BL162" s="299"/>
      <c r="BM162" s="299"/>
      <c r="BN162" s="299"/>
      <c r="BO162" s="299"/>
      <c r="BP162" s="299"/>
      <c r="BQ162" s="299"/>
      <c r="BR162" s="299"/>
      <c r="BS162" s="299"/>
      <c r="BT162" s="299"/>
      <c r="BU162" s="299"/>
      <c r="BV162" s="299"/>
      <c r="BW162" s="299"/>
      <c r="BX162" s="299"/>
      <c r="BY162" s="299"/>
      <c r="BZ162" s="299"/>
      <c r="CA162" s="299"/>
      <c r="CB162" s="299"/>
      <c r="CC162" s="299"/>
      <c r="CD162" s="299"/>
      <c r="CE162" s="299"/>
      <c r="CF162" s="299"/>
      <c r="CG162" s="299"/>
      <c r="CH162" s="299"/>
      <c r="CI162" s="299"/>
      <c r="CJ162" s="299"/>
      <c r="CK162" s="299"/>
      <c r="CL162" s="299"/>
      <c r="CM162" s="299"/>
      <c r="CN162" s="299"/>
      <c r="CO162" s="299"/>
      <c r="CP162" s="299"/>
      <c r="CQ162" s="299"/>
      <c r="CR162" s="299"/>
      <c r="CS162" s="299"/>
      <c r="CT162" s="299"/>
      <c r="CU162" s="299"/>
      <c r="CV162" s="299"/>
    </row>
    <row r="163" spans="1:100" s="269" customFormat="1" ht="19.5" hidden="1" customHeight="1">
      <c r="A163" s="281" t="e">
        <f>#REF!</f>
        <v>#REF!</v>
      </c>
      <c r="B163" s="281"/>
      <c r="C163" s="281"/>
      <c r="D163" s="281"/>
      <c r="E163" s="281"/>
      <c r="F163" s="281"/>
      <c r="G163" s="281"/>
      <c r="H163" s="281"/>
      <c r="I163" s="282" t="e">
        <f>#REF!</f>
        <v>#REF!</v>
      </c>
      <c r="J163" s="912" t="e">
        <f>#REF!</f>
        <v>#REF!</v>
      </c>
      <c r="K163" s="912"/>
      <c r="L163" s="912"/>
      <c r="M163" s="912"/>
      <c r="N163" s="299"/>
      <c r="O163" s="299"/>
      <c r="P163" s="299"/>
      <c r="Q163" s="299"/>
      <c r="R163" s="299"/>
      <c r="S163" s="299"/>
      <c r="T163" s="299"/>
      <c r="U163" s="299"/>
      <c r="V163" s="299"/>
      <c r="W163" s="299"/>
      <c r="X163" s="299"/>
      <c r="Y163" s="299"/>
      <c r="Z163" s="299"/>
      <c r="AA163" s="299"/>
      <c r="AB163" s="299"/>
      <c r="AC163" s="299"/>
      <c r="AD163" s="299"/>
      <c r="AE163" s="299"/>
      <c r="AF163" s="299"/>
      <c r="AG163" s="299"/>
      <c r="AH163" s="299"/>
      <c r="AI163" s="299"/>
      <c r="AJ163" s="299"/>
      <c r="AK163" s="299"/>
      <c r="AL163" s="299"/>
      <c r="AM163" s="299"/>
      <c r="AN163" s="299"/>
      <c r="AO163" s="299"/>
      <c r="AP163" s="299"/>
      <c r="AQ163" s="299"/>
      <c r="AR163" s="299"/>
      <c r="AS163" s="299"/>
      <c r="AT163" s="299"/>
      <c r="AU163" s="299"/>
      <c r="AV163" s="299"/>
      <c r="AW163" s="299"/>
      <c r="AX163" s="299"/>
      <c r="AY163" s="299"/>
      <c r="AZ163" s="299"/>
      <c r="BA163" s="299"/>
      <c r="BB163" s="299"/>
      <c r="BC163" s="299"/>
      <c r="BD163" s="299"/>
      <c r="BE163" s="299"/>
      <c r="BF163" s="299"/>
      <c r="BG163" s="299"/>
      <c r="BH163" s="299"/>
      <c r="BI163" s="299"/>
      <c r="BJ163" s="299"/>
      <c r="BK163" s="299"/>
      <c r="BL163" s="299"/>
      <c r="BM163" s="299"/>
      <c r="BN163" s="299"/>
      <c r="BO163" s="299"/>
      <c r="BP163" s="299"/>
      <c r="BQ163" s="299"/>
      <c r="BR163" s="299"/>
      <c r="BS163" s="299"/>
      <c r="BT163" s="299"/>
      <c r="BU163" s="299"/>
      <c r="BV163" s="299"/>
      <c r="BW163" s="299"/>
      <c r="BX163" s="299"/>
      <c r="BY163" s="299"/>
      <c r="BZ163" s="299"/>
      <c r="CA163" s="299"/>
      <c r="CB163" s="299"/>
      <c r="CC163" s="299"/>
      <c r="CD163" s="299"/>
      <c r="CE163" s="299"/>
      <c r="CF163" s="299"/>
      <c r="CG163" s="299"/>
      <c r="CH163" s="299"/>
      <c r="CI163" s="299"/>
      <c r="CJ163" s="299"/>
      <c r="CK163" s="299"/>
      <c r="CL163" s="299"/>
      <c r="CM163" s="299"/>
      <c r="CN163" s="299"/>
      <c r="CO163" s="299"/>
      <c r="CP163" s="299"/>
      <c r="CQ163" s="299"/>
      <c r="CR163" s="299"/>
      <c r="CS163" s="299"/>
      <c r="CT163" s="299"/>
      <c r="CU163" s="299"/>
      <c r="CV163" s="299"/>
    </row>
    <row r="164" spans="1:100" s="269" customFormat="1" ht="19.5" hidden="1" customHeight="1">
      <c r="A164" s="281" t="e">
        <f>#REF!</f>
        <v>#REF!</v>
      </c>
      <c r="B164" s="281"/>
      <c r="C164" s="281"/>
      <c r="D164" s="281"/>
      <c r="E164" s="281"/>
      <c r="F164" s="281"/>
      <c r="G164" s="281"/>
      <c r="H164" s="281"/>
      <c r="I164" s="282" t="e">
        <f>#REF!</f>
        <v>#REF!</v>
      </c>
      <c r="J164" s="912" t="e">
        <f>#REF!</f>
        <v>#REF!</v>
      </c>
      <c r="K164" s="912"/>
      <c r="L164" s="912"/>
      <c r="M164" s="912"/>
      <c r="N164" s="299"/>
      <c r="O164" s="299"/>
      <c r="P164" s="299"/>
      <c r="Q164" s="299"/>
      <c r="R164" s="299"/>
      <c r="S164" s="299"/>
      <c r="T164" s="299"/>
      <c r="U164" s="299"/>
      <c r="V164" s="299"/>
      <c r="W164" s="299"/>
      <c r="X164" s="299"/>
      <c r="Y164" s="299"/>
      <c r="Z164" s="299"/>
      <c r="AA164" s="299"/>
      <c r="AB164" s="299"/>
      <c r="AC164" s="299"/>
      <c r="AD164" s="299"/>
      <c r="AE164" s="299"/>
      <c r="AF164" s="299"/>
      <c r="AG164" s="299"/>
      <c r="AH164" s="299"/>
      <c r="AI164" s="299"/>
      <c r="AJ164" s="299"/>
      <c r="AK164" s="299"/>
      <c r="AL164" s="299"/>
      <c r="AM164" s="299"/>
      <c r="AN164" s="299"/>
      <c r="AO164" s="299"/>
      <c r="AP164" s="299"/>
      <c r="AQ164" s="299"/>
      <c r="AR164" s="299"/>
      <c r="AS164" s="299"/>
      <c r="AT164" s="299"/>
      <c r="AU164" s="299"/>
      <c r="AV164" s="299"/>
      <c r="AW164" s="299"/>
      <c r="AX164" s="299"/>
      <c r="AY164" s="299"/>
      <c r="AZ164" s="299"/>
      <c r="BA164" s="299"/>
      <c r="BB164" s="299"/>
      <c r="BC164" s="299"/>
      <c r="BD164" s="299"/>
      <c r="BE164" s="299"/>
      <c r="BF164" s="299"/>
      <c r="BG164" s="299"/>
      <c r="BH164" s="299"/>
      <c r="BI164" s="299"/>
      <c r="BJ164" s="299"/>
      <c r="BK164" s="299"/>
      <c r="BL164" s="299"/>
      <c r="BM164" s="299"/>
      <c r="BN164" s="299"/>
      <c r="BO164" s="299"/>
      <c r="BP164" s="299"/>
      <c r="BQ164" s="299"/>
      <c r="BR164" s="299"/>
      <c r="BS164" s="299"/>
      <c r="BT164" s="299"/>
      <c r="BU164" s="299"/>
      <c r="BV164" s="299"/>
      <c r="BW164" s="299"/>
      <c r="BX164" s="299"/>
      <c r="BY164" s="299"/>
      <c r="BZ164" s="299"/>
      <c r="CA164" s="299"/>
      <c r="CB164" s="299"/>
      <c r="CC164" s="299"/>
      <c r="CD164" s="299"/>
      <c r="CE164" s="299"/>
      <c r="CF164" s="299"/>
      <c r="CG164" s="299"/>
      <c r="CH164" s="299"/>
      <c r="CI164" s="299"/>
      <c r="CJ164" s="299"/>
      <c r="CK164" s="299"/>
      <c r="CL164" s="299"/>
      <c r="CM164" s="299"/>
      <c r="CN164" s="299"/>
      <c r="CO164" s="299"/>
      <c r="CP164" s="299"/>
      <c r="CQ164" s="299"/>
      <c r="CR164" s="299"/>
      <c r="CS164" s="299"/>
      <c r="CT164" s="299"/>
      <c r="CU164" s="299"/>
      <c r="CV164" s="299"/>
    </row>
    <row r="165" spans="1:100" s="269" customFormat="1" ht="19.5" hidden="1" customHeight="1">
      <c r="A165" s="281" t="e">
        <f>#REF!</f>
        <v>#REF!</v>
      </c>
      <c r="B165" s="281"/>
      <c r="C165" s="281"/>
      <c r="D165" s="281"/>
      <c r="E165" s="281"/>
      <c r="F165" s="281"/>
      <c r="G165" s="281"/>
      <c r="H165" s="281"/>
      <c r="I165" s="282" t="e">
        <f>#REF!</f>
        <v>#REF!</v>
      </c>
      <c r="J165" s="912" t="e">
        <f>#REF!</f>
        <v>#REF!</v>
      </c>
      <c r="K165" s="912"/>
      <c r="L165" s="912"/>
      <c r="M165" s="912"/>
      <c r="N165" s="299"/>
      <c r="O165" s="299"/>
      <c r="P165" s="299"/>
      <c r="Q165" s="299"/>
      <c r="R165" s="299"/>
      <c r="S165" s="299"/>
      <c r="T165" s="299"/>
      <c r="U165" s="299"/>
      <c r="V165" s="299"/>
      <c r="W165" s="299"/>
      <c r="X165" s="299"/>
      <c r="Y165" s="299"/>
      <c r="Z165" s="299"/>
      <c r="AA165" s="299"/>
      <c r="AB165" s="299"/>
      <c r="AC165" s="299"/>
      <c r="AD165" s="299"/>
      <c r="AE165" s="299"/>
      <c r="AF165" s="299"/>
      <c r="AG165" s="299"/>
      <c r="AH165" s="299"/>
      <c r="AI165" s="299"/>
      <c r="AJ165" s="299"/>
      <c r="AK165" s="299"/>
      <c r="AL165" s="299"/>
      <c r="AM165" s="299"/>
      <c r="AN165" s="299"/>
      <c r="AO165" s="299"/>
      <c r="AP165" s="299"/>
      <c r="AQ165" s="299"/>
      <c r="AR165" s="299"/>
      <c r="AS165" s="299"/>
      <c r="AT165" s="299"/>
      <c r="AU165" s="299"/>
      <c r="AV165" s="299"/>
      <c r="AW165" s="299"/>
      <c r="AX165" s="299"/>
      <c r="AY165" s="299"/>
      <c r="AZ165" s="299"/>
      <c r="BA165" s="299"/>
      <c r="BB165" s="299"/>
      <c r="BC165" s="299"/>
      <c r="BD165" s="299"/>
      <c r="BE165" s="299"/>
      <c r="BF165" s="299"/>
      <c r="BG165" s="299"/>
      <c r="BH165" s="299"/>
      <c r="BI165" s="299"/>
      <c r="BJ165" s="299"/>
      <c r="BK165" s="299"/>
      <c r="BL165" s="299"/>
      <c r="BM165" s="299"/>
      <c r="BN165" s="299"/>
      <c r="BO165" s="299"/>
      <c r="BP165" s="299"/>
      <c r="BQ165" s="299"/>
      <c r="BR165" s="299"/>
      <c r="BS165" s="299"/>
      <c r="BT165" s="299"/>
      <c r="BU165" s="299"/>
      <c r="BV165" s="299"/>
      <c r="BW165" s="299"/>
      <c r="BX165" s="299"/>
      <c r="BY165" s="299"/>
      <c r="BZ165" s="299"/>
      <c r="CA165" s="299"/>
      <c r="CB165" s="299"/>
      <c r="CC165" s="299"/>
      <c r="CD165" s="299"/>
      <c r="CE165" s="299"/>
      <c r="CF165" s="299"/>
      <c r="CG165" s="299"/>
      <c r="CH165" s="299"/>
      <c r="CI165" s="299"/>
      <c r="CJ165" s="299"/>
      <c r="CK165" s="299"/>
      <c r="CL165" s="299"/>
      <c r="CM165" s="299"/>
      <c r="CN165" s="299"/>
      <c r="CO165" s="299"/>
      <c r="CP165" s="299"/>
      <c r="CQ165" s="299"/>
      <c r="CR165" s="299"/>
      <c r="CS165" s="299"/>
      <c r="CT165" s="299"/>
      <c r="CU165" s="299"/>
      <c r="CV165" s="299"/>
    </row>
    <row r="166" spans="1:100" s="269" customFormat="1" ht="19.5" hidden="1" customHeight="1">
      <c r="A166" s="281" t="e">
        <f>#REF!</f>
        <v>#REF!</v>
      </c>
      <c r="B166" s="281"/>
      <c r="C166" s="281"/>
      <c r="D166" s="281"/>
      <c r="E166" s="281"/>
      <c r="F166" s="281"/>
      <c r="G166" s="281"/>
      <c r="H166" s="281"/>
      <c r="I166" s="282" t="e">
        <f>#REF!</f>
        <v>#REF!</v>
      </c>
      <c r="J166" s="912" t="e">
        <f>#REF!</f>
        <v>#REF!</v>
      </c>
      <c r="K166" s="912"/>
      <c r="L166" s="912"/>
      <c r="M166" s="912"/>
      <c r="N166" s="299"/>
      <c r="O166" s="299"/>
      <c r="P166" s="299"/>
      <c r="Q166" s="299"/>
      <c r="R166" s="299"/>
      <c r="S166" s="299"/>
      <c r="T166" s="299"/>
      <c r="U166" s="299"/>
      <c r="V166" s="299"/>
      <c r="W166" s="299"/>
      <c r="X166" s="299"/>
      <c r="Y166" s="299"/>
      <c r="Z166" s="299"/>
      <c r="AA166" s="299"/>
      <c r="AB166" s="299"/>
      <c r="AC166" s="299"/>
      <c r="AD166" s="299"/>
      <c r="AE166" s="299"/>
      <c r="AF166" s="299"/>
      <c r="AG166" s="299"/>
      <c r="AH166" s="299"/>
      <c r="AI166" s="299"/>
      <c r="AJ166" s="299"/>
      <c r="AK166" s="299"/>
      <c r="AL166" s="299"/>
      <c r="AM166" s="299"/>
      <c r="AN166" s="299"/>
      <c r="AO166" s="299"/>
      <c r="AP166" s="299"/>
      <c r="AQ166" s="299"/>
      <c r="AR166" s="299"/>
      <c r="AS166" s="299"/>
      <c r="AT166" s="299"/>
      <c r="AU166" s="299"/>
      <c r="AV166" s="299"/>
      <c r="AW166" s="299"/>
      <c r="AX166" s="299"/>
      <c r="AY166" s="299"/>
      <c r="AZ166" s="299"/>
      <c r="BA166" s="299"/>
      <c r="BB166" s="299"/>
      <c r="BC166" s="299"/>
      <c r="BD166" s="299"/>
      <c r="BE166" s="299"/>
      <c r="BF166" s="299"/>
      <c r="BG166" s="299"/>
      <c r="BH166" s="299"/>
      <c r="BI166" s="299"/>
      <c r="BJ166" s="299"/>
      <c r="BK166" s="299"/>
      <c r="BL166" s="299"/>
      <c r="BM166" s="299"/>
      <c r="BN166" s="299"/>
      <c r="BO166" s="299"/>
      <c r="BP166" s="299"/>
      <c r="BQ166" s="299"/>
      <c r="BR166" s="299"/>
      <c r="BS166" s="299"/>
      <c r="BT166" s="299"/>
      <c r="BU166" s="299"/>
      <c r="BV166" s="299"/>
      <c r="BW166" s="299"/>
      <c r="BX166" s="299"/>
      <c r="BY166" s="299"/>
      <c r="BZ166" s="299"/>
      <c r="CA166" s="299"/>
      <c r="CB166" s="299"/>
      <c r="CC166" s="299"/>
      <c r="CD166" s="299"/>
      <c r="CE166" s="299"/>
      <c r="CF166" s="299"/>
      <c r="CG166" s="299"/>
      <c r="CH166" s="299"/>
      <c r="CI166" s="299"/>
      <c r="CJ166" s="299"/>
      <c r="CK166" s="299"/>
      <c r="CL166" s="299"/>
      <c r="CM166" s="299"/>
      <c r="CN166" s="299"/>
      <c r="CO166" s="299"/>
      <c r="CP166" s="299"/>
      <c r="CQ166" s="299"/>
      <c r="CR166" s="299"/>
      <c r="CS166" s="299"/>
      <c r="CT166" s="299"/>
      <c r="CU166" s="299"/>
      <c r="CV166" s="299"/>
    </row>
    <row r="167" spans="1:100" s="269" customFormat="1" ht="19.5" hidden="1" customHeight="1">
      <c r="A167" s="291"/>
      <c r="B167" s="291"/>
      <c r="C167" s="291"/>
      <c r="D167" s="291"/>
      <c r="E167" s="291"/>
      <c r="F167" s="291"/>
      <c r="G167" s="291"/>
      <c r="H167" s="291"/>
      <c r="I167" s="280" t="e">
        <f>#REF!</f>
        <v>#REF!</v>
      </c>
      <c r="J167" s="912" t="e">
        <f>#REF!</f>
        <v>#REF!</v>
      </c>
      <c r="K167" s="912"/>
      <c r="L167" s="912"/>
      <c r="M167" s="912"/>
      <c r="N167" s="299"/>
      <c r="O167" s="299"/>
      <c r="P167" s="299"/>
      <c r="Q167" s="299"/>
      <c r="R167" s="299"/>
      <c r="S167" s="299"/>
      <c r="T167" s="299"/>
      <c r="U167" s="299"/>
      <c r="V167" s="299"/>
      <c r="W167" s="299"/>
      <c r="X167" s="299"/>
      <c r="Y167" s="299"/>
      <c r="Z167" s="299"/>
      <c r="AA167" s="299"/>
      <c r="AB167" s="299"/>
      <c r="AC167" s="299"/>
      <c r="AD167" s="299"/>
      <c r="AE167" s="299"/>
      <c r="AF167" s="299"/>
      <c r="AG167" s="299"/>
      <c r="AH167" s="299"/>
      <c r="AI167" s="299"/>
      <c r="AJ167" s="299"/>
      <c r="AK167" s="299"/>
      <c r="AL167" s="299"/>
      <c r="AM167" s="299"/>
      <c r="AN167" s="299"/>
      <c r="AO167" s="299"/>
      <c r="AP167" s="299"/>
      <c r="AQ167" s="299"/>
      <c r="AR167" s="299"/>
      <c r="AS167" s="299"/>
      <c r="AT167" s="299"/>
      <c r="AU167" s="299"/>
      <c r="AV167" s="299"/>
      <c r="AW167" s="299"/>
      <c r="AX167" s="299"/>
      <c r="AY167" s="299"/>
      <c r="AZ167" s="299"/>
      <c r="BA167" s="299"/>
      <c r="BB167" s="299"/>
      <c r="BC167" s="299"/>
      <c r="BD167" s="299"/>
      <c r="BE167" s="299"/>
      <c r="BF167" s="299"/>
      <c r="BG167" s="299"/>
      <c r="BH167" s="299"/>
      <c r="BI167" s="299"/>
      <c r="BJ167" s="299"/>
      <c r="BK167" s="299"/>
      <c r="BL167" s="299"/>
      <c r="BM167" s="299"/>
      <c r="BN167" s="299"/>
      <c r="BO167" s="299"/>
      <c r="BP167" s="299"/>
      <c r="BQ167" s="299"/>
      <c r="BR167" s="299"/>
      <c r="BS167" s="299"/>
      <c r="BT167" s="299"/>
      <c r="BU167" s="299"/>
      <c r="BV167" s="299"/>
      <c r="BW167" s="299"/>
      <c r="BX167" s="299"/>
      <c r="BY167" s="299"/>
      <c r="BZ167" s="299"/>
      <c r="CA167" s="299"/>
      <c r="CB167" s="299"/>
      <c r="CC167" s="299"/>
      <c r="CD167" s="299"/>
      <c r="CE167" s="299"/>
      <c r="CF167" s="299"/>
      <c r="CG167" s="299"/>
      <c r="CH167" s="299"/>
      <c r="CI167" s="299"/>
      <c r="CJ167" s="299"/>
      <c r="CK167" s="299"/>
      <c r="CL167" s="299"/>
      <c r="CM167" s="299"/>
      <c r="CN167" s="299"/>
      <c r="CO167" s="299"/>
      <c r="CP167" s="299"/>
      <c r="CQ167" s="299"/>
      <c r="CR167" s="299"/>
      <c r="CS167" s="299"/>
      <c r="CT167" s="299"/>
      <c r="CU167" s="299"/>
      <c r="CV167" s="299"/>
    </row>
    <row r="168" spans="1:100" s="269" customFormat="1" ht="33" hidden="1" customHeight="1">
      <c r="A168" s="284" t="e">
        <f>#REF!</f>
        <v>#REF!</v>
      </c>
      <c r="B168" s="284"/>
      <c r="C168" s="284"/>
      <c r="D168" s="284"/>
      <c r="E168" s="284"/>
      <c r="F168" s="284"/>
      <c r="G168" s="284"/>
      <c r="H168" s="284"/>
      <c r="I168" s="280" t="e">
        <f>#REF!</f>
        <v>#REF!</v>
      </c>
      <c r="J168" s="912"/>
      <c r="K168" s="912"/>
      <c r="L168" s="912"/>
      <c r="M168" s="912"/>
      <c r="N168" s="299"/>
      <c r="O168" s="299"/>
      <c r="P168" s="299"/>
      <c r="Q168" s="299"/>
      <c r="R168" s="299"/>
      <c r="S168" s="299"/>
      <c r="T168" s="299"/>
      <c r="U168" s="299"/>
      <c r="V168" s="299"/>
      <c r="W168" s="299"/>
      <c r="X168" s="299"/>
      <c r="Y168" s="299"/>
      <c r="Z168" s="299"/>
      <c r="AA168" s="299"/>
      <c r="AB168" s="299"/>
      <c r="AC168" s="299"/>
      <c r="AD168" s="299"/>
      <c r="AE168" s="299"/>
      <c r="AF168" s="299"/>
      <c r="AG168" s="299"/>
      <c r="AH168" s="299"/>
      <c r="AI168" s="299"/>
      <c r="AJ168" s="299"/>
      <c r="AK168" s="299"/>
      <c r="AL168" s="299"/>
      <c r="AM168" s="299"/>
      <c r="AN168" s="299"/>
      <c r="AO168" s="299"/>
      <c r="AP168" s="299"/>
      <c r="AQ168" s="299"/>
      <c r="AR168" s="299"/>
      <c r="AS168" s="299"/>
      <c r="AT168" s="299"/>
      <c r="AU168" s="299"/>
      <c r="AV168" s="299"/>
      <c r="AW168" s="299"/>
      <c r="AX168" s="299"/>
      <c r="AY168" s="299"/>
      <c r="AZ168" s="299"/>
      <c r="BA168" s="299"/>
      <c r="BB168" s="299"/>
      <c r="BC168" s="299"/>
      <c r="BD168" s="299"/>
      <c r="BE168" s="299"/>
      <c r="BF168" s="299"/>
      <c r="BG168" s="299"/>
      <c r="BH168" s="299"/>
      <c r="BI168" s="299"/>
      <c r="BJ168" s="299"/>
      <c r="BK168" s="299"/>
      <c r="BL168" s="299"/>
      <c r="BM168" s="299"/>
      <c r="BN168" s="299"/>
      <c r="BO168" s="299"/>
      <c r="BP168" s="299"/>
      <c r="BQ168" s="299"/>
      <c r="BR168" s="299"/>
      <c r="BS168" s="299"/>
      <c r="BT168" s="299"/>
      <c r="BU168" s="299"/>
      <c r="BV168" s="299"/>
      <c r="BW168" s="299"/>
      <c r="BX168" s="299"/>
      <c r="BY168" s="299"/>
      <c r="BZ168" s="299"/>
      <c r="CA168" s="299"/>
      <c r="CB168" s="299"/>
      <c r="CC168" s="299"/>
      <c r="CD168" s="299"/>
      <c r="CE168" s="299"/>
      <c r="CF168" s="299"/>
      <c r="CG168" s="299"/>
      <c r="CH168" s="299"/>
      <c r="CI168" s="299"/>
      <c r="CJ168" s="299"/>
      <c r="CK168" s="299"/>
      <c r="CL168" s="299"/>
      <c r="CM168" s="299"/>
      <c r="CN168" s="299"/>
      <c r="CO168" s="299"/>
      <c r="CP168" s="299"/>
      <c r="CQ168" s="299"/>
      <c r="CR168" s="299"/>
      <c r="CS168" s="299"/>
      <c r="CT168" s="299"/>
      <c r="CU168" s="299"/>
      <c r="CV168" s="299"/>
    </row>
    <row r="169" spans="1:100" s="269" customFormat="1" ht="33" hidden="1" customHeight="1">
      <c r="A169" s="281" t="e">
        <f>#REF!</f>
        <v>#REF!</v>
      </c>
      <c r="B169" s="281"/>
      <c r="C169" s="281"/>
      <c r="D169" s="281"/>
      <c r="E169" s="281"/>
      <c r="F169" s="281"/>
      <c r="G169" s="281"/>
      <c r="H169" s="281"/>
      <c r="I169" s="282" t="e">
        <f>#REF!</f>
        <v>#REF!</v>
      </c>
      <c r="J169" s="912" t="e">
        <f>#REF!</f>
        <v>#REF!</v>
      </c>
      <c r="K169" s="912"/>
      <c r="L169" s="912"/>
      <c r="M169" s="912"/>
      <c r="N169" s="299"/>
      <c r="O169" s="299"/>
      <c r="P169" s="299"/>
      <c r="Q169" s="299"/>
      <c r="R169" s="299"/>
      <c r="S169" s="299"/>
      <c r="T169" s="299"/>
      <c r="U169" s="299"/>
      <c r="V169" s="299"/>
      <c r="W169" s="299"/>
      <c r="X169" s="299"/>
      <c r="Y169" s="299"/>
      <c r="Z169" s="299"/>
      <c r="AA169" s="299"/>
      <c r="AB169" s="299"/>
      <c r="AC169" s="299"/>
      <c r="AD169" s="299"/>
      <c r="AE169" s="299"/>
      <c r="AF169" s="299"/>
      <c r="AG169" s="299"/>
      <c r="AH169" s="299"/>
      <c r="AI169" s="299"/>
      <c r="AJ169" s="299"/>
      <c r="AK169" s="299"/>
      <c r="AL169" s="299"/>
      <c r="AM169" s="299"/>
      <c r="AN169" s="299"/>
      <c r="AO169" s="299"/>
      <c r="AP169" s="299"/>
      <c r="AQ169" s="299"/>
      <c r="AR169" s="299"/>
      <c r="AS169" s="299"/>
      <c r="AT169" s="299"/>
      <c r="AU169" s="299"/>
      <c r="AV169" s="299"/>
      <c r="AW169" s="299"/>
      <c r="AX169" s="299"/>
      <c r="AY169" s="299"/>
      <c r="AZ169" s="299"/>
      <c r="BA169" s="299"/>
      <c r="BB169" s="299"/>
      <c r="BC169" s="299"/>
      <c r="BD169" s="299"/>
      <c r="BE169" s="299"/>
      <c r="BF169" s="299"/>
      <c r="BG169" s="299"/>
      <c r="BH169" s="299"/>
      <c r="BI169" s="299"/>
      <c r="BJ169" s="299"/>
      <c r="BK169" s="299"/>
      <c r="BL169" s="299"/>
      <c r="BM169" s="299"/>
      <c r="BN169" s="299"/>
      <c r="BO169" s="299"/>
      <c r="BP169" s="299"/>
      <c r="BQ169" s="299"/>
      <c r="BR169" s="299"/>
      <c r="BS169" s="299"/>
      <c r="BT169" s="299"/>
      <c r="BU169" s="299"/>
      <c r="BV169" s="299"/>
      <c r="BW169" s="299"/>
      <c r="BX169" s="299"/>
      <c r="BY169" s="299"/>
      <c r="BZ169" s="299"/>
      <c r="CA169" s="299"/>
      <c r="CB169" s="299"/>
      <c r="CC169" s="299"/>
      <c r="CD169" s="299"/>
      <c r="CE169" s="299"/>
      <c r="CF169" s="299"/>
      <c r="CG169" s="299"/>
      <c r="CH169" s="299"/>
      <c r="CI169" s="299"/>
      <c r="CJ169" s="299"/>
      <c r="CK169" s="299"/>
      <c r="CL169" s="299"/>
      <c r="CM169" s="299"/>
      <c r="CN169" s="299"/>
      <c r="CO169" s="299"/>
      <c r="CP169" s="299"/>
      <c r="CQ169" s="299"/>
      <c r="CR169" s="299"/>
      <c r="CS169" s="299"/>
      <c r="CT169" s="299"/>
      <c r="CU169" s="299"/>
      <c r="CV169" s="299"/>
    </row>
    <row r="170" spans="1:100" s="269" customFormat="1" ht="19.5" hidden="1" customHeight="1">
      <c r="A170" s="281" t="e">
        <f>#REF!</f>
        <v>#REF!</v>
      </c>
      <c r="B170" s="281"/>
      <c r="C170" s="281"/>
      <c r="D170" s="281"/>
      <c r="E170" s="281"/>
      <c r="F170" s="281"/>
      <c r="G170" s="281"/>
      <c r="H170" s="281"/>
      <c r="I170" s="282" t="e">
        <f>#REF!</f>
        <v>#REF!</v>
      </c>
      <c r="J170" s="912" t="e">
        <f>#REF!</f>
        <v>#REF!</v>
      </c>
      <c r="K170" s="912"/>
      <c r="L170" s="912"/>
      <c r="M170" s="912"/>
      <c r="N170" s="299"/>
      <c r="O170" s="299"/>
      <c r="P170" s="299"/>
      <c r="Q170" s="299"/>
      <c r="R170" s="299"/>
      <c r="S170" s="299"/>
      <c r="T170" s="299"/>
      <c r="U170" s="299"/>
      <c r="V170" s="299"/>
      <c r="W170" s="299"/>
      <c r="X170" s="299"/>
      <c r="Y170" s="299"/>
      <c r="Z170" s="299"/>
      <c r="AA170" s="299"/>
      <c r="AB170" s="299"/>
      <c r="AC170" s="299"/>
      <c r="AD170" s="299"/>
      <c r="AE170" s="299"/>
      <c r="AF170" s="299"/>
      <c r="AG170" s="299"/>
      <c r="AH170" s="299"/>
      <c r="AI170" s="299"/>
      <c r="AJ170" s="299"/>
      <c r="AK170" s="299"/>
      <c r="AL170" s="299"/>
      <c r="AM170" s="299"/>
      <c r="AN170" s="299"/>
      <c r="AO170" s="299"/>
      <c r="AP170" s="299"/>
      <c r="AQ170" s="299"/>
      <c r="AR170" s="299"/>
      <c r="AS170" s="299"/>
      <c r="AT170" s="299"/>
      <c r="AU170" s="299"/>
      <c r="AV170" s="299"/>
      <c r="AW170" s="299"/>
      <c r="AX170" s="299"/>
      <c r="AY170" s="299"/>
      <c r="AZ170" s="299"/>
      <c r="BA170" s="299"/>
      <c r="BB170" s="299"/>
      <c r="BC170" s="299"/>
      <c r="BD170" s="299"/>
      <c r="BE170" s="299"/>
      <c r="BF170" s="299"/>
      <c r="BG170" s="299"/>
      <c r="BH170" s="299"/>
      <c r="BI170" s="299"/>
      <c r="BJ170" s="299"/>
      <c r="BK170" s="299"/>
      <c r="BL170" s="299"/>
      <c r="BM170" s="299"/>
      <c r="BN170" s="299"/>
      <c r="BO170" s="299"/>
      <c r="BP170" s="299"/>
      <c r="BQ170" s="299"/>
      <c r="BR170" s="299"/>
      <c r="BS170" s="299"/>
      <c r="BT170" s="299"/>
      <c r="BU170" s="299"/>
      <c r="BV170" s="299"/>
      <c r="BW170" s="299"/>
      <c r="BX170" s="299"/>
      <c r="BY170" s="299"/>
      <c r="BZ170" s="299"/>
      <c r="CA170" s="299"/>
      <c r="CB170" s="299"/>
      <c r="CC170" s="299"/>
      <c r="CD170" s="299"/>
      <c r="CE170" s="299"/>
      <c r="CF170" s="299"/>
      <c r="CG170" s="299"/>
      <c r="CH170" s="299"/>
      <c r="CI170" s="299"/>
      <c r="CJ170" s="299"/>
      <c r="CK170" s="299"/>
      <c r="CL170" s="299"/>
      <c r="CM170" s="299"/>
      <c r="CN170" s="299"/>
      <c r="CO170" s="299"/>
      <c r="CP170" s="299"/>
      <c r="CQ170" s="299"/>
      <c r="CR170" s="299"/>
      <c r="CS170" s="299"/>
      <c r="CT170" s="299"/>
      <c r="CU170" s="299"/>
      <c r="CV170" s="299"/>
    </row>
    <row r="171" spans="1:100" s="269" customFormat="1" ht="19.5" hidden="1" customHeight="1">
      <c r="A171" s="281" t="e">
        <f>#REF!</f>
        <v>#REF!</v>
      </c>
      <c r="B171" s="281"/>
      <c r="C171" s="281"/>
      <c r="D171" s="281"/>
      <c r="E171" s="281"/>
      <c r="F171" s="281"/>
      <c r="G171" s="281"/>
      <c r="H171" s="281"/>
      <c r="I171" s="282" t="e">
        <f>#REF!</f>
        <v>#REF!</v>
      </c>
      <c r="J171" s="912" t="e">
        <f>#REF!</f>
        <v>#REF!</v>
      </c>
      <c r="K171" s="912"/>
      <c r="L171" s="912"/>
      <c r="M171" s="912"/>
      <c r="N171" s="299"/>
      <c r="O171" s="299"/>
      <c r="P171" s="299"/>
      <c r="Q171" s="299"/>
      <c r="R171" s="299"/>
      <c r="S171" s="299"/>
      <c r="T171" s="299"/>
      <c r="U171" s="299"/>
      <c r="V171" s="299"/>
      <c r="W171" s="299"/>
      <c r="X171" s="299"/>
      <c r="Y171" s="299"/>
      <c r="Z171" s="299"/>
      <c r="AA171" s="299"/>
      <c r="AB171" s="299"/>
      <c r="AC171" s="299"/>
      <c r="AD171" s="299"/>
      <c r="AE171" s="299"/>
      <c r="AF171" s="299"/>
      <c r="AG171" s="299"/>
      <c r="AH171" s="299"/>
      <c r="AI171" s="299"/>
      <c r="AJ171" s="299"/>
      <c r="AK171" s="299"/>
      <c r="AL171" s="299"/>
      <c r="AM171" s="299"/>
      <c r="AN171" s="299"/>
      <c r="AO171" s="299"/>
      <c r="AP171" s="299"/>
      <c r="AQ171" s="299"/>
      <c r="AR171" s="299"/>
      <c r="AS171" s="299"/>
      <c r="AT171" s="299"/>
      <c r="AU171" s="299"/>
      <c r="AV171" s="299"/>
      <c r="AW171" s="299"/>
      <c r="AX171" s="299"/>
      <c r="AY171" s="299"/>
      <c r="AZ171" s="299"/>
      <c r="BA171" s="299"/>
      <c r="BB171" s="299"/>
      <c r="BC171" s="299"/>
      <c r="BD171" s="299"/>
      <c r="BE171" s="299"/>
      <c r="BF171" s="299"/>
      <c r="BG171" s="299"/>
      <c r="BH171" s="299"/>
      <c r="BI171" s="299"/>
      <c r="BJ171" s="299"/>
      <c r="BK171" s="299"/>
      <c r="BL171" s="299"/>
      <c r="BM171" s="299"/>
      <c r="BN171" s="299"/>
      <c r="BO171" s="299"/>
      <c r="BP171" s="299"/>
      <c r="BQ171" s="299"/>
      <c r="BR171" s="299"/>
      <c r="BS171" s="299"/>
      <c r="BT171" s="299"/>
      <c r="BU171" s="299"/>
      <c r="BV171" s="299"/>
      <c r="BW171" s="299"/>
      <c r="BX171" s="299"/>
      <c r="BY171" s="299"/>
      <c r="BZ171" s="299"/>
      <c r="CA171" s="299"/>
      <c r="CB171" s="299"/>
      <c r="CC171" s="299"/>
      <c r="CD171" s="299"/>
      <c r="CE171" s="299"/>
      <c r="CF171" s="299"/>
      <c r="CG171" s="299"/>
      <c r="CH171" s="299"/>
      <c r="CI171" s="299"/>
      <c r="CJ171" s="299"/>
      <c r="CK171" s="299"/>
      <c r="CL171" s="299"/>
      <c r="CM171" s="299"/>
      <c r="CN171" s="299"/>
      <c r="CO171" s="299"/>
      <c r="CP171" s="299"/>
      <c r="CQ171" s="299"/>
      <c r="CR171" s="299"/>
      <c r="CS171" s="299"/>
      <c r="CT171" s="299"/>
      <c r="CU171" s="299"/>
      <c r="CV171" s="299"/>
    </row>
    <row r="172" spans="1:100" s="269" customFormat="1" ht="19.5" hidden="1" customHeight="1">
      <c r="A172" s="291" t="e">
        <f>#REF!</f>
        <v>#REF!</v>
      </c>
      <c r="B172" s="291"/>
      <c r="C172" s="291"/>
      <c r="D172" s="291"/>
      <c r="E172" s="291"/>
      <c r="F172" s="291"/>
      <c r="G172" s="291"/>
      <c r="H172" s="291"/>
      <c r="I172" s="280" t="e">
        <f>#REF!</f>
        <v>#REF!</v>
      </c>
      <c r="J172" s="912" t="e">
        <f>#REF!</f>
        <v>#REF!</v>
      </c>
      <c r="K172" s="912"/>
      <c r="L172" s="912"/>
      <c r="M172" s="912"/>
      <c r="N172" s="299"/>
      <c r="O172" s="299"/>
      <c r="P172" s="299"/>
      <c r="Q172" s="299"/>
      <c r="R172" s="299"/>
      <c r="S172" s="299"/>
      <c r="T172" s="299"/>
      <c r="U172" s="299"/>
      <c r="V172" s="299"/>
      <c r="W172" s="299"/>
      <c r="X172" s="299"/>
      <c r="Y172" s="299"/>
      <c r="Z172" s="299"/>
      <c r="AA172" s="299"/>
      <c r="AB172" s="299"/>
      <c r="AC172" s="299"/>
      <c r="AD172" s="299"/>
      <c r="AE172" s="299"/>
      <c r="AF172" s="299"/>
      <c r="AG172" s="299"/>
      <c r="AH172" s="299"/>
      <c r="AI172" s="299"/>
      <c r="AJ172" s="299"/>
      <c r="AK172" s="299"/>
      <c r="AL172" s="299"/>
      <c r="AM172" s="299"/>
      <c r="AN172" s="299"/>
      <c r="AO172" s="299"/>
      <c r="AP172" s="299"/>
      <c r="AQ172" s="299"/>
      <c r="AR172" s="299"/>
      <c r="AS172" s="299"/>
      <c r="AT172" s="299"/>
      <c r="AU172" s="299"/>
      <c r="AV172" s="299"/>
      <c r="AW172" s="299"/>
      <c r="AX172" s="299"/>
      <c r="AY172" s="299"/>
      <c r="AZ172" s="299"/>
      <c r="BA172" s="299"/>
      <c r="BB172" s="299"/>
      <c r="BC172" s="299"/>
      <c r="BD172" s="299"/>
      <c r="BE172" s="299"/>
      <c r="BF172" s="299"/>
      <c r="BG172" s="299"/>
      <c r="BH172" s="299"/>
      <c r="BI172" s="299"/>
      <c r="BJ172" s="299"/>
      <c r="BK172" s="299"/>
      <c r="BL172" s="299"/>
      <c r="BM172" s="299"/>
      <c r="BN172" s="299"/>
      <c r="BO172" s="299"/>
      <c r="BP172" s="299"/>
      <c r="BQ172" s="299"/>
      <c r="BR172" s="299"/>
      <c r="BS172" s="299"/>
      <c r="BT172" s="299"/>
      <c r="BU172" s="299"/>
      <c r="BV172" s="299"/>
      <c r="BW172" s="299"/>
      <c r="BX172" s="299"/>
      <c r="BY172" s="299"/>
      <c r="BZ172" s="299"/>
      <c r="CA172" s="299"/>
      <c r="CB172" s="299"/>
      <c r="CC172" s="299"/>
      <c r="CD172" s="299"/>
      <c r="CE172" s="299"/>
      <c r="CF172" s="299"/>
      <c r="CG172" s="299"/>
      <c r="CH172" s="299"/>
      <c r="CI172" s="299"/>
      <c r="CJ172" s="299"/>
      <c r="CK172" s="299"/>
      <c r="CL172" s="299"/>
      <c r="CM172" s="299"/>
      <c r="CN172" s="299"/>
      <c r="CO172" s="299"/>
      <c r="CP172" s="299"/>
      <c r="CQ172" s="299"/>
      <c r="CR172" s="299"/>
      <c r="CS172" s="299"/>
      <c r="CT172" s="299"/>
      <c r="CU172" s="299"/>
      <c r="CV172" s="299"/>
    </row>
    <row r="173" spans="1:100" s="269" customFormat="1" ht="33" hidden="1" customHeight="1">
      <c r="A173" s="284" t="e">
        <f>#REF!</f>
        <v>#REF!</v>
      </c>
      <c r="B173" s="284"/>
      <c r="C173" s="284"/>
      <c r="D173" s="284"/>
      <c r="E173" s="284"/>
      <c r="F173" s="284"/>
      <c r="G173" s="284"/>
      <c r="H173" s="284"/>
      <c r="I173" s="280" t="e">
        <f>#REF!</f>
        <v>#REF!</v>
      </c>
      <c r="J173" s="912"/>
      <c r="K173" s="912"/>
      <c r="L173" s="912"/>
      <c r="M173" s="912"/>
      <c r="N173" s="299"/>
      <c r="O173" s="299"/>
      <c r="P173" s="299"/>
      <c r="Q173" s="299"/>
      <c r="R173" s="299"/>
      <c r="S173" s="299"/>
      <c r="T173" s="299"/>
      <c r="U173" s="299"/>
      <c r="V173" s="299"/>
      <c r="W173" s="299"/>
      <c r="X173" s="299"/>
      <c r="Y173" s="299"/>
      <c r="Z173" s="299"/>
      <c r="AA173" s="299"/>
      <c r="AB173" s="299"/>
      <c r="AC173" s="299"/>
      <c r="AD173" s="299"/>
      <c r="AE173" s="299"/>
      <c r="AF173" s="299"/>
      <c r="AG173" s="299"/>
      <c r="AH173" s="299"/>
      <c r="AI173" s="299"/>
      <c r="AJ173" s="299"/>
      <c r="AK173" s="299"/>
      <c r="AL173" s="299"/>
      <c r="AM173" s="299"/>
      <c r="AN173" s="299"/>
      <c r="AO173" s="299"/>
      <c r="AP173" s="299"/>
      <c r="AQ173" s="299"/>
      <c r="AR173" s="299"/>
      <c r="AS173" s="299"/>
      <c r="AT173" s="299"/>
      <c r="AU173" s="299"/>
      <c r="AV173" s="299"/>
      <c r="AW173" s="299"/>
      <c r="AX173" s="299"/>
      <c r="AY173" s="299"/>
      <c r="AZ173" s="299"/>
      <c r="BA173" s="299"/>
      <c r="BB173" s="299"/>
      <c r="BC173" s="299"/>
      <c r="BD173" s="299"/>
      <c r="BE173" s="299"/>
      <c r="BF173" s="299"/>
      <c r="BG173" s="299"/>
      <c r="BH173" s="299"/>
      <c r="BI173" s="299"/>
      <c r="BJ173" s="299"/>
      <c r="BK173" s="299"/>
      <c r="BL173" s="299"/>
      <c r="BM173" s="299"/>
      <c r="BN173" s="299"/>
      <c r="BO173" s="299"/>
      <c r="BP173" s="299"/>
      <c r="BQ173" s="299"/>
      <c r="BR173" s="299"/>
      <c r="BS173" s="299"/>
      <c r="BT173" s="299"/>
      <c r="BU173" s="299"/>
      <c r="BV173" s="299"/>
      <c r="BW173" s="299"/>
      <c r="BX173" s="299"/>
      <c r="BY173" s="299"/>
      <c r="BZ173" s="299"/>
      <c r="CA173" s="299"/>
      <c r="CB173" s="299"/>
      <c r="CC173" s="299"/>
      <c r="CD173" s="299"/>
      <c r="CE173" s="299"/>
      <c r="CF173" s="299"/>
      <c r="CG173" s="299"/>
      <c r="CH173" s="299"/>
      <c r="CI173" s="299"/>
      <c r="CJ173" s="299"/>
      <c r="CK173" s="299"/>
      <c r="CL173" s="299"/>
      <c r="CM173" s="299"/>
      <c r="CN173" s="299"/>
      <c r="CO173" s="299"/>
      <c r="CP173" s="299"/>
      <c r="CQ173" s="299"/>
      <c r="CR173" s="299"/>
      <c r="CS173" s="299"/>
      <c r="CT173" s="299"/>
      <c r="CU173" s="299"/>
      <c r="CV173" s="299"/>
    </row>
    <row r="174" spans="1:100" s="269" customFormat="1" ht="19.5" hidden="1" customHeight="1">
      <c r="A174" s="281" t="e">
        <f>#REF!</f>
        <v>#REF!</v>
      </c>
      <c r="B174" s="281"/>
      <c r="C174" s="281"/>
      <c r="D174" s="281"/>
      <c r="E174" s="281"/>
      <c r="F174" s="281"/>
      <c r="G174" s="281"/>
      <c r="H174" s="281"/>
      <c r="I174" s="282" t="e">
        <f>#REF!</f>
        <v>#REF!</v>
      </c>
      <c r="J174" s="912" t="e">
        <f>#REF!</f>
        <v>#REF!</v>
      </c>
      <c r="K174" s="912"/>
      <c r="L174" s="912"/>
      <c r="M174" s="912"/>
      <c r="N174" s="299"/>
      <c r="O174" s="299"/>
      <c r="P174" s="299"/>
      <c r="Q174" s="299"/>
      <c r="R174" s="299"/>
      <c r="S174" s="299"/>
      <c r="T174" s="299"/>
      <c r="U174" s="299"/>
      <c r="V174" s="299"/>
      <c r="W174" s="299"/>
      <c r="X174" s="299"/>
      <c r="Y174" s="299"/>
      <c r="Z174" s="299"/>
      <c r="AA174" s="299"/>
      <c r="AB174" s="299"/>
      <c r="AC174" s="299"/>
      <c r="AD174" s="299"/>
      <c r="AE174" s="299"/>
      <c r="AF174" s="299"/>
      <c r="AG174" s="299"/>
      <c r="AH174" s="299"/>
      <c r="AI174" s="299"/>
      <c r="AJ174" s="299"/>
      <c r="AK174" s="299"/>
      <c r="AL174" s="299"/>
      <c r="AM174" s="299"/>
      <c r="AN174" s="299"/>
      <c r="AO174" s="299"/>
      <c r="AP174" s="299"/>
      <c r="AQ174" s="299"/>
      <c r="AR174" s="299"/>
      <c r="AS174" s="299"/>
      <c r="AT174" s="299"/>
      <c r="AU174" s="299"/>
      <c r="AV174" s="299"/>
      <c r="AW174" s="299"/>
      <c r="AX174" s="299"/>
      <c r="AY174" s="299"/>
      <c r="AZ174" s="299"/>
      <c r="BA174" s="299"/>
      <c r="BB174" s="299"/>
      <c r="BC174" s="299"/>
      <c r="BD174" s="299"/>
      <c r="BE174" s="299"/>
      <c r="BF174" s="299"/>
      <c r="BG174" s="299"/>
      <c r="BH174" s="299"/>
      <c r="BI174" s="299"/>
      <c r="BJ174" s="299"/>
      <c r="BK174" s="299"/>
      <c r="BL174" s="299"/>
      <c r="BM174" s="299"/>
      <c r="BN174" s="299"/>
      <c r="BO174" s="299"/>
      <c r="BP174" s="299"/>
      <c r="BQ174" s="299"/>
      <c r="BR174" s="299"/>
      <c r="BS174" s="299"/>
      <c r="BT174" s="299"/>
      <c r="BU174" s="299"/>
      <c r="BV174" s="299"/>
      <c r="BW174" s="299"/>
      <c r="BX174" s="299"/>
      <c r="BY174" s="299"/>
      <c r="BZ174" s="299"/>
      <c r="CA174" s="299"/>
      <c r="CB174" s="299"/>
      <c r="CC174" s="299"/>
      <c r="CD174" s="299"/>
      <c r="CE174" s="299"/>
      <c r="CF174" s="299"/>
      <c r="CG174" s="299"/>
      <c r="CH174" s="299"/>
      <c r="CI174" s="299"/>
      <c r="CJ174" s="299"/>
      <c r="CK174" s="299"/>
      <c r="CL174" s="299"/>
      <c r="CM174" s="299"/>
      <c r="CN174" s="299"/>
      <c r="CO174" s="299"/>
      <c r="CP174" s="299"/>
      <c r="CQ174" s="299"/>
      <c r="CR174" s="299"/>
      <c r="CS174" s="299"/>
      <c r="CT174" s="299"/>
      <c r="CU174" s="299"/>
      <c r="CV174" s="299"/>
    </row>
    <row r="175" spans="1:100" s="269" customFormat="1" ht="19.5" hidden="1" customHeight="1">
      <c r="A175" s="281" t="e">
        <f>#REF!</f>
        <v>#REF!</v>
      </c>
      <c r="B175" s="281"/>
      <c r="C175" s="281"/>
      <c r="D175" s="281"/>
      <c r="E175" s="281"/>
      <c r="F175" s="281"/>
      <c r="G175" s="281"/>
      <c r="H175" s="281"/>
      <c r="I175" s="282" t="e">
        <f>#REF!</f>
        <v>#REF!</v>
      </c>
      <c r="J175" s="912" t="e">
        <f>#REF!</f>
        <v>#REF!</v>
      </c>
      <c r="K175" s="912"/>
      <c r="L175" s="912"/>
      <c r="M175" s="912"/>
      <c r="N175" s="299"/>
      <c r="O175" s="299"/>
      <c r="P175" s="299"/>
      <c r="Q175" s="299"/>
      <c r="R175" s="299"/>
      <c r="S175" s="299"/>
      <c r="T175" s="299"/>
      <c r="U175" s="299"/>
      <c r="V175" s="299"/>
      <c r="W175" s="299"/>
      <c r="X175" s="299"/>
      <c r="Y175" s="299"/>
      <c r="Z175" s="299"/>
      <c r="AA175" s="299"/>
      <c r="AB175" s="299"/>
      <c r="AC175" s="299"/>
      <c r="AD175" s="299"/>
      <c r="AE175" s="299"/>
      <c r="AF175" s="299"/>
      <c r="AG175" s="299"/>
      <c r="AH175" s="299"/>
      <c r="AI175" s="299"/>
      <c r="AJ175" s="299"/>
      <c r="AK175" s="299"/>
      <c r="AL175" s="299"/>
      <c r="AM175" s="299"/>
      <c r="AN175" s="299"/>
      <c r="AO175" s="299"/>
      <c r="AP175" s="299"/>
      <c r="AQ175" s="299"/>
      <c r="AR175" s="299"/>
      <c r="AS175" s="299"/>
      <c r="AT175" s="299"/>
      <c r="AU175" s="299"/>
      <c r="AV175" s="299"/>
      <c r="AW175" s="299"/>
      <c r="AX175" s="299"/>
      <c r="AY175" s="299"/>
      <c r="AZ175" s="299"/>
      <c r="BA175" s="299"/>
      <c r="BB175" s="299"/>
      <c r="BC175" s="299"/>
      <c r="BD175" s="299"/>
      <c r="BE175" s="299"/>
      <c r="BF175" s="299"/>
      <c r="BG175" s="299"/>
      <c r="BH175" s="299"/>
      <c r="BI175" s="299"/>
      <c r="BJ175" s="299"/>
      <c r="BK175" s="299"/>
      <c r="BL175" s="299"/>
      <c r="BM175" s="299"/>
      <c r="BN175" s="299"/>
      <c r="BO175" s="299"/>
      <c r="BP175" s="299"/>
      <c r="BQ175" s="299"/>
      <c r="BR175" s="299"/>
      <c r="BS175" s="299"/>
      <c r="BT175" s="299"/>
      <c r="BU175" s="299"/>
      <c r="BV175" s="299"/>
      <c r="BW175" s="299"/>
      <c r="BX175" s="299"/>
      <c r="BY175" s="299"/>
      <c r="BZ175" s="299"/>
      <c r="CA175" s="299"/>
      <c r="CB175" s="299"/>
      <c r="CC175" s="299"/>
      <c r="CD175" s="299"/>
      <c r="CE175" s="299"/>
      <c r="CF175" s="299"/>
      <c r="CG175" s="299"/>
      <c r="CH175" s="299"/>
      <c r="CI175" s="299"/>
      <c r="CJ175" s="299"/>
      <c r="CK175" s="299"/>
      <c r="CL175" s="299"/>
      <c r="CM175" s="299"/>
      <c r="CN175" s="299"/>
      <c r="CO175" s="299"/>
      <c r="CP175" s="299"/>
      <c r="CQ175" s="299"/>
      <c r="CR175" s="299"/>
      <c r="CS175" s="299"/>
      <c r="CT175" s="299"/>
      <c r="CU175" s="299"/>
      <c r="CV175" s="299"/>
    </row>
    <row r="176" spans="1:100" s="269" customFormat="1" ht="32.25" hidden="1" customHeight="1">
      <c r="A176" s="281" t="e">
        <f>#REF!</f>
        <v>#REF!</v>
      </c>
      <c r="B176" s="281"/>
      <c r="C176" s="281"/>
      <c r="D176" s="281"/>
      <c r="E176" s="281"/>
      <c r="F176" s="281"/>
      <c r="G176" s="281"/>
      <c r="H176" s="281"/>
      <c r="I176" s="282" t="e">
        <f>#REF!</f>
        <v>#REF!</v>
      </c>
      <c r="J176" s="912" t="e">
        <f>#REF!</f>
        <v>#REF!</v>
      </c>
      <c r="K176" s="912"/>
      <c r="L176" s="912"/>
      <c r="M176" s="912"/>
      <c r="N176" s="299"/>
      <c r="O176" s="299"/>
      <c r="P176" s="299"/>
      <c r="Q176" s="299"/>
      <c r="R176" s="299"/>
      <c r="S176" s="299"/>
      <c r="T176" s="299"/>
      <c r="U176" s="299"/>
      <c r="V176" s="299"/>
      <c r="W176" s="299"/>
      <c r="X176" s="299"/>
      <c r="Y176" s="299"/>
      <c r="Z176" s="299"/>
      <c r="AA176" s="299"/>
      <c r="AB176" s="299"/>
      <c r="AC176" s="299"/>
      <c r="AD176" s="299"/>
      <c r="AE176" s="299"/>
      <c r="AF176" s="299"/>
      <c r="AG176" s="299"/>
      <c r="AH176" s="299"/>
      <c r="AI176" s="299"/>
      <c r="AJ176" s="299"/>
      <c r="AK176" s="299"/>
      <c r="AL176" s="299"/>
      <c r="AM176" s="299"/>
      <c r="AN176" s="299"/>
      <c r="AO176" s="299"/>
      <c r="AP176" s="299"/>
      <c r="AQ176" s="299"/>
      <c r="AR176" s="299"/>
      <c r="AS176" s="299"/>
      <c r="AT176" s="299"/>
      <c r="AU176" s="299"/>
      <c r="AV176" s="299"/>
      <c r="AW176" s="299"/>
      <c r="AX176" s="299"/>
      <c r="AY176" s="299"/>
      <c r="AZ176" s="299"/>
      <c r="BA176" s="299"/>
      <c r="BB176" s="299"/>
      <c r="BC176" s="299"/>
      <c r="BD176" s="299"/>
      <c r="BE176" s="299"/>
      <c r="BF176" s="299"/>
      <c r="BG176" s="299"/>
      <c r="BH176" s="299"/>
      <c r="BI176" s="299"/>
      <c r="BJ176" s="299"/>
      <c r="BK176" s="299"/>
      <c r="BL176" s="299"/>
      <c r="BM176" s="299"/>
      <c r="BN176" s="299"/>
      <c r="BO176" s="299"/>
      <c r="BP176" s="299"/>
      <c r="BQ176" s="299"/>
      <c r="BR176" s="299"/>
      <c r="BS176" s="299"/>
      <c r="BT176" s="299"/>
      <c r="BU176" s="299"/>
      <c r="BV176" s="299"/>
      <c r="BW176" s="299"/>
      <c r="BX176" s="299"/>
      <c r="BY176" s="299"/>
      <c r="BZ176" s="299"/>
      <c r="CA176" s="299"/>
      <c r="CB176" s="299"/>
      <c r="CC176" s="299"/>
      <c r="CD176" s="299"/>
      <c r="CE176" s="299"/>
      <c r="CF176" s="299"/>
      <c r="CG176" s="299"/>
      <c r="CH176" s="299"/>
      <c r="CI176" s="299"/>
      <c r="CJ176" s="299"/>
      <c r="CK176" s="299"/>
      <c r="CL176" s="299"/>
      <c r="CM176" s="299"/>
      <c r="CN176" s="299"/>
      <c r="CO176" s="299"/>
      <c r="CP176" s="299"/>
      <c r="CQ176" s="299"/>
      <c r="CR176" s="299"/>
      <c r="CS176" s="299"/>
      <c r="CT176" s="299"/>
      <c r="CU176" s="299"/>
      <c r="CV176" s="299"/>
    </row>
    <row r="177" spans="1:100" s="269" customFormat="1" ht="19.5" hidden="1" customHeight="1">
      <c r="A177" s="281" t="e">
        <f>#REF!</f>
        <v>#REF!</v>
      </c>
      <c r="B177" s="281"/>
      <c r="C177" s="281"/>
      <c r="D177" s="281"/>
      <c r="E177" s="281"/>
      <c r="F177" s="281"/>
      <c r="G177" s="281"/>
      <c r="H177" s="281"/>
      <c r="I177" s="282" t="e">
        <f>#REF!</f>
        <v>#REF!</v>
      </c>
      <c r="J177" s="912" t="e">
        <f>#REF!</f>
        <v>#REF!</v>
      </c>
      <c r="K177" s="912"/>
      <c r="L177" s="912"/>
      <c r="M177" s="912"/>
      <c r="N177" s="299"/>
      <c r="O177" s="299"/>
      <c r="P177" s="299"/>
      <c r="Q177" s="299"/>
      <c r="R177" s="299"/>
      <c r="S177" s="299"/>
      <c r="T177" s="299"/>
      <c r="U177" s="299"/>
      <c r="V177" s="299"/>
      <c r="W177" s="299"/>
      <c r="X177" s="299"/>
      <c r="Y177" s="299"/>
      <c r="Z177" s="299"/>
      <c r="AA177" s="299"/>
      <c r="AB177" s="299"/>
      <c r="AC177" s="299"/>
      <c r="AD177" s="299"/>
      <c r="AE177" s="299"/>
      <c r="AF177" s="299"/>
      <c r="AG177" s="299"/>
      <c r="AH177" s="299"/>
      <c r="AI177" s="299"/>
      <c r="AJ177" s="299"/>
      <c r="AK177" s="299"/>
      <c r="AL177" s="299"/>
      <c r="AM177" s="299"/>
      <c r="AN177" s="299"/>
      <c r="AO177" s="299"/>
      <c r="AP177" s="299"/>
      <c r="AQ177" s="299"/>
      <c r="AR177" s="299"/>
      <c r="AS177" s="299"/>
      <c r="AT177" s="299"/>
      <c r="AU177" s="299"/>
      <c r="AV177" s="299"/>
      <c r="AW177" s="299"/>
      <c r="AX177" s="299"/>
      <c r="AY177" s="299"/>
      <c r="AZ177" s="299"/>
      <c r="BA177" s="299"/>
      <c r="BB177" s="299"/>
      <c r="BC177" s="299"/>
      <c r="BD177" s="299"/>
      <c r="BE177" s="299"/>
      <c r="BF177" s="299"/>
      <c r="BG177" s="299"/>
      <c r="BH177" s="299"/>
      <c r="BI177" s="299"/>
      <c r="BJ177" s="299"/>
      <c r="BK177" s="299"/>
      <c r="BL177" s="299"/>
      <c r="BM177" s="299"/>
      <c r="BN177" s="299"/>
      <c r="BO177" s="299"/>
      <c r="BP177" s="299"/>
      <c r="BQ177" s="299"/>
      <c r="BR177" s="299"/>
      <c r="BS177" s="299"/>
      <c r="BT177" s="299"/>
      <c r="BU177" s="299"/>
      <c r="BV177" s="299"/>
      <c r="BW177" s="299"/>
      <c r="BX177" s="299"/>
      <c r="BY177" s="299"/>
      <c r="BZ177" s="299"/>
      <c r="CA177" s="299"/>
      <c r="CB177" s="299"/>
      <c r="CC177" s="299"/>
      <c r="CD177" s="299"/>
      <c r="CE177" s="299"/>
      <c r="CF177" s="299"/>
      <c r="CG177" s="299"/>
      <c r="CH177" s="299"/>
      <c r="CI177" s="299"/>
      <c r="CJ177" s="299"/>
      <c r="CK177" s="299"/>
      <c r="CL177" s="299"/>
      <c r="CM177" s="299"/>
      <c r="CN177" s="299"/>
      <c r="CO177" s="299"/>
      <c r="CP177" s="299"/>
      <c r="CQ177" s="299"/>
      <c r="CR177" s="299"/>
      <c r="CS177" s="299"/>
      <c r="CT177" s="299"/>
      <c r="CU177" s="299"/>
      <c r="CV177" s="299"/>
    </row>
    <row r="178" spans="1:100" s="269" customFormat="1" ht="19.5" hidden="1" customHeight="1">
      <c r="A178" s="283"/>
      <c r="B178" s="283"/>
      <c r="C178" s="283"/>
      <c r="D178" s="283"/>
      <c r="E178" s="283"/>
      <c r="F178" s="283"/>
      <c r="G178" s="283"/>
      <c r="H178" s="283"/>
      <c r="I178" s="280" t="e">
        <f>#REF!</f>
        <v>#REF!</v>
      </c>
      <c r="J178" s="912" t="e">
        <f>#REF!</f>
        <v>#REF!</v>
      </c>
      <c r="K178" s="912"/>
      <c r="L178" s="912"/>
      <c r="M178" s="912"/>
      <c r="N178" s="299"/>
      <c r="O178" s="299"/>
      <c r="P178" s="299"/>
      <c r="Q178" s="299"/>
      <c r="R178" s="299"/>
      <c r="S178" s="299"/>
      <c r="T178" s="299"/>
      <c r="U178" s="299"/>
      <c r="V178" s="299"/>
      <c r="W178" s="299"/>
      <c r="X178" s="299"/>
      <c r="Y178" s="299"/>
      <c r="Z178" s="299"/>
      <c r="AA178" s="299"/>
      <c r="AB178" s="299"/>
      <c r="AC178" s="299"/>
      <c r="AD178" s="299"/>
      <c r="AE178" s="299"/>
      <c r="AF178" s="299"/>
      <c r="AG178" s="299"/>
      <c r="AH178" s="299"/>
      <c r="AI178" s="299"/>
      <c r="AJ178" s="299"/>
      <c r="AK178" s="299"/>
      <c r="AL178" s="299"/>
      <c r="AM178" s="299"/>
      <c r="AN178" s="299"/>
      <c r="AO178" s="299"/>
      <c r="AP178" s="299"/>
      <c r="AQ178" s="299"/>
      <c r="AR178" s="299"/>
      <c r="AS178" s="299"/>
      <c r="AT178" s="299"/>
      <c r="AU178" s="299"/>
      <c r="AV178" s="299"/>
      <c r="AW178" s="299"/>
      <c r="AX178" s="299"/>
      <c r="AY178" s="299"/>
      <c r="AZ178" s="299"/>
      <c r="BA178" s="299"/>
      <c r="BB178" s="299"/>
      <c r="BC178" s="299"/>
      <c r="BD178" s="299"/>
      <c r="BE178" s="299"/>
      <c r="BF178" s="299"/>
      <c r="BG178" s="299"/>
      <c r="BH178" s="299"/>
      <c r="BI178" s="299"/>
      <c r="BJ178" s="299"/>
      <c r="BK178" s="299"/>
      <c r="BL178" s="299"/>
      <c r="BM178" s="299"/>
      <c r="BN178" s="299"/>
      <c r="BO178" s="299"/>
      <c r="BP178" s="299"/>
      <c r="BQ178" s="299"/>
      <c r="BR178" s="299"/>
      <c r="BS178" s="299"/>
      <c r="BT178" s="299"/>
      <c r="BU178" s="299"/>
      <c r="BV178" s="299"/>
      <c r="BW178" s="299"/>
      <c r="BX178" s="299"/>
      <c r="BY178" s="299"/>
      <c r="BZ178" s="299"/>
      <c r="CA178" s="299"/>
      <c r="CB178" s="299"/>
      <c r="CC178" s="299"/>
      <c r="CD178" s="299"/>
      <c r="CE178" s="299"/>
      <c r="CF178" s="299"/>
      <c r="CG178" s="299"/>
      <c r="CH178" s="299"/>
      <c r="CI178" s="299"/>
      <c r="CJ178" s="299"/>
      <c r="CK178" s="299"/>
      <c r="CL178" s="299"/>
      <c r="CM178" s="299"/>
      <c r="CN178" s="299"/>
      <c r="CO178" s="299"/>
      <c r="CP178" s="299"/>
      <c r="CQ178" s="299"/>
      <c r="CR178" s="299"/>
      <c r="CS178" s="299"/>
      <c r="CT178" s="299"/>
      <c r="CU178" s="299"/>
      <c r="CV178" s="299"/>
    </row>
    <row r="179" spans="1:100" s="269" customFormat="1" ht="16.5" hidden="1" customHeight="1">
      <c r="A179" s="286"/>
      <c r="B179" s="286"/>
      <c r="C179" s="286"/>
      <c r="D179" s="286"/>
      <c r="E179" s="286"/>
      <c r="F179" s="286"/>
      <c r="G179" s="286"/>
      <c r="H179" s="286"/>
      <c r="I179" s="280" t="e">
        <f>#REF!</f>
        <v>#REF!</v>
      </c>
      <c r="J179" s="912" t="e">
        <f>#REF!</f>
        <v>#REF!</v>
      </c>
      <c r="K179" s="912"/>
      <c r="L179" s="912"/>
      <c r="M179" s="912"/>
      <c r="N179" s="299"/>
      <c r="O179" s="299"/>
      <c r="P179" s="299"/>
      <c r="Q179" s="299"/>
      <c r="R179" s="299"/>
      <c r="S179" s="299"/>
      <c r="T179" s="299"/>
      <c r="U179" s="299"/>
      <c r="V179" s="299"/>
      <c r="W179" s="299"/>
      <c r="X179" s="299"/>
      <c r="Y179" s="299"/>
      <c r="Z179" s="299"/>
      <c r="AA179" s="299"/>
      <c r="AB179" s="299"/>
      <c r="AC179" s="299"/>
      <c r="AD179" s="299"/>
      <c r="AE179" s="299"/>
      <c r="AF179" s="299"/>
      <c r="AG179" s="299"/>
      <c r="AH179" s="299"/>
      <c r="AI179" s="299"/>
      <c r="AJ179" s="299"/>
      <c r="AK179" s="299"/>
      <c r="AL179" s="299"/>
      <c r="AM179" s="299"/>
      <c r="AN179" s="299"/>
      <c r="AO179" s="299"/>
      <c r="AP179" s="299"/>
      <c r="AQ179" s="299"/>
      <c r="AR179" s="299"/>
      <c r="AS179" s="299"/>
      <c r="AT179" s="299"/>
      <c r="AU179" s="299"/>
      <c r="AV179" s="299"/>
      <c r="AW179" s="299"/>
      <c r="AX179" s="299"/>
      <c r="AY179" s="299"/>
      <c r="AZ179" s="299"/>
      <c r="BA179" s="299"/>
      <c r="BB179" s="299"/>
      <c r="BC179" s="299"/>
      <c r="BD179" s="299"/>
      <c r="BE179" s="299"/>
      <c r="BF179" s="299"/>
      <c r="BG179" s="299"/>
      <c r="BH179" s="299"/>
      <c r="BI179" s="299"/>
      <c r="BJ179" s="299"/>
      <c r="BK179" s="299"/>
      <c r="BL179" s="299"/>
      <c r="BM179" s="299"/>
      <c r="BN179" s="299"/>
      <c r="BO179" s="299"/>
      <c r="BP179" s="299"/>
      <c r="BQ179" s="299"/>
      <c r="BR179" s="299"/>
      <c r="BS179" s="299"/>
      <c r="BT179" s="299"/>
      <c r="BU179" s="299"/>
      <c r="BV179" s="299"/>
      <c r="BW179" s="299"/>
      <c r="BX179" s="299"/>
      <c r="BY179" s="299"/>
      <c r="BZ179" s="299"/>
      <c r="CA179" s="299"/>
      <c r="CB179" s="299"/>
      <c r="CC179" s="299"/>
      <c r="CD179" s="299"/>
      <c r="CE179" s="299"/>
      <c r="CF179" s="299"/>
      <c r="CG179" s="299"/>
      <c r="CH179" s="299"/>
      <c r="CI179" s="299"/>
      <c r="CJ179" s="299"/>
      <c r="CK179" s="299"/>
      <c r="CL179" s="299"/>
      <c r="CM179" s="299"/>
      <c r="CN179" s="299"/>
      <c r="CO179" s="299"/>
      <c r="CP179" s="299"/>
      <c r="CQ179" s="299"/>
      <c r="CR179" s="299"/>
      <c r="CS179" s="299"/>
      <c r="CT179" s="299"/>
      <c r="CU179" s="299"/>
      <c r="CV179" s="299"/>
    </row>
    <row r="180" spans="1:100" s="269" customFormat="1" ht="19.5" hidden="1" customHeight="1">
      <c r="A180" s="288"/>
      <c r="B180" s="288"/>
      <c r="C180" s="288"/>
      <c r="D180" s="288"/>
      <c r="E180" s="288"/>
      <c r="F180" s="288"/>
      <c r="G180" s="288"/>
      <c r="H180" s="288"/>
      <c r="I180" s="280" t="e">
        <f>#REF!</f>
        <v>#REF!</v>
      </c>
      <c r="J180" s="912" t="e">
        <f>#REF!</f>
        <v>#REF!</v>
      </c>
      <c r="K180" s="912"/>
      <c r="L180" s="912"/>
      <c r="M180" s="912"/>
      <c r="N180" s="299"/>
      <c r="O180" s="299"/>
      <c r="P180" s="299"/>
      <c r="Q180" s="299"/>
      <c r="R180" s="299"/>
      <c r="S180" s="299"/>
      <c r="T180" s="299"/>
      <c r="U180" s="299"/>
      <c r="V180" s="299"/>
      <c r="W180" s="299"/>
      <c r="X180" s="299"/>
      <c r="Y180" s="299"/>
      <c r="Z180" s="299"/>
      <c r="AA180" s="299"/>
      <c r="AB180" s="299"/>
      <c r="AC180" s="299"/>
      <c r="AD180" s="299"/>
      <c r="AE180" s="299"/>
      <c r="AF180" s="299"/>
      <c r="AG180" s="299"/>
      <c r="AH180" s="299"/>
      <c r="AI180" s="299"/>
      <c r="AJ180" s="299"/>
      <c r="AK180" s="299"/>
      <c r="AL180" s="299"/>
      <c r="AM180" s="299"/>
      <c r="AN180" s="299"/>
      <c r="AO180" s="299"/>
      <c r="AP180" s="299"/>
      <c r="AQ180" s="299"/>
      <c r="AR180" s="299"/>
      <c r="AS180" s="299"/>
      <c r="AT180" s="299"/>
      <c r="AU180" s="299"/>
      <c r="AV180" s="299"/>
      <c r="AW180" s="299"/>
      <c r="AX180" s="299"/>
      <c r="AY180" s="299"/>
      <c r="AZ180" s="299"/>
      <c r="BA180" s="299"/>
      <c r="BB180" s="299"/>
      <c r="BC180" s="299"/>
      <c r="BD180" s="299"/>
      <c r="BE180" s="299"/>
      <c r="BF180" s="299"/>
      <c r="BG180" s="299"/>
      <c r="BH180" s="299"/>
      <c r="BI180" s="299"/>
      <c r="BJ180" s="299"/>
      <c r="BK180" s="299"/>
      <c r="BL180" s="299"/>
      <c r="BM180" s="299"/>
      <c r="BN180" s="299"/>
      <c r="BO180" s="299"/>
      <c r="BP180" s="299"/>
      <c r="BQ180" s="299"/>
      <c r="BR180" s="299"/>
      <c r="BS180" s="299"/>
      <c r="BT180" s="299"/>
      <c r="BU180" s="299"/>
      <c r="BV180" s="299"/>
      <c r="BW180" s="299"/>
      <c r="BX180" s="299"/>
      <c r="BY180" s="299"/>
      <c r="BZ180" s="299"/>
      <c r="CA180" s="299"/>
      <c r="CB180" s="299"/>
      <c r="CC180" s="299"/>
      <c r="CD180" s="299"/>
      <c r="CE180" s="299"/>
      <c r="CF180" s="299"/>
      <c r="CG180" s="299"/>
      <c r="CH180" s="299"/>
      <c r="CI180" s="299"/>
      <c r="CJ180" s="299"/>
      <c r="CK180" s="299"/>
      <c r="CL180" s="299"/>
      <c r="CM180" s="299"/>
      <c r="CN180" s="299"/>
      <c r="CO180" s="299"/>
      <c r="CP180" s="299"/>
      <c r="CQ180" s="299"/>
      <c r="CR180" s="299"/>
      <c r="CS180" s="299"/>
      <c r="CT180" s="299"/>
      <c r="CU180" s="299"/>
      <c r="CV180" s="299"/>
    </row>
    <row r="181" spans="1:100" s="260" customFormat="1">
      <c r="A181" s="292"/>
      <c r="B181" s="292"/>
      <c r="C181" s="292"/>
      <c r="D181" s="292"/>
      <c r="E181" s="292"/>
      <c r="F181" s="292"/>
      <c r="G181" s="292"/>
      <c r="H181" s="292"/>
      <c r="I181" s="293"/>
      <c r="J181" s="913"/>
      <c r="K181" s="913"/>
      <c r="L181" s="913"/>
      <c r="M181" s="913"/>
      <c r="N181" s="299"/>
      <c r="O181" s="299"/>
      <c r="P181" s="299"/>
      <c r="Q181" s="299"/>
      <c r="R181" s="299"/>
      <c r="S181" s="299"/>
      <c r="T181" s="299"/>
      <c r="U181" s="299"/>
      <c r="V181" s="299"/>
      <c r="W181" s="299"/>
      <c r="X181" s="299"/>
      <c r="Y181" s="299"/>
      <c r="Z181" s="299"/>
      <c r="AA181" s="299"/>
      <c r="AB181" s="299"/>
      <c r="AC181" s="299"/>
      <c r="AD181" s="299"/>
      <c r="AE181" s="299"/>
      <c r="AF181" s="299"/>
      <c r="AG181" s="299"/>
      <c r="AH181" s="299"/>
      <c r="AI181" s="299"/>
      <c r="AJ181" s="299"/>
      <c r="AK181" s="299"/>
      <c r="AL181" s="299"/>
      <c r="AM181" s="299"/>
      <c r="AN181" s="299"/>
      <c r="AO181" s="299"/>
      <c r="AP181" s="299"/>
      <c r="AQ181" s="299"/>
      <c r="AR181" s="299"/>
      <c r="AS181" s="299"/>
      <c r="AT181" s="299"/>
      <c r="AU181" s="299"/>
      <c r="AV181" s="299"/>
      <c r="AW181" s="299"/>
      <c r="AX181" s="299"/>
      <c r="AY181" s="299"/>
      <c r="AZ181" s="299"/>
      <c r="BA181" s="299"/>
      <c r="BB181" s="299"/>
      <c r="BC181" s="299"/>
      <c r="BD181" s="299"/>
      <c r="BE181" s="299"/>
      <c r="BF181" s="299"/>
      <c r="BG181" s="299"/>
      <c r="BH181" s="299"/>
      <c r="BI181" s="299"/>
      <c r="BJ181" s="299"/>
      <c r="BK181" s="299"/>
      <c r="BL181" s="299"/>
      <c r="BM181" s="299"/>
      <c r="BN181" s="299"/>
      <c r="BO181" s="299"/>
      <c r="BP181" s="299"/>
      <c r="BQ181" s="299"/>
      <c r="BR181" s="299"/>
      <c r="BS181" s="299"/>
      <c r="BT181" s="299"/>
      <c r="BU181" s="299"/>
      <c r="BV181" s="299"/>
      <c r="BW181" s="299"/>
      <c r="BX181" s="299"/>
      <c r="BY181" s="299"/>
      <c r="BZ181" s="299"/>
      <c r="CA181" s="299"/>
      <c r="CB181" s="299"/>
      <c r="CC181" s="299"/>
      <c r="CD181" s="299"/>
      <c r="CE181" s="299"/>
      <c r="CF181" s="299"/>
      <c r="CG181" s="299"/>
      <c r="CH181" s="299"/>
      <c r="CI181" s="299"/>
      <c r="CJ181" s="299"/>
      <c r="CK181" s="299"/>
      <c r="CL181" s="299"/>
      <c r="CM181" s="299"/>
      <c r="CN181" s="299"/>
      <c r="CO181" s="299"/>
      <c r="CP181" s="299"/>
      <c r="CQ181" s="299"/>
      <c r="CR181" s="299"/>
      <c r="CS181" s="299"/>
      <c r="CT181" s="299"/>
      <c r="CU181" s="299"/>
      <c r="CV181" s="299"/>
    </row>
    <row r="182" spans="1:100" s="260" customFormat="1">
      <c r="A182" s="265"/>
      <c r="B182" s="265"/>
      <c r="C182" s="265"/>
      <c r="D182" s="265"/>
      <c r="E182" s="265"/>
      <c r="F182" s="265"/>
      <c r="G182" s="265"/>
      <c r="H182" s="265"/>
      <c r="I182" s="394"/>
      <c r="J182" s="266"/>
      <c r="K182" s="266"/>
      <c r="L182" s="266"/>
      <c r="M182" s="266"/>
      <c r="N182" s="299"/>
      <c r="O182" s="299"/>
      <c r="P182" s="299"/>
      <c r="Q182" s="299"/>
      <c r="R182" s="299"/>
      <c r="S182" s="299"/>
      <c r="T182" s="299"/>
      <c r="U182" s="299"/>
      <c r="V182" s="299"/>
      <c r="W182" s="299"/>
      <c r="X182" s="299"/>
      <c r="Y182" s="299"/>
      <c r="Z182" s="299"/>
      <c r="AA182" s="299"/>
      <c r="AB182" s="299"/>
      <c r="AC182" s="299"/>
      <c r="AD182" s="299"/>
      <c r="AE182" s="299"/>
      <c r="AF182" s="299"/>
      <c r="AG182" s="299"/>
      <c r="AH182" s="299"/>
      <c r="AI182" s="299"/>
      <c r="AJ182" s="299"/>
      <c r="AK182" s="299"/>
      <c r="AL182" s="299"/>
      <c r="AM182" s="299"/>
      <c r="AN182" s="299"/>
      <c r="AO182" s="299"/>
      <c r="AP182" s="299"/>
      <c r="AQ182" s="299"/>
      <c r="AR182" s="299"/>
      <c r="AS182" s="299"/>
      <c r="AT182" s="299"/>
      <c r="AU182" s="299"/>
      <c r="AV182" s="299"/>
      <c r="AW182" s="299"/>
      <c r="AX182" s="299"/>
      <c r="AY182" s="299"/>
      <c r="AZ182" s="299"/>
      <c r="BA182" s="299"/>
      <c r="BB182" s="299"/>
      <c r="BC182" s="299"/>
      <c r="BD182" s="299"/>
      <c r="BE182" s="299"/>
      <c r="BF182" s="299"/>
      <c r="BG182" s="299"/>
      <c r="BH182" s="299"/>
      <c r="BI182" s="299"/>
      <c r="BJ182" s="299"/>
      <c r="BK182" s="299"/>
      <c r="BL182" s="299"/>
      <c r="BM182" s="299"/>
      <c r="BN182" s="299"/>
      <c r="BO182" s="299"/>
      <c r="BP182" s="299"/>
      <c r="BQ182" s="299"/>
      <c r="BR182" s="299"/>
      <c r="BS182" s="299"/>
      <c r="BT182" s="299"/>
      <c r="BU182" s="299"/>
      <c r="BV182" s="299"/>
      <c r="BW182" s="299"/>
      <c r="BX182" s="299"/>
      <c r="BY182" s="299"/>
      <c r="BZ182" s="299"/>
      <c r="CA182" s="299"/>
      <c r="CB182" s="299"/>
      <c r="CC182" s="299"/>
      <c r="CD182" s="299"/>
      <c r="CE182" s="299"/>
      <c r="CF182" s="299"/>
      <c r="CG182" s="299"/>
      <c r="CH182" s="299"/>
      <c r="CI182" s="299"/>
      <c r="CJ182" s="299"/>
      <c r="CK182" s="299"/>
      <c r="CL182" s="299"/>
      <c r="CM182" s="299"/>
      <c r="CN182" s="299"/>
      <c r="CO182" s="299"/>
      <c r="CP182" s="299"/>
      <c r="CQ182" s="299"/>
      <c r="CR182" s="299"/>
      <c r="CS182" s="299"/>
      <c r="CT182" s="299"/>
      <c r="CU182" s="299"/>
      <c r="CV182" s="299"/>
    </row>
    <row r="183" spans="1:100" s="260" customFormat="1">
      <c r="A183" s="265"/>
      <c r="B183" s="265"/>
      <c r="C183" s="265"/>
      <c r="D183" s="265"/>
      <c r="E183" s="265"/>
      <c r="F183" s="265"/>
      <c r="G183" s="265"/>
      <c r="H183" s="265"/>
      <c r="I183" s="394"/>
      <c r="J183" s="266"/>
      <c r="K183" s="266"/>
      <c r="L183" s="266"/>
      <c r="M183" s="266"/>
      <c r="N183" s="299"/>
      <c r="O183" s="299"/>
      <c r="P183" s="299"/>
      <c r="Q183" s="299"/>
      <c r="R183" s="299"/>
      <c r="S183" s="299"/>
      <c r="T183" s="299"/>
      <c r="U183" s="299"/>
      <c r="V183" s="299"/>
      <c r="W183" s="299"/>
      <c r="X183" s="299"/>
      <c r="Y183" s="299"/>
      <c r="Z183" s="299"/>
      <c r="AA183" s="299"/>
      <c r="AB183" s="299"/>
      <c r="AC183" s="299"/>
      <c r="AD183" s="299"/>
      <c r="AE183" s="299"/>
      <c r="AF183" s="299"/>
      <c r="AG183" s="299"/>
      <c r="AH183" s="299"/>
      <c r="AI183" s="299"/>
      <c r="AJ183" s="299"/>
      <c r="AK183" s="299"/>
      <c r="AL183" s="299"/>
      <c r="AM183" s="299"/>
      <c r="AN183" s="299"/>
      <c r="AO183" s="299"/>
      <c r="AP183" s="299"/>
      <c r="AQ183" s="299"/>
      <c r="AR183" s="299"/>
      <c r="AS183" s="299"/>
      <c r="AT183" s="299"/>
      <c r="AU183" s="299"/>
      <c r="AV183" s="299"/>
      <c r="AW183" s="299"/>
      <c r="AX183" s="299"/>
      <c r="AY183" s="299"/>
      <c r="AZ183" s="299"/>
      <c r="BA183" s="299"/>
      <c r="BB183" s="299"/>
      <c r="BC183" s="299"/>
      <c r="BD183" s="299"/>
      <c r="BE183" s="299"/>
      <c r="BF183" s="299"/>
      <c r="BG183" s="299"/>
      <c r="BH183" s="299"/>
      <c r="BI183" s="299"/>
      <c r="BJ183" s="299"/>
      <c r="BK183" s="299"/>
      <c r="BL183" s="299"/>
      <c r="BM183" s="299"/>
      <c r="BN183" s="299"/>
      <c r="BO183" s="299"/>
      <c r="BP183" s="299"/>
      <c r="BQ183" s="299"/>
      <c r="BR183" s="299"/>
      <c r="BS183" s="299"/>
      <c r="BT183" s="299"/>
      <c r="BU183" s="299"/>
      <c r="BV183" s="299"/>
      <c r="BW183" s="299"/>
      <c r="BX183" s="299"/>
      <c r="BY183" s="299"/>
      <c r="BZ183" s="299"/>
      <c r="CA183" s="299"/>
      <c r="CB183" s="299"/>
      <c r="CC183" s="299"/>
      <c r="CD183" s="299"/>
      <c r="CE183" s="299"/>
      <c r="CF183" s="299"/>
      <c r="CG183" s="299"/>
      <c r="CH183" s="299"/>
      <c r="CI183" s="299"/>
      <c r="CJ183" s="299"/>
      <c r="CK183" s="299"/>
      <c r="CL183" s="299"/>
      <c r="CM183" s="299"/>
      <c r="CN183" s="299"/>
      <c r="CO183" s="299"/>
      <c r="CP183" s="299"/>
      <c r="CQ183" s="299"/>
      <c r="CR183" s="299"/>
      <c r="CS183" s="299"/>
      <c r="CT183" s="299"/>
      <c r="CU183" s="299"/>
      <c r="CV183" s="299"/>
    </row>
  </sheetData>
  <sheetProtection password="CC6F" sheet="1" objects="1" scenarios="1" formatColumns="0" formatRows="0" selectLockedCells="1"/>
  <customSheetViews>
    <customSheetView guid="{027A88A6-1BB1-46D4-AC44-9DCFC13F5D7E}" showPageBreaks="1" fitToPage="1" printArea="1" hiddenRows="1" hiddenColumns="1" view="pageBreakPreview">
      <selection activeCell="A16" sqref="A16"/>
      <pageMargins left="0.7" right="0.7" top="0.75" bottom="0.75" header="0.3" footer="0.3"/>
      <pageSetup paperSize="9" scale="75" fitToHeight="0" orientation="landscape" r:id="rId1"/>
    </customSheetView>
    <customSheetView guid="{889C3D82-0A24-4765-A688-A80A782F5056}" showPageBreaks="1" fitToPage="1" printArea="1" hiddenRows="1" hiddenColumns="1" view="pageBreakPreview">
      <selection activeCell="A16" sqref="A16"/>
      <pageMargins left="0.7" right="0.7" top="0.75" bottom="0.75" header="0.3" footer="0.3"/>
      <pageSetup paperSize="9" scale="75" fitToHeight="0" orientation="landscape" r:id="rId2"/>
    </customSheetView>
    <customSheetView guid="{A58DB4DF-40C7-4BEB-B85E-6BD6F54941CF}" showPageBreaks="1" printArea="1" hiddenRows="1" hiddenColumns="1" view="pageBreakPreview" topLeftCell="A10">
      <selection activeCell="A16" sqref="A16"/>
      <pageMargins left="0.7" right="0.7" top="0.75" bottom="0.75" header="0.3" footer="0.3"/>
      <pageSetup paperSize="9" scale="57" orientation="landscape" r:id="rId3"/>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4"/>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5"/>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6"/>
    </customSheetView>
    <customSheetView guid="{63D51328-7CBC-4A1E-B96D-BAE91416501B}" scale="80" showPageBreaks="1" printArea="1" hiddenRows="1" hiddenColumns="1" view="pageBreakPreview">
      <selection activeCell="K30" sqref="K30"/>
      <pageMargins left="0.7" right="0.7" top="0.75" bottom="0.75" header="0.3" footer="0.3"/>
      <pageSetup paperSize="9" scale="57" orientation="landscape" r:id="rId7"/>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8"/>
    </customSheetView>
    <customSheetView guid="{CCA37BAE-906F-43D5-9FD9-B13563E4B9D7}" showPageBreaks="1" printArea="1" hiddenRows="1" hiddenColumns="1" view="pageBreakPreview">
      <selection activeCell="A16" sqref="A16"/>
      <pageMargins left="0.7" right="0.7" top="0.75" bottom="0.75" header="0.3" footer="0.3"/>
      <pageSetup paperSize="9" scale="57" orientation="landscape" r:id="rId9"/>
    </customSheetView>
    <customSheetView guid="{18EA11B4-BD82-47BF-99FA-7AB19BF74D0B}" showPageBreaks="1" printArea="1" hiddenRows="1" hiddenColumns="1" view="pageBreakPreview">
      <selection activeCell="A16" sqref="A16"/>
      <pageMargins left="0.7" right="0.7" top="0.75" bottom="0.75" header="0.3" footer="0.3"/>
      <pageSetup paperSize="9" scale="57" orientation="landscape" r:id="rId10"/>
    </customSheetView>
    <customSheetView guid="{915C64AD-BD67-44F0-9117-5B9D998BA799}" showPageBreaks="1" printArea="1" hiddenRows="1" hiddenColumns="1" view="pageBreakPreview" topLeftCell="A10">
      <selection activeCell="A16" sqref="A16"/>
      <pageMargins left="0.7" right="0.7" top="0.75" bottom="0.75" header="0.3" footer="0.3"/>
      <pageSetup paperSize="9" scale="57" orientation="landscape" r:id="rId11"/>
    </customSheetView>
    <customSheetView guid="{DACD165C-CB59-4178-94BC-16705741C7B8}" showPageBreaks="1" fitToPage="1" printArea="1" hiddenRows="1" hiddenColumns="1" view="pageBreakPreview" topLeftCell="A4">
      <selection activeCell="A16" sqref="A16"/>
      <pageMargins left="0.7" right="0.7" top="0.75" bottom="0.75" header="0.3" footer="0.3"/>
      <pageSetup paperSize="9" scale="75" fitToHeight="0" orientation="landscape" r:id="rId12"/>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zoomScaleNormal="70" zoomScaleSheetLayoutView="100" workbookViewId="0">
      <selection activeCell="G18" sqref="G18"/>
    </sheetView>
  </sheetViews>
  <sheetFormatPr defaultColWidth="9.109375" defaultRowHeight="14.4"/>
  <cols>
    <col min="1" max="2" width="5.6640625" style="164" customWidth="1"/>
    <col min="3" max="3" width="24.6640625" style="164" customWidth="1"/>
    <col min="4" max="4" width="15.33203125" style="164" customWidth="1"/>
    <col min="5" max="5" width="28.6640625" style="164" customWidth="1"/>
    <col min="6" max="6" width="14.6640625" style="164" customWidth="1"/>
    <col min="7" max="7" width="19.5546875" style="164" customWidth="1"/>
    <col min="8" max="8" width="23.6640625" style="151" hidden="1" customWidth="1"/>
    <col min="9" max="9" width="18" style="152" hidden="1" customWidth="1"/>
    <col min="10" max="10" width="16.88671875" style="153" hidden="1" customWidth="1"/>
    <col min="11" max="11" width="14.5546875" style="153" hidden="1" customWidth="1"/>
    <col min="12" max="12" width="18.5546875" style="153" hidden="1" customWidth="1"/>
    <col min="13" max="13" width="16.33203125" style="153" customWidth="1"/>
    <col min="14" max="14" width="39.6640625" style="153" customWidth="1"/>
    <col min="15" max="15" width="24.33203125" style="153" customWidth="1"/>
    <col min="16" max="17" width="16.33203125" style="153" customWidth="1"/>
    <col min="18" max="19" width="10.33203125" style="154" customWidth="1"/>
    <col min="20" max="20" width="9.109375" style="154" customWidth="1"/>
    <col min="21" max="21" width="9.109375" style="155" customWidth="1"/>
    <col min="22" max="23" width="9.109375" style="155"/>
    <col min="24" max="25" width="9.109375" style="156"/>
    <col min="26" max="16384" width="9.109375" style="157"/>
  </cols>
  <sheetData>
    <row r="1" spans="1:25" s="149" customFormat="1" ht="39.9" customHeight="1">
      <c r="A1" s="952" t="s">
        <v>164</v>
      </c>
      <c r="B1" s="952"/>
      <c r="C1" s="952"/>
      <c r="D1" s="952"/>
      <c r="E1" s="952"/>
      <c r="F1" s="952"/>
      <c r="G1" s="952"/>
      <c r="H1" s="144"/>
      <c r="I1" s="145"/>
      <c r="J1" s="146"/>
      <c r="K1" s="146"/>
      <c r="L1" s="146"/>
      <c r="M1" s="146"/>
      <c r="N1" s="146"/>
      <c r="O1" s="146"/>
      <c r="P1" s="146"/>
      <c r="Q1" s="146"/>
      <c r="R1" s="146"/>
      <c r="S1" s="146"/>
      <c r="T1" s="146"/>
      <c r="U1" s="147"/>
      <c r="V1" s="147"/>
      <c r="W1" s="147"/>
      <c r="X1" s="148"/>
      <c r="Y1" s="148"/>
    </row>
    <row r="2" spans="1:25" ht="18" customHeight="1">
      <c r="A2" s="113" t="str">
        <f>Cover!B3</f>
        <v>Specification No. : 5002002268/TOWER/DOM/A00 - CC CS -1</v>
      </c>
      <c r="B2" s="113"/>
      <c r="C2" s="114"/>
      <c r="D2" s="150"/>
      <c r="E2" s="150"/>
      <c r="F2" s="150"/>
      <c r="G2" s="116" t="s">
        <v>165</v>
      </c>
    </row>
    <row r="3" spans="1:25" ht="12.75" customHeight="1">
      <c r="A3" s="117"/>
      <c r="B3" s="117"/>
      <c r="C3" s="118"/>
      <c r="D3" s="139"/>
      <c r="E3" s="139"/>
      <c r="F3" s="139"/>
      <c r="G3" s="119"/>
    </row>
    <row r="4" spans="1:25" ht="18.899999999999999" customHeight="1">
      <c r="A4" s="953" t="s">
        <v>166</v>
      </c>
      <c r="B4" s="953"/>
      <c r="C4" s="953"/>
      <c r="D4" s="953"/>
      <c r="E4" s="953"/>
      <c r="F4" s="953"/>
      <c r="G4" s="953"/>
    </row>
    <row r="5" spans="1:25" ht="21" customHeight="1">
      <c r="A5" s="158" t="s">
        <v>1</v>
      </c>
      <c r="B5" s="158"/>
      <c r="C5" s="159"/>
      <c r="D5" s="159"/>
      <c r="E5" s="159"/>
      <c r="F5" s="159"/>
      <c r="G5" s="159"/>
    </row>
    <row r="6" spans="1:25" ht="21" customHeight="1">
      <c r="A6" s="27" t="s">
        <v>2</v>
      </c>
      <c r="B6" s="27"/>
      <c r="C6" s="159"/>
      <c r="D6" s="159"/>
      <c r="E6" s="159"/>
      <c r="F6" s="159"/>
      <c r="G6" s="159"/>
      <c r="I6" s="621" t="s">
        <v>232</v>
      </c>
      <c r="J6" s="728">
        <f>'Sch-1'!N214</f>
        <v>0</v>
      </c>
      <c r="K6" s="620"/>
      <c r="L6" s="443"/>
    </row>
    <row r="7" spans="1:25" ht="21" customHeight="1">
      <c r="A7" s="27" t="s">
        <v>3</v>
      </c>
      <c r="B7" s="27"/>
      <c r="C7" s="159"/>
      <c r="D7" s="159"/>
      <c r="E7" s="159"/>
      <c r="F7" s="159"/>
      <c r="G7" s="159"/>
      <c r="I7" s="621" t="s">
        <v>234</v>
      </c>
      <c r="J7" s="728">
        <f>'Sch-2'!J214</f>
        <v>0</v>
      </c>
      <c r="K7" s="620"/>
    </row>
    <row r="8" spans="1:25" ht="21" customHeight="1">
      <c r="A8" s="27" t="s">
        <v>4</v>
      </c>
      <c r="B8" s="27"/>
      <c r="C8" s="159"/>
      <c r="D8" s="159"/>
      <c r="E8" s="159"/>
      <c r="F8" s="159"/>
      <c r="G8" s="159"/>
      <c r="I8" s="621" t="s">
        <v>235</v>
      </c>
      <c r="J8" s="728">
        <f>'Sch-3'!P250</f>
        <v>0</v>
      </c>
      <c r="K8" s="620"/>
    </row>
    <row r="9" spans="1:25" ht="21" customHeight="1">
      <c r="A9" s="27" t="s">
        <v>167</v>
      </c>
      <c r="B9" s="27"/>
      <c r="C9" s="159"/>
      <c r="D9" s="159"/>
      <c r="E9" s="159"/>
      <c r="F9" s="159"/>
      <c r="G9" s="159"/>
      <c r="I9" s="622" t="s">
        <v>195</v>
      </c>
      <c r="J9" s="729">
        <f>J6+J7+J8</f>
        <v>0</v>
      </c>
      <c r="K9" s="620"/>
    </row>
    <row r="10" spans="1:25" ht="21" customHeight="1">
      <c r="A10" s="27" t="s">
        <v>6</v>
      </c>
      <c r="B10" s="27"/>
      <c r="C10" s="159"/>
      <c r="D10" s="159"/>
      <c r="E10" s="159"/>
      <c r="F10" s="159"/>
      <c r="G10" s="159"/>
      <c r="J10" s="442"/>
    </row>
    <row r="11" spans="1:25" ht="14.25" customHeight="1">
      <c r="A11" s="159"/>
      <c r="B11" s="159"/>
      <c r="C11" s="159"/>
      <c r="D11" s="159"/>
      <c r="E11" s="159"/>
      <c r="F11" s="159"/>
      <c r="G11" s="159"/>
    </row>
    <row r="12" spans="1:25" ht="150.6" customHeight="1">
      <c r="A12" s="160" t="s">
        <v>168</v>
      </c>
      <c r="B12" s="526"/>
      <c r="C12" s="954" t="str">
        <f>Cover!$B$2</f>
        <v>Transmission Line Tower Package-TW01 including Design &amp; Testing of towers, Design of foundation, Supply of HTLS conductor, Composite long rod insulators, Earthwire/OPGW, Hardware Fittings, Accessories for Conductor &amp; Earthwire for M/C portion of (i) 400 kV D/C (Twin HTLS) Navasari (New) (South Gujarat)-Kala line and (ii) 400 kV D/C (Twin HTLS) Navasari (New) (South Gujarat)-Magarwada line and for D/C portion of (i) 400 kV D/C (twin HTLS) Navasari (New) (South Gujarat)-Kala line (From M/c line common point near Magarwada SS to Kala SS) associated with Transmission Network Expansion in Gujarat to increase its ATC from ISTS: Part B.</v>
      </c>
      <c r="D12" s="954"/>
      <c r="E12" s="954"/>
      <c r="F12" s="954"/>
      <c r="G12" s="954"/>
      <c r="J12" s="443"/>
    </row>
    <row r="13" spans="1:25" ht="21" customHeight="1" thickBot="1">
      <c r="A13" s="161" t="s">
        <v>169</v>
      </c>
      <c r="B13" s="161"/>
      <c r="C13" s="162"/>
      <c r="D13" s="161"/>
      <c r="E13" s="161"/>
      <c r="F13" s="161"/>
      <c r="G13" s="161"/>
      <c r="H13" s="437"/>
      <c r="K13" s="170"/>
      <c r="L13" s="170"/>
      <c r="M13" s="170"/>
    </row>
    <row r="14" spans="1:25" ht="41.25" customHeight="1" thickBot="1">
      <c r="A14" s="955" t="s">
        <v>170</v>
      </c>
      <c r="B14" s="955"/>
      <c r="C14" s="955"/>
      <c r="D14" s="955"/>
      <c r="E14" s="955"/>
      <c r="F14" s="955"/>
      <c r="G14" s="955"/>
      <c r="H14" s="635" t="s">
        <v>329</v>
      </c>
      <c r="I14" s="635" t="s">
        <v>330</v>
      </c>
      <c r="J14" s="636" t="s">
        <v>331</v>
      </c>
      <c r="K14" s="170"/>
      <c r="L14" s="170"/>
      <c r="M14" s="170"/>
      <c r="N14" s="163"/>
    </row>
    <row r="15" spans="1:25" ht="56.25" customHeight="1">
      <c r="B15" s="165">
        <v>1</v>
      </c>
      <c r="C15" s="959" t="s">
        <v>322</v>
      </c>
      <c r="D15" s="957"/>
      <c r="E15" s="957"/>
      <c r="F15" s="958"/>
      <c r="G15" s="166"/>
      <c r="H15" s="698">
        <f>IF(J6=0,0,(G15/J9)*J6)</f>
        <v>0</v>
      </c>
      <c r="I15" s="699">
        <f>IF(J7=0,0,(G15/J9)*J7)</f>
        <v>0</v>
      </c>
      <c r="J15" s="698">
        <f>IF(J8,(G15/J9)*J8,0)</f>
        <v>0</v>
      </c>
      <c r="K15" s="170"/>
      <c r="L15" s="170"/>
      <c r="M15" s="170"/>
    </row>
    <row r="16" spans="1:25" ht="55.5" customHeight="1">
      <c r="B16" s="165">
        <v>2</v>
      </c>
      <c r="C16" s="956" t="s">
        <v>512</v>
      </c>
      <c r="D16" s="957"/>
      <c r="E16" s="957"/>
      <c r="F16" s="958"/>
      <c r="G16" s="167"/>
      <c r="H16" s="700">
        <f>G16*J6</f>
        <v>0</v>
      </c>
      <c r="I16" s="701">
        <f>G16*J7</f>
        <v>0</v>
      </c>
      <c r="J16" s="700">
        <f>G16*J8</f>
        <v>0</v>
      </c>
      <c r="K16" s="170"/>
      <c r="L16" s="170"/>
      <c r="M16" s="170"/>
    </row>
    <row r="17" spans="1:25" s="168" customFormat="1" ht="39.75" customHeight="1" thickBot="1">
      <c r="B17" s="169">
        <v>3</v>
      </c>
      <c r="C17" s="949" t="s">
        <v>171</v>
      </c>
      <c r="D17" s="950"/>
      <c r="E17" s="950"/>
      <c r="F17" s="951"/>
      <c r="G17" s="434"/>
      <c r="H17" s="700"/>
      <c r="I17" s="700"/>
      <c r="J17" s="700"/>
      <c r="K17" s="170"/>
      <c r="L17" s="170"/>
      <c r="M17" s="170"/>
      <c r="N17" s="170"/>
      <c r="O17" s="170"/>
      <c r="P17" s="170"/>
      <c r="Q17" s="170"/>
      <c r="R17" s="171"/>
      <c r="S17" s="171"/>
      <c r="T17" s="171"/>
      <c r="U17" s="172"/>
      <c r="V17" s="172"/>
      <c r="W17" s="172"/>
      <c r="X17" s="173"/>
      <c r="Y17" s="173"/>
    </row>
    <row r="18" spans="1:25" s="168" customFormat="1" ht="21" customHeight="1" thickBot="1">
      <c r="B18" s="174"/>
      <c r="C18" s="945" t="s">
        <v>323</v>
      </c>
      <c r="D18" s="946"/>
      <c r="E18" s="946"/>
      <c r="F18" s="175" t="s">
        <v>172</v>
      </c>
      <c r="G18" s="435"/>
      <c r="H18" s="702">
        <f>G18</f>
        <v>0</v>
      </c>
      <c r="I18" s="703"/>
      <c r="J18" s="700"/>
      <c r="K18" s="170"/>
      <c r="L18" s="170"/>
      <c r="M18" s="170"/>
      <c r="N18" s="177"/>
      <c r="O18" s="176"/>
      <c r="P18" s="170"/>
      <c r="Q18" s="170"/>
      <c r="R18" s="171"/>
      <c r="S18" s="171"/>
      <c r="T18" s="171"/>
      <c r="U18" s="172"/>
      <c r="V18" s="172"/>
      <c r="W18" s="172"/>
      <c r="X18" s="173"/>
      <c r="Y18" s="173"/>
    </row>
    <row r="19" spans="1:25" s="168" customFormat="1" ht="33" customHeight="1" thickBot="1">
      <c r="B19" s="174"/>
      <c r="C19" s="938" t="s">
        <v>348</v>
      </c>
      <c r="D19" s="939"/>
      <c r="E19" s="939"/>
      <c r="F19" s="175" t="s">
        <v>172</v>
      </c>
      <c r="G19" s="435"/>
      <c r="H19" s="704"/>
      <c r="I19" s="702">
        <f>G19</f>
        <v>0</v>
      </c>
      <c r="J19" s="705"/>
      <c r="K19" s="170"/>
      <c r="L19" s="170"/>
      <c r="M19" s="170"/>
      <c r="N19" s="177"/>
      <c r="O19" s="176"/>
      <c r="P19" s="170"/>
      <c r="Q19" s="170"/>
      <c r="R19" s="171"/>
      <c r="S19" s="171"/>
      <c r="T19" s="171"/>
      <c r="U19" s="172"/>
      <c r="V19" s="172"/>
      <c r="W19" s="172"/>
      <c r="X19" s="173"/>
      <c r="Y19" s="173"/>
    </row>
    <row r="20" spans="1:25" s="168" customFormat="1" ht="21" customHeight="1" thickBot="1">
      <c r="B20" s="174"/>
      <c r="C20" s="945" t="s">
        <v>324</v>
      </c>
      <c r="D20" s="946"/>
      <c r="E20" s="946"/>
      <c r="F20" s="175" t="s">
        <v>172</v>
      </c>
      <c r="G20" s="435"/>
      <c r="H20" s="700"/>
      <c r="I20" s="699"/>
      <c r="J20" s="702">
        <f>G20</f>
        <v>0</v>
      </c>
      <c r="K20" s="170"/>
      <c r="L20" s="170"/>
      <c r="M20" s="170"/>
      <c r="N20" s="177"/>
      <c r="O20" s="176"/>
      <c r="P20" s="170"/>
      <c r="Q20" s="170"/>
      <c r="R20" s="171"/>
      <c r="S20" s="171"/>
      <c r="T20" s="171"/>
      <c r="U20" s="172"/>
      <c r="V20" s="172"/>
      <c r="W20" s="172"/>
      <c r="X20" s="173"/>
      <c r="Y20" s="173"/>
    </row>
    <row r="21" spans="1:25" s="168" customFormat="1" ht="21" hidden="1" customHeight="1">
      <c r="B21" s="174"/>
      <c r="C21" s="945" t="s">
        <v>325</v>
      </c>
      <c r="D21" s="946"/>
      <c r="E21" s="946"/>
      <c r="F21" s="175" t="s">
        <v>172</v>
      </c>
      <c r="G21" s="444"/>
      <c r="H21" s="700"/>
      <c r="I21" s="701"/>
      <c r="J21" s="698"/>
      <c r="K21" s="170"/>
      <c r="L21" s="170"/>
      <c r="M21" s="170"/>
      <c r="N21" s="177"/>
      <c r="O21" s="176"/>
      <c r="P21" s="170"/>
      <c r="Q21" s="170"/>
      <c r="R21" s="171"/>
      <c r="S21" s="171"/>
      <c r="T21" s="171"/>
      <c r="U21" s="172"/>
      <c r="V21" s="172"/>
      <c r="W21" s="172"/>
      <c r="X21" s="173"/>
      <c r="Y21" s="173"/>
    </row>
    <row r="22" spans="1:25" s="168" customFormat="1" ht="21" hidden="1" customHeight="1">
      <c r="B22" s="178"/>
      <c r="C22" s="945" t="s">
        <v>173</v>
      </c>
      <c r="D22" s="946"/>
      <c r="E22" s="946"/>
      <c r="F22" s="179" t="s">
        <v>172</v>
      </c>
      <c r="G22" s="444"/>
      <c r="H22" s="700"/>
      <c r="I22" s="701"/>
      <c r="J22" s="700"/>
      <c r="K22" s="170"/>
      <c r="L22" s="170"/>
      <c r="M22" s="170"/>
      <c r="N22" s="177"/>
      <c r="O22" s="176"/>
      <c r="P22" s="170"/>
      <c r="Q22" s="170"/>
      <c r="R22" s="171"/>
      <c r="S22" s="171"/>
      <c r="T22" s="171"/>
      <c r="U22" s="172"/>
      <c r="V22" s="172"/>
      <c r="W22" s="172"/>
      <c r="X22" s="173"/>
      <c r="Y22" s="173"/>
    </row>
    <row r="23" spans="1:25" s="168" customFormat="1" ht="54.9" customHeight="1" thickBot="1">
      <c r="B23" s="169">
        <v>4</v>
      </c>
      <c r="C23" s="934" t="s">
        <v>513</v>
      </c>
      <c r="D23" s="935"/>
      <c r="E23" s="935"/>
      <c r="F23" s="936"/>
      <c r="G23" s="434"/>
      <c r="H23" s="706"/>
      <c r="I23" s="701"/>
      <c r="J23" s="700"/>
      <c r="K23" s="170"/>
      <c r="L23" s="170"/>
      <c r="M23" s="170"/>
      <c r="N23" s="170"/>
      <c r="O23" s="170"/>
      <c r="P23" s="170"/>
      <c r="Q23" s="170"/>
      <c r="R23" s="171"/>
      <c r="S23" s="171"/>
      <c r="T23" s="171"/>
      <c r="U23" s="172"/>
      <c r="V23" s="172"/>
      <c r="W23" s="172"/>
      <c r="X23" s="173"/>
      <c r="Y23" s="173"/>
    </row>
    <row r="24" spans="1:25" s="168" customFormat="1" ht="21" customHeight="1" thickBot="1">
      <c r="A24" s="180"/>
      <c r="B24" s="174"/>
      <c r="C24" s="945" t="s">
        <v>323</v>
      </c>
      <c r="D24" s="946"/>
      <c r="E24" s="946"/>
      <c r="F24" s="175" t="s">
        <v>174</v>
      </c>
      <c r="G24" s="436"/>
      <c r="H24" s="707">
        <f>G24*J6</f>
        <v>0</v>
      </c>
      <c r="I24" s="703"/>
      <c r="J24" s="700"/>
      <c r="K24" s="170"/>
      <c r="L24" s="170"/>
      <c r="M24" s="170"/>
      <c r="N24" s="170"/>
      <c r="O24" s="170"/>
      <c r="P24" s="170"/>
      <c r="Q24" s="170"/>
      <c r="R24" s="171"/>
      <c r="S24" s="171"/>
      <c r="T24" s="171"/>
      <c r="U24" s="172"/>
      <c r="V24" s="172"/>
      <c r="W24" s="172"/>
      <c r="X24" s="173"/>
      <c r="Y24" s="173"/>
    </row>
    <row r="25" spans="1:25" s="168" customFormat="1" ht="33.75" customHeight="1" thickBot="1">
      <c r="A25" s="180"/>
      <c r="B25" s="174"/>
      <c r="C25" s="940" t="s">
        <v>348</v>
      </c>
      <c r="D25" s="941"/>
      <c r="E25" s="941"/>
      <c r="F25" s="175" t="s">
        <v>174</v>
      </c>
      <c r="G25" s="436"/>
      <c r="H25" s="708"/>
      <c r="I25" s="702">
        <f>G25*J7</f>
        <v>0</v>
      </c>
      <c r="J25" s="705"/>
      <c r="K25" s="170"/>
      <c r="L25" s="170"/>
      <c r="M25" s="170"/>
      <c r="N25" s="170"/>
      <c r="O25" s="170"/>
      <c r="P25" s="170"/>
      <c r="Q25" s="170"/>
      <c r="R25" s="171"/>
      <c r="S25" s="171"/>
      <c r="T25" s="171"/>
      <c r="U25" s="172"/>
      <c r="V25" s="172"/>
      <c r="W25" s="172"/>
      <c r="X25" s="173"/>
      <c r="Y25" s="173"/>
    </row>
    <row r="26" spans="1:25" s="168" customFormat="1" ht="21" customHeight="1" thickBot="1">
      <c r="A26" s="180"/>
      <c r="B26" s="174"/>
      <c r="C26" s="945" t="s">
        <v>324</v>
      </c>
      <c r="D26" s="946"/>
      <c r="E26" s="946"/>
      <c r="F26" s="175" t="s">
        <v>174</v>
      </c>
      <c r="G26" s="436"/>
      <c r="H26" s="706"/>
      <c r="I26" s="699"/>
      <c r="J26" s="702">
        <f>G26*J8</f>
        <v>0</v>
      </c>
      <c r="K26" s="170"/>
      <c r="L26" s="170"/>
      <c r="M26" s="170"/>
      <c r="N26" s="170"/>
      <c r="O26" s="170"/>
      <c r="P26" s="170"/>
      <c r="Q26" s="170"/>
      <c r="R26" s="171"/>
      <c r="S26" s="171"/>
      <c r="T26" s="171"/>
      <c r="U26" s="172"/>
      <c r="V26" s="172"/>
      <c r="W26" s="172"/>
      <c r="X26" s="173"/>
      <c r="Y26" s="173"/>
    </row>
    <row r="27" spans="1:25" s="168" customFormat="1" ht="21" hidden="1" customHeight="1">
      <c r="A27" s="180"/>
      <c r="B27" s="174"/>
      <c r="C27" s="945" t="s">
        <v>325</v>
      </c>
      <c r="D27" s="946"/>
      <c r="E27" s="946"/>
      <c r="F27" s="175" t="s">
        <v>174</v>
      </c>
      <c r="G27" s="445"/>
      <c r="H27" s="706"/>
      <c r="I27" s="701"/>
      <c r="J27" s="698"/>
      <c r="K27" s="170"/>
      <c r="L27" s="170"/>
      <c r="M27" s="170"/>
      <c r="N27" s="170"/>
      <c r="O27" s="170"/>
      <c r="P27" s="170"/>
      <c r="Q27" s="170"/>
      <c r="R27" s="171"/>
      <c r="S27" s="171"/>
      <c r="T27" s="171"/>
      <c r="U27" s="172"/>
      <c r="V27" s="172"/>
      <c r="W27" s="172"/>
      <c r="X27" s="173"/>
      <c r="Y27" s="173"/>
    </row>
    <row r="28" spans="1:25" s="168" customFormat="1" ht="21" hidden="1" customHeight="1">
      <c r="A28" s="180"/>
      <c r="B28" s="178"/>
      <c r="C28" s="947" t="s">
        <v>173</v>
      </c>
      <c r="D28" s="948"/>
      <c r="E28" s="948"/>
      <c r="F28" s="179" t="s">
        <v>174</v>
      </c>
      <c r="G28" s="445"/>
      <c r="H28" s="706"/>
      <c r="I28" s="701"/>
      <c r="J28" s="700"/>
      <c r="K28" s="170"/>
      <c r="L28" s="170"/>
      <c r="M28" s="170"/>
      <c r="N28" s="170"/>
      <c r="O28" s="170"/>
      <c r="P28" s="170"/>
      <c r="Q28" s="170"/>
      <c r="R28" s="171"/>
      <c r="S28" s="171"/>
      <c r="T28" s="171"/>
      <c r="U28" s="172"/>
      <c r="V28" s="172"/>
      <c r="W28" s="172"/>
      <c r="X28" s="173"/>
      <c r="Y28" s="173"/>
    </row>
    <row r="29" spans="1:25" s="168" customFormat="1" ht="15.6" hidden="1">
      <c r="A29" s="180"/>
      <c r="B29" s="181"/>
      <c r="C29" s="932" t="s">
        <v>175</v>
      </c>
      <c r="D29" s="933"/>
      <c r="E29" s="933"/>
      <c r="F29" s="933"/>
      <c r="G29" s="933"/>
      <c r="H29" s="709"/>
      <c r="I29" s="709"/>
      <c r="J29" s="709"/>
      <c r="K29" s="170"/>
      <c r="L29" s="170"/>
      <c r="M29" s="170"/>
      <c r="N29" s="170"/>
      <c r="O29" s="170"/>
      <c r="P29" s="170"/>
      <c r="Q29" s="170"/>
      <c r="R29" s="171"/>
      <c r="S29" s="171"/>
      <c r="T29" s="171"/>
      <c r="U29" s="172"/>
      <c r="V29" s="172"/>
      <c r="W29" s="172"/>
      <c r="X29" s="173"/>
      <c r="Y29" s="173"/>
    </row>
    <row r="30" spans="1:25" s="168" customFormat="1" ht="48.75" hidden="1" customHeight="1">
      <c r="A30" s="180"/>
      <c r="B30" s="182">
        <v>5</v>
      </c>
      <c r="C30" s="942" t="s">
        <v>176</v>
      </c>
      <c r="D30" s="942"/>
      <c r="E30" s="942"/>
      <c r="F30" s="942"/>
      <c r="G30" s="942"/>
      <c r="H30" s="710"/>
      <c r="I30" s="710"/>
      <c r="J30" s="710"/>
      <c r="K30" s="170"/>
      <c r="L30" s="170"/>
      <c r="M30" s="170"/>
      <c r="N30" s="170"/>
      <c r="O30" s="170"/>
      <c r="P30" s="170"/>
      <c r="Q30" s="170"/>
      <c r="R30" s="171"/>
      <c r="S30" s="171"/>
      <c r="T30" s="171"/>
      <c r="U30" s="172"/>
      <c r="V30" s="172"/>
      <c r="W30" s="172"/>
      <c r="X30" s="173"/>
      <c r="Y30" s="173"/>
    </row>
    <row r="31" spans="1:25" s="168" customFormat="1" ht="48.75" hidden="1" customHeight="1">
      <c r="A31" s="180"/>
      <c r="B31" s="943"/>
      <c r="C31" s="943"/>
      <c r="D31" s="943"/>
      <c r="E31" s="943"/>
      <c r="F31" s="943"/>
      <c r="G31" s="943"/>
      <c r="H31" s="711">
        <f>SUM(H15:H28)</f>
        <v>0</v>
      </c>
      <c r="I31" s="711">
        <f>SUM(I15:I28)</f>
        <v>0</v>
      </c>
      <c r="J31" s="711">
        <f>SUM(J15:J28)</f>
        <v>0</v>
      </c>
      <c r="K31" s="170">
        <f>SUM(K15:K28)</f>
        <v>0</v>
      </c>
      <c r="L31" s="170">
        <f>SUM(L15:L28)</f>
        <v>0</v>
      </c>
      <c r="M31" s="170"/>
      <c r="N31" s="170"/>
      <c r="O31" s="170"/>
      <c r="P31" s="170"/>
      <c r="Q31" s="170"/>
      <c r="R31" s="171"/>
      <c r="S31" s="171"/>
      <c r="T31" s="171"/>
      <c r="U31" s="172"/>
      <c r="V31" s="172"/>
      <c r="W31" s="172"/>
      <c r="X31" s="173"/>
      <c r="Y31" s="173"/>
    </row>
    <row r="32" spans="1:25" s="168" customFormat="1" ht="48.75" hidden="1" customHeight="1">
      <c r="A32" s="180"/>
      <c r="B32" s="183"/>
      <c r="C32" s="942" t="s">
        <v>177</v>
      </c>
      <c r="D32" s="944"/>
      <c r="E32" s="944"/>
      <c r="F32" s="944"/>
      <c r="G32" s="944"/>
      <c r="H32" s="712" t="e">
        <f>(1-(H31/I2))</f>
        <v>#DIV/0!</v>
      </c>
      <c r="I32" s="712" t="e">
        <f>(1-(I31/I3))</f>
        <v>#DIV/0!</v>
      </c>
      <c r="J32" s="713" t="e">
        <f>1-(J31/I4)</f>
        <v>#DIV/0!</v>
      </c>
      <c r="K32" s="170" t="e">
        <f>1-(K31/I5)</f>
        <v>#DIV/0!</v>
      </c>
      <c r="L32" s="170" t="e">
        <f>1-(L31/#REF!)</f>
        <v>#REF!</v>
      </c>
      <c r="M32" s="170"/>
      <c r="N32" s="170"/>
      <c r="O32" s="170"/>
      <c r="P32" s="170"/>
      <c r="Q32" s="170"/>
      <c r="R32" s="171"/>
      <c r="S32" s="171"/>
      <c r="T32" s="171"/>
      <c r="U32" s="172"/>
      <c r="V32" s="172"/>
      <c r="W32" s="172"/>
      <c r="X32" s="173"/>
      <c r="Y32" s="173"/>
    </row>
    <row r="33" spans="1:25" s="168" customFormat="1" ht="39" customHeight="1">
      <c r="A33" s="937" t="s">
        <v>326</v>
      </c>
      <c r="B33" s="937"/>
      <c r="C33" s="937"/>
      <c r="D33" s="937"/>
      <c r="E33" s="937"/>
      <c r="F33" s="937"/>
      <c r="G33" s="937"/>
      <c r="H33" s="714"/>
      <c r="I33" s="714"/>
      <c r="J33" s="714"/>
      <c r="K33" s="170"/>
      <c r="L33" s="170"/>
      <c r="M33" s="170"/>
      <c r="N33" s="170"/>
      <c r="O33" s="170"/>
      <c r="P33" s="170"/>
      <c r="Q33" s="170"/>
      <c r="R33" s="171"/>
      <c r="S33" s="171"/>
      <c r="T33" s="171"/>
      <c r="U33" s="172"/>
      <c r="V33" s="172"/>
      <c r="W33" s="172"/>
      <c r="X33" s="173"/>
      <c r="Y33" s="173"/>
    </row>
    <row r="34" spans="1:25" s="168" customFormat="1" ht="31.5" customHeight="1" thickBot="1">
      <c r="A34" s="161" t="s">
        <v>178</v>
      </c>
      <c r="B34" s="183"/>
      <c r="C34" s="184"/>
      <c r="E34" s="185"/>
      <c r="F34" s="185"/>
      <c r="G34" s="186"/>
      <c r="H34" s="714"/>
      <c r="I34" s="714"/>
      <c r="J34" s="714"/>
      <c r="K34" s="170"/>
      <c r="L34" s="170"/>
      <c r="M34" s="170"/>
      <c r="N34" s="170"/>
      <c r="O34" s="170"/>
      <c r="P34" s="170"/>
      <c r="Q34" s="170"/>
      <c r="R34" s="171"/>
      <c r="S34" s="171"/>
      <c r="T34" s="171"/>
      <c r="U34" s="172"/>
      <c r="V34" s="172"/>
      <c r="W34" s="172"/>
      <c r="X34" s="173"/>
      <c r="Y34" s="173"/>
    </row>
    <row r="35" spans="1:25" s="168" customFormat="1" ht="21" customHeight="1" thickBot="1">
      <c r="A35" s="187" t="s">
        <v>179</v>
      </c>
      <c r="B35" s="183"/>
      <c r="C35" s="184"/>
      <c r="E35" s="185"/>
      <c r="F35" s="185"/>
      <c r="G35" s="186"/>
      <c r="H35" s="715">
        <f>SUM(H15:H26)</f>
        <v>0</v>
      </c>
      <c r="I35" s="716">
        <f>SUM(I15:I26)</f>
        <v>0</v>
      </c>
      <c r="J35" s="717">
        <f>SUM(J15:J26)</f>
        <v>0</v>
      </c>
      <c r="K35" s="450"/>
      <c r="L35" s="170"/>
      <c r="M35" s="170"/>
      <c r="N35" s="170"/>
      <c r="O35" s="170"/>
      <c r="P35" s="170"/>
      <c r="Q35" s="170"/>
      <c r="R35" s="171"/>
      <c r="S35" s="171"/>
      <c r="T35" s="171"/>
      <c r="U35" s="172"/>
      <c r="V35" s="172"/>
      <c r="W35" s="172"/>
      <c r="X35" s="173"/>
      <c r="Y35" s="173"/>
    </row>
    <row r="36" spans="1:25" ht="19.5" customHeight="1" thickBot="1">
      <c r="A36" s="190"/>
      <c r="B36" s="190"/>
      <c r="C36" s="191"/>
      <c r="D36" s="189"/>
      <c r="E36" s="187"/>
      <c r="F36" s="187"/>
      <c r="G36" s="192" t="s">
        <v>180</v>
      </c>
      <c r="H36" s="638">
        <f>IF(J6=0,0,1-(H35/J6))</f>
        <v>0</v>
      </c>
      <c r="I36" s="638">
        <f>IF(J7=0,0,1-(I35/J7))</f>
        <v>0</v>
      </c>
      <c r="J36" s="639">
        <f>IF(J8=0,0,1-(J35/J8))</f>
        <v>0</v>
      </c>
      <c r="K36" s="612" t="s">
        <v>349</v>
      </c>
    </row>
    <row r="37" spans="1:25" ht="19.5" customHeight="1">
      <c r="A37" s="190"/>
      <c r="B37" s="190"/>
      <c r="C37" s="191"/>
      <c r="D37" s="189"/>
      <c r="E37" s="187"/>
      <c r="F37" s="187"/>
      <c r="G37" s="192" t="str">
        <f>"For and on behalf of "</f>
        <v xml:space="preserve">For and on behalf of </v>
      </c>
      <c r="H37" s="153"/>
    </row>
    <row r="38" spans="1:25" ht="19.5" customHeight="1">
      <c r="A38" s="193"/>
      <c r="B38" s="193"/>
      <c r="C38" s="193"/>
      <c r="D38" s="194"/>
      <c r="E38" s="195"/>
      <c r="F38" s="195"/>
      <c r="G38" s="157"/>
      <c r="H38" s="196"/>
    </row>
    <row r="39" spans="1:25" ht="23.25" customHeight="1">
      <c r="A39" s="197" t="s">
        <v>181</v>
      </c>
      <c r="B39" s="197"/>
      <c r="C39" s="658" t="str">
        <f>'Sch-7'!C21:D21</f>
        <v xml:space="preserve">  </v>
      </c>
      <c r="D39" s="194"/>
      <c r="E39" s="195" t="s">
        <v>182</v>
      </c>
      <c r="F39" s="723">
        <f>'Names of Bidder'!C19</f>
        <v>0</v>
      </c>
      <c r="G39" s="724"/>
      <c r="H39" s="443"/>
    </row>
    <row r="40" spans="1:25" ht="23.25" customHeight="1">
      <c r="A40" s="197" t="s">
        <v>183</v>
      </c>
      <c r="B40" s="197"/>
      <c r="C40" s="659" t="str">
        <f>'Sch-7'!C22:D22</f>
        <v/>
      </c>
      <c r="D40" s="198"/>
      <c r="E40" s="195" t="s">
        <v>184</v>
      </c>
      <c r="F40" s="723">
        <f>'Names of Bidder'!C20</f>
        <v>0</v>
      </c>
      <c r="G40" s="724"/>
      <c r="H40" s="153"/>
    </row>
  </sheetData>
  <sheetProtection password="CC6F" sheet="1" objects="1" scenarios="1" formatColumns="0" formatRows="0" selectLockedCells="1"/>
  <customSheetViews>
    <customSheetView guid="{027A88A6-1BB1-46D4-AC44-9DCFC13F5D7E}" showPageBreaks="1" zeroValues="0" printArea="1" hiddenRows="1" hiddenColumns="1" view="pageBreakPreview">
      <selection activeCell="G18" sqref="G18"/>
      <pageMargins left="0.72" right="0.49" top="0.62" bottom="0.52" header="0.32" footer="0.27"/>
      <pageSetup scale="77" orientation="portrait" r:id="rId1"/>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topLeftCell="A5">
      <selection activeCell="G18" sqref="G18"/>
      <pageMargins left="0.72" right="0.49" top="0.62" bottom="0.52" header="0.32" footer="0.27"/>
      <pageSetup scale="77" orientation="portrait" r:id="rId2"/>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72" right="0.49" top="0.62" bottom="0.52" header="0.32" footer="0.27"/>
      <pageSetup scale="77" orientation="portrait" r:id="rId3"/>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4"/>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5"/>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6"/>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8" orientation="portrait" r:id="rId7"/>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8"/>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72" right="0.49" top="0.62" bottom="0.52" header="0.32" footer="0.27"/>
      <pageSetup scale="77" orientation="portrait" r:id="rId9"/>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72" right="0.49" top="0.62" bottom="0.52" header="0.32" footer="0.27"/>
      <pageSetup scale="77" orientation="portrait" r:id="rId10"/>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72" right="0.49" top="0.62" bottom="0.52" header="0.32" footer="0.27"/>
      <pageSetup scale="77" orientation="portrait" r:id="rId11"/>
      <headerFooter alignWithMargins="0">
        <oddFooter>&amp;R&amp;"Book Antiqua,Bold"&amp;10Letter of Discount  / Page &amp;P of &amp;N</oddFooter>
      </headerFooter>
    </customSheetView>
    <customSheetView guid="{DACD165C-CB59-4178-94BC-16705741C7B8}" showPageBreaks="1" zeroValues="0" printArea="1" hiddenRows="1" hiddenColumns="1" view="pageBreakPreview">
      <selection activeCell="G18" sqref="G18"/>
      <pageMargins left="0.72" right="0.49" top="0.62" bottom="0.52" header="0.32" footer="0.27"/>
      <pageSetup scale="77" orientation="portrait" r:id="rId12"/>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3"/>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09375" defaultRowHeight="14.4"/>
  <cols>
    <col min="1" max="1" width="9.109375" style="212"/>
    <col min="2" max="2" width="30.6640625" style="213" customWidth="1"/>
    <col min="3" max="3" width="26.109375" style="213" customWidth="1"/>
    <col min="4" max="5" width="17.88671875" style="213" customWidth="1"/>
    <col min="6" max="16384" width="9.109375" style="188"/>
  </cols>
  <sheetData>
    <row r="1" spans="1:6">
      <c r="A1" s="199"/>
      <c r="B1" s="200"/>
      <c r="C1" s="200"/>
      <c r="D1" s="200"/>
      <c r="E1" s="200"/>
    </row>
    <row r="2" spans="1:6" ht="21.9" customHeight="1">
      <c r="A2" s="960" t="s">
        <v>185</v>
      </c>
      <c r="B2" s="960"/>
      <c r="C2" s="960"/>
      <c r="D2" s="960"/>
      <c r="E2" s="188"/>
    </row>
    <row r="3" spans="1:6">
      <c r="A3" s="199"/>
      <c r="B3" s="200"/>
      <c r="C3" s="200"/>
      <c r="D3" s="200"/>
      <c r="E3" s="200"/>
    </row>
    <row r="4" spans="1:6" ht="28.8">
      <c r="A4" s="201" t="s">
        <v>186</v>
      </c>
      <c r="B4" s="202" t="s">
        <v>187</v>
      </c>
      <c r="C4" s="201" t="s">
        <v>140</v>
      </c>
      <c r="D4" s="201" t="s">
        <v>188</v>
      </c>
      <c r="E4" s="201" t="s">
        <v>189</v>
      </c>
    </row>
    <row r="5" spans="1:6" ht="18" customHeight="1">
      <c r="A5" s="203" t="s">
        <v>190</v>
      </c>
      <c r="B5" s="203" t="s">
        <v>191</v>
      </c>
      <c r="C5" s="203" t="s">
        <v>192</v>
      </c>
      <c r="D5" s="203" t="s">
        <v>193</v>
      </c>
      <c r="E5" s="203" t="s">
        <v>194</v>
      </c>
    </row>
    <row r="6" spans="1:6" ht="45" customHeight="1">
      <c r="A6" s="204">
        <v>1</v>
      </c>
      <c r="B6" s="205"/>
      <c r="C6" s="206"/>
      <c r="D6" s="207"/>
      <c r="E6" s="208">
        <f t="shared" ref="E6:E15" si="0">C6*D6</f>
        <v>0</v>
      </c>
    </row>
    <row r="7" spans="1:6" ht="45" customHeight="1">
      <c r="A7" s="204">
        <v>2</v>
      </c>
      <c r="B7" s="205"/>
      <c r="C7" s="206"/>
      <c r="D7" s="207"/>
      <c r="E7" s="208">
        <f t="shared" si="0"/>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195</v>
      </c>
      <c r="C16" s="210"/>
      <c r="D16" s="210"/>
      <c r="E16" s="210">
        <f>SUM(E6:E15)</f>
        <v>0</v>
      </c>
      <c r="F16" s="211"/>
    </row>
    <row r="17" ht="30" customHeight="1"/>
    <row r="18" ht="30" customHeight="1"/>
    <row r="19" ht="30" customHeight="1"/>
    <row r="20" ht="30" customHeight="1"/>
    <row r="21" ht="30" customHeight="1"/>
  </sheetData>
  <sheetProtection password="916E" sheet="1" formatColumns="0" formatRows="0" selectLockedCells="1"/>
  <customSheetViews>
    <customSheetView guid="{027A88A6-1BB1-46D4-AC44-9DCFC13F5D7E}" state="hidden" topLeftCell="A4">
      <selection activeCell="D6" sqref="D6"/>
      <pageMargins left="0.75" right="0.75" top="0.65" bottom="1" header="0.5" footer="0.5"/>
      <pageSetup orientation="portrait" r:id="rId1"/>
      <headerFooter alignWithMargins="0"/>
    </customSheetView>
    <customSheetView guid="{889C3D82-0A24-4765-A688-A80A782F5056}" state="hidden" topLeftCell="A4">
      <selection activeCell="D6" sqref="D6"/>
      <pageMargins left="0.75" right="0.75" top="0.65" bottom="1" header="0.5" footer="0.5"/>
      <pageSetup orientation="portrait" r:id="rId2"/>
      <headerFooter alignWithMargins="0"/>
    </customSheetView>
    <customSheetView guid="{A58DB4DF-40C7-4BEB-B85E-6BD6F54941CF}" state="hidden" topLeftCell="A4">
      <selection activeCell="D6" sqref="D6"/>
      <pageMargins left="0.75" right="0.75" top="0.65" bottom="1" header="0.5" footer="0.5"/>
      <pageSetup orientation="portrait" r:id="rId3"/>
      <headerFooter alignWithMargins="0"/>
    </customSheetView>
    <customSheetView guid="{B96E710B-6DD7-4DE1-95AB-C9EE060CD030}" state="hidden" topLeftCell="A4">
      <selection activeCell="D6" sqref="D6"/>
      <pageMargins left="0.75" right="0.75" top="0.65" bottom="1" header="0.5" footer="0.5"/>
      <pageSetup orientation="portrait" r:id="rId4"/>
      <headerFooter alignWithMargins="0"/>
    </customSheetView>
    <customSheetView guid="{357C9841-BEC3-434B-AC63-C04FB4321BA3}" state="hidden" topLeftCell="A4">
      <selection activeCell="D6" sqref="D6"/>
      <pageMargins left="0.75" right="0.75" top="0.65" bottom="1" header="0.5" footer="0.5"/>
      <pageSetup orientation="portrait" r:id="rId5"/>
      <headerFooter alignWithMargins="0"/>
    </customSheetView>
    <customSheetView guid="{3C00DDA0-7DDE-4169-A739-550DAF5DCF8D}" state="hidden" topLeftCell="A4">
      <selection activeCell="D6" sqref="D6"/>
      <pageMargins left="0.75" right="0.75" top="0.65" bottom="1" header="0.5" footer="0.5"/>
      <pageSetup orientation="portrait" r:id="rId6"/>
      <headerFooter alignWithMargins="0"/>
    </customSheetView>
    <customSheetView guid="{63D51328-7CBC-4A1E-B96D-BAE91416501B}" state="hidden" topLeftCell="A4">
      <selection activeCell="D6" sqref="D6"/>
      <pageMargins left="0.75" right="0.75" top="0.65" bottom="1" header="0.5" footer="0.5"/>
      <pageSetup orientation="portrait" r:id="rId7"/>
      <headerFooter alignWithMargins="0"/>
    </customSheetView>
    <customSheetView guid="{99CA2F10-F926-46DC-8609-4EAE5B9F3585}" state="hidden" topLeftCell="A4">
      <selection activeCell="D6" sqref="D6"/>
      <pageMargins left="0.75" right="0.75" top="0.65" bottom="1" header="0.5" footer="0.5"/>
      <pageSetup orientation="portrait" r:id="rId8"/>
      <headerFooter alignWithMargins="0"/>
    </customSheetView>
    <customSheetView guid="{CCA37BAE-906F-43D5-9FD9-B13563E4B9D7}" state="hidden" topLeftCell="A4">
      <selection activeCell="D6" sqref="D6"/>
      <pageMargins left="0.75" right="0.75" top="0.65" bottom="1" header="0.5" footer="0.5"/>
      <pageSetup orientation="portrait" r:id="rId9"/>
      <headerFooter alignWithMargins="0"/>
    </customSheetView>
    <customSheetView guid="{18EA11B4-BD82-47BF-99FA-7AB19BF74D0B}" state="hidden" topLeftCell="A4">
      <selection activeCell="D6" sqref="D6"/>
      <pageMargins left="0.75" right="0.75" top="0.65" bottom="1" header="0.5" footer="0.5"/>
      <pageSetup orientation="portrait" r:id="rId10"/>
      <headerFooter alignWithMargins="0"/>
    </customSheetView>
    <customSheetView guid="{915C64AD-BD67-44F0-9117-5B9D998BA799}" state="hidden" topLeftCell="A4">
      <selection activeCell="D6" sqref="D6"/>
      <pageMargins left="0.75" right="0.75" top="0.65" bottom="1" header="0.5" footer="0.5"/>
      <pageSetup orientation="portrait" r:id="rId11"/>
      <headerFooter alignWithMargins="0"/>
    </customSheetView>
    <customSheetView guid="{DACD165C-CB59-4178-94BC-16705741C7B8}" state="hidden" topLeftCell="A4">
      <selection activeCell="D6" sqref="D6"/>
      <pageMargins left="0.75" right="0.75" top="0.65" bottom="1" header="0.5" footer="0.5"/>
      <pageSetup orientation="portrait" r:id="rId12"/>
      <headerFooter alignWithMargins="0"/>
    </customSheetView>
  </customSheetViews>
  <mergeCells count="1">
    <mergeCell ref="A2:D2"/>
  </mergeCells>
  <pageMargins left="0.75" right="0.75" top="0.65" bottom="1" header="0.5" footer="0.5"/>
  <pageSetup orientation="portrait" r:id="rId13"/>
  <headerFooter alignWithMargins="0"/>
  <drawing r:id="rId1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09375" defaultRowHeight="14.4"/>
  <cols>
    <col min="1" max="1" width="9.109375" style="212"/>
    <col min="2" max="2" width="30.6640625" style="213" customWidth="1"/>
    <col min="3" max="3" width="26.109375" style="213" customWidth="1"/>
    <col min="4" max="5" width="17.88671875" style="213" customWidth="1"/>
    <col min="6" max="16384" width="9.109375" style="188"/>
  </cols>
  <sheetData>
    <row r="1" spans="1:6">
      <c r="A1" s="199"/>
      <c r="B1" s="200"/>
      <c r="C1" s="200"/>
      <c r="D1" s="200"/>
      <c r="E1" s="200"/>
    </row>
    <row r="2" spans="1:6" ht="21.9" customHeight="1">
      <c r="A2" s="960" t="s">
        <v>196</v>
      </c>
      <c r="B2" s="960"/>
      <c r="C2" s="960"/>
      <c r="D2" s="961"/>
      <c r="E2" s="34"/>
    </row>
    <row r="3" spans="1:6">
      <c r="A3" s="199"/>
      <c r="B3" s="200"/>
      <c r="C3" s="200"/>
      <c r="D3" s="200"/>
      <c r="E3" s="200"/>
    </row>
    <row r="4" spans="1:6" ht="28.8">
      <c r="A4" s="201" t="s">
        <v>186</v>
      </c>
      <c r="B4" s="202" t="s">
        <v>187</v>
      </c>
      <c r="C4" s="201" t="s">
        <v>197</v>
      </c>
      <c r="D4" s="201" t="s">
        <v>198</v>
      </c>
      <c r="E4" s="201" t="s">
        <v>199</v>
      </c>
    </row>
    <row r="5" spans="1:6" ht="18" customHeight="1">
      <c r="A5" s="203" t="s">
        <v>190</v>
      </c>
      <c r="B5" s="203" t="s">
        <v>191</v>
      </c>
      <c r="C5" s="203" t="s">
        <v>192</v>
      </c>
      <c r="D5" s="203" t="s">
        <v>193</v>
      </c>
      <c r="E5" s="203" t="s">
        <v>194</v>
      </c>
    </row>
    <row r="6" spans="1:6" ht="45" customHeight="1">
      <c r="A6" s="204">
        <v>1</v>
      </c>
      <c r="B6" s="205"/>
      <c r="C6" s="206"/>
      <c r="D6" s="207"/>
      <c r="E6" s="208">
        <f>C6*D6</f>
        <v>0</v>
      </c>
    </row>
    <row r="7" spans="1:6" ht="45" customHeight="1">
      <c r="A7" s="204">
        <v>2</v>
      </c>
      <c r="B7" s="205"/>
      <c r="C7" s="206"/>
      <c r="D7" s="207"/>
      <c r="E7" s="208">
        <f t="shared" ref="E7:E15" si="0">C7*D7</f>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195</v>
      </c>
      <c r="C16" s="210"/>
      <c r="D16" s="210"/>
      <c r="E16" s="210">
        <f>SUM(E6:E15)</f>
        <v>0</v>
      </c>
      <c r="F16" s="211"/>
    </row>
    <row r="17" ht="30" customHeight="1"/>
    <row r="18" ht="30" customHeight="1"/>
    <row r="19" ht="30" customHeight="1"/>
    <row r="20" ht="30" customHeight="1"/>
    <row r="21" ht="30" customHeight="1"/>
  </sheetData>
  <sheetProtection password="916E" sheet="1" formatColumns="0" formatRows="0" selectLockedCells="1"/>
  <customSheetViews>
    <customSheetView guid="{027A88A6-1BB1-46D4-AC44-9DCFC13F5D7E}" state="hidden" topLeftCell="A13">
      <selection activeCell="D6" sqref="D6"/>
      <pageMargins left="0.75" right="0.75" top="0.65" bottom="1" header="0.5" footer="0.5"/>
      <pageSetup orientation="portrait" r:id="rId1"/>
      <headerFooter alignWithMargins="0"/>
    </customSheetView>
    <customSheetView guid="{889C3D82-0A24-4765-A688-A80A782F5056}" state="hidden" topLeftCell="A13">
      <selection activeCell="D6" sqref="D6"/>
      <pageMargins left="0.75" right="0.75" top="0.65" bottom="1" header="0.5" footer="0.5"/>
      <pageSetup orientation="portrait" r:id="rId2"/>
      <headerFooter alignWithMargins="0"/>
    </customSheetView>
    <customSheetView guid="{A58DB4DF-40C7-4BEB-B85E-6BD6F54941CF}" state="hidden" topLeftCell="A13">
      <selection activeCell="D6" sqref="D6"/>
      <pageMargins left="0.75" right="0.75" top="0.65" bottom="1" header="0.5" footer="0.5"/>
      <pageSetup orientation="portrait" r:id="rId3"/>
      <headerFooter alignWithMargins="0"/>
    </customSheetView>
    <customSheetView guid="{B96E710B-6DD7-4DE1-95AB-C9EE060CD030}" state="hidden" topLeftCell="A13">
      <selection activeCell="D6" sqref="D6"/>
      <pageMargins left="0.75" right="0.75" top="0.65" bottom="1" header="0.5" footer="0.5"/>
      <pageSetup orientation="portrait" r:id="rId4"/>
      <headerFooter alignWithMargins="0"/>
    </customSheetView>
    <customSheetView guid="{357C9841-BEC3-434B-AC63-C04FB4321BA3}" state="hidden" topLeftCell="A13">
      <selection activeCell="D6" sqref="D6"/>
      <pageMargins left="0.75" right="0.75" top="0.65" bottom="1" header="0.5" footer="0.5"/>
      <pageSetup orientation="portrait" r:id="rId5"/>
      <headerFooter alignWithMargins="0"/>
    </customSheetView>
    <customSheetView guid="{3C00DDA0-7DDE-4169-A739-550DAF5DCF8D}" state="hidden" topLeftCell="A13">
      <selection activeCell="D6" sqref="D6"/>
      <pageMargins left="0.75" right="0.75" top="0.65" bottom="1" header="0.5" footer="0.5"/>
      <pageSetup orientation="portrait" r:id="rId6"/>
      <headerFooter alignWithMargins="0"/>
    </customSheetView>
    <customSheetView guid="{63D51328-7CBC-4A1E-B96D-BAE91416501B}" state="hidden" topLeftCell="A13">
      <selection activeCell="D6" sqref="D6"/>
      <pageMargins left="0.75" right="0.75" top="0.65" bottom="1" header="0.5" footer="0.5"/>
      <pageSetup orientation="portrait" r:id="rId7"/>
      <headerFooter alignWithMargins="0"/>
    </customSheetView>
    <customSheetView guid="{99CA2F10-F926-46DC-8609-4EAE5B9F3585}" state="hidden" topLeftCell="A13">
      <selection activeCell="D6" sqref="D6"/>
      <pageMargins left="0.75" right="0.75" top="0.65" bottom="1" header="0.5" footer="0.5"/>
      <pageSetup orientation="portrait" r:id="rId8"/>
      <headerFooter alignWithMargins="0"/>
    </customSheetView>
    <customSheetView guid="{CCA37BAE-906F-43D5-9FD9-B13563E4B9D7}" state="hidden" topLeftCell="A13">
      <selection activeCell="D6" sqref="D6"/>
      <pageMargins left="0.75" right="0.75" top="0.65" bottom="1" header="0.5" footer="0.5"/>
      <pageSetup orientation="portrait" r:id="rId9"/>
      <headerFooter alignWithMargins="0"/>
    </customSheetView>
    <customSheetView guid="{18EA11B4-BD82-47BF-99FA-7AB19BF74D0B}" state="hidden" topLeftCell="A13">
      <selection activeCell="D6" sqref="D6"/>
      <pageMargins left="0.75" right="0.75" top="0.65" bottom="1" header="0.5" footer="0.5"/>
      <pageSetup orientation="portrait" r:id="rId10"/>
      <headerFooter alignWithMargins="0"/>
    </customSheetView>
    <customSheetView guid="{915C64AD-BD67-44F0-9117-5B9D998BA799}" state="hidden" topLeftCell="A13">
      <selection activeCell="D6" sqref="D6"/>
      <pageMargins left="0.75" right="0.75" top="0.65" bottom="1" header="0.5" footer="0.5"/>
      <pageSetup orientation="portrait" r:id="rId11"/>
      <headerFooter alignWithMargins="0"/>
    </customSheetView>
    <customSheetView guid="{DACD165C-CB59-4178-94BC-16705741C7B8}" state="hidden" topLeftCell="A13">
      <selection activeCell="D6" sqref="D6"/>
      <pageMargins left="0.75" right="0.75" top="0.65" bottom="1" header="0.5" footer="0.5"/>
      <pageSetup orientation="portrait" r:id="rId12"/>
      <headerFooter alignWithMargins="0"/>
    </customSheetView>
  </customSheetViews>
  <mergeCells count="1">
    <mergeCell ref="A2:D2"/>
  </mergeCells>
  <pageMargins left="0.75" right="0.75" top="0.65" bottom="1" header="0.5" footer="0.5"/>
  <pageSetup orientation="portrait" r:id="rId13"/>
  <headerFooter alignWithMargins="0"/>
  <drawing r:id="rId1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09375" defaultRowHeight="14.4"/>
  <cols>
    <col min="1" max="1" width="8.6640625" style="212" customWidth="1"/>
    <col min="2" max="4" width="23.5546875" style="213" customWidth="1"/>
    <col min="5" max="5" width="11" style="213" customWidth="1"/>
    <col min="6" max="6" width="14.44140625" style="213" customWidth="1"/>
    <col min="7" max="16384" width="9.109375" style="188"/>
  </cols>
  <sheetData>
    <row r="1" spans="1:7">
      <c r="A1" s="199"/>
      <c r="B1" s="200"/>
      <c r="C1" s="200"/>
      <c r="D1" s="200"/>
      <c r="E1" s="200"/>
      <c r="F1" s="200"/>
    </row>
    <row r="2" spans="1:7" ht="21.9" customHeight="1">
      <c r="A2" s="960" t="s">
        <v>200</v>
      </c>
      <c r="B2" s="960"/>
      <c r="C2" s="960"/>
      <c r="D2" s="960"/>
      <c r="E2" s="961"/>
      <c r="F2" s="188"/>
    </row>
    <row r="3" spans="1:7">
      <c r="A3" s="199"/>
      <c r="B3" s="200"/>
      <c r="C3" s="200"/>
      <c r="D3" s="200"/>
      <c r="E3" s="200"/>
      <c r="F3" s="200"/>
    </row>
    <row r="4" spans="1:7" ht="43.2">
      <c r="A4" s="201" t="s">
        <v>186</v>
      </c>
      <c r="B4" s="202" t="s">
        <v>187</v>
      </c>
      <c r="C4" s="201" t="s">
        <v>201</v>
      </c>
      <c r="D4" s="201" t="s">
        <v>202</v>
      </c>
      <c r="E4" s="201" t="s">
        <v>203</v>
      </c>
      <c r="F4" s="201" t="s">
        <v>204</v>
      </c>
    </row>
    <row r="5" spans="1:7" ht="18" customHeight="1">
      <c r="A5" s="203" t="s">
        <v>190</v>
      </c>
      <c r="B5" s="203" t="s">
        <v>191</v>
      </c>
      <c r="C5" s="203" t="s">
        <v>192</v>
      </c>
      <c r="D5" s="203" t="s">
        <v>193</v>
      </c>
      <c r="E5" s="214" t="s">
        <v>205</v>
      </c>
      <c r="F5" s="203" t="s">
        <v>206</v>
      </c>
    </row>
    <row r="6" spans="1:7" ht="45" customHeight="1">
      <c r="A6" s="204">
        <v>1</v>
      </c>
      <c r="B6" s="205"/>
      <c r="C6" s="206"/>
      <c r="D6" s="206"/>
      <c r="E6" s="207"/>
      <c r="F6" s="208">
        <f>C6*E6</f>
        <v>0</v>
      </c>
    </row>
    <row r="7" spans="1:7" ht="45" customHeight="1">
      <c r="A7" s="204">
        <v>2</v>
      </c>
      <c r="B7" s="205"/>
      <c r="C7" s="206"/>
      <c r="D7" s="206"/>
      <c r="E7" s="207"/>
      <c r="F7" s="208">
        <f t="shared" ref="F7:F15" si="0">C7*E7</f>
        <v>0</v>
      </c>
    </row>
    <row r="8" spans="1:7" ht="45" customHeight="1">
      <c r="A8" s="204">
        <v>3</v>
      </c>
      <c r="B8" s="205"/>
      <c r="C8" s="206"/>
      <c r="D8" s="206"/>
      <c r="E8" s="207"/>
      <c r="F8" s="208">
        <f t="shared" si="0"/>
        <v>0</v>
      </c>
    </row>
    <row r="9" spans="1:7" ht="45" customHeight="1">
      <c r="A9" s="204">
        <v>4</v>
      </c>
      <c r="B9" s="205"/>
      <c r="C9" s="206"/>
      <c r="D9" s="206"/>
      <c r="E9" s="207"/>
      <c r="F9" s="208">
        <f t="shared" si="0"/>
        <v>0</v>
      </c>
    </row>
    <row r="10" spans="1:7" ht="45" customHeight="1">
      <c r="A10" s="204">
        <v>5</v>
      </c>
      <c r="B10" s="205"/>
      <c r="C10" s="206"/>
      <c r="D10" s="206"/>
      <c r="E10" s="207"/>
      <c r="F10" s="208">
        <f t="shared" si="0"/>
        <v>0</v>
      </c>
    </row>
    <row r="11" spans="1:7" ht="45" customHeight="1">
      <c r="A11" s="204">
        <v>6</v>
      </c>
      <c r="B11" s="205"/>
      <c r="C11" s="206"/>
      <c r="D11" s="206"/>
      <c r="E11" s="207"/>
      <c r="F11" s="208">
        <f t="shared" si="0"/>
        <v>0</v>
      </c>
    </row>
    <row r="12" spans="1:7" ht="45" customHeight="1">
      <c r="A12" s="204">
        <v>7</v>
      </c>
      <c r="B12" s="205"/>
      <c r="C12" s="206"/>
      <c r="D12" s="206"/>
      <c r="E12" s="207"/>
      <c r="F12" s="208">
        <f t="shared" si="0"/>
        <v>0</v>
      </c>
    </row>
    <row r="13" spans="1:7" ht="45" customHeight="1">
      <c r="A13" s="204">
        <v>8</v>
      </c>
      <c r="B13" s="205"/>
      <c r="C13" s="206"/>
      <c r="D13" s="206"/>
      <c r="E13" s="207"/>
      <c r="F13" s="208">
        <f t="shared" si="0"/>
        <v>0</v>
      </c>
    </row>
    <row r="14" spans="1:7" ht="45" customHeight="1">
      <c r="A14" s="204">
        <v>9</v>
      </c>
      <c r="B14" s="205"/>
      <c r="C14" s="206"/>
      <c r="D14" s="206"/>
      <c r="E14" s="207"/>
      <c r="F14" s="208">
        <f t="shared" si="0"/>
        <v>0</v>
      </c>
    </row>
    <row r="15" spans="1:7" ht="45" customHeight="1">
      <c r="A15" s="204">
        <v>10</v>
      </c>
      <c r="B15" s="205"/>
      <c r="C15" s="206"/>
      <c r="D15" s="206"/>
      <c r="E15" s="207"/>
      <c r="F15" s="208">
        <f t="shared" si="0"/>
        <v>0</v>
      </c>
    </row>
    <row r="16" spans="1:7" ht="45" customHeight="1">
      <c r="A16" s="209"/>
      <c r="B16" s="210" t="s">
        <v>195</v>
      </c>
      <c r="C16" s="210"/>
      <c r="D16" s="210"/>
      <c r="E16" s="210"/>
      <c r="F16" s="210">
        <f>SUM(F6:F15)</f>
        <v>0</v>
      </c>
      <c r="G16" s="211"/>
    </row>
    <row r="17" ht="30" customHeight="1"/>
    <row r="18" ht="30" customHeight="1"/>
    <row r="19" ht="30" customHeight="1"/>
    <row r="20" ht="30" customHeight="1"/>
    <row r="21" ht="30" customHeight="1"/>
  </sheetData>
  <sheetProtection password="E848" sheet="1" formatColumns="0" formatRows="0" selectLockedCells="1"/>
  <customSheetViews>
    <customSheetView guid="{027A88A6-1BB1-46D4-AC44-9DCFC13F5D7E}" state="hidden" topLeftCell="A5">
      <selection activeCell="D11" sqref="D11"/>
      <pageMargins left="0.75" right="0.62" top="0.65" bottom="1" header="0.5" footer="0.5"/>
      <pageSetup orientation="portrait" r:id="rId1"/>
      <headerFooter alignWithMargins="0"/>
    </customSheetView>
    <customSheetView guid="{889C3D82-0A24-4765-A688-A80A782F5056}" state="hidden" topLeftCell="A5">
      <selection activeCell="D11" sqref="D11"/>
      <pageMargins left="0.75" right="0.62" top="0.65" bottom="1" header="0.5" footer="0.5"/>
      <pageSetup orientation="portrait" r:id="rId2"/>
      <headerFooter alignWithMargins="0"/>
    </customSheetView>
    <customSheetView guid="{A58DB4DF-40C7-4BEB-B85E-6BD6F54941CF}" state="hidden" topLeftCell="A5">
      <selection activeCell="D11" sqref="D11"/>
      <pageMargins left="0.75" right="0.62" top="0.65" bottom="1" header="0.5" footer="0.5"/>
      <pageSetup orientation="portrait" r:id="rId3"/>
      <headerFooter alignWithMargins="0"/>
    </customSheetView>
    <customSheetView guid="{B96E710B-6DD7-4DE1-95AB-C9EE060CD030}" state="hidden" topLeftCell="A5">
      <selection activeCell="D11" sqref="D11"/>
      <pageMargins left="0.75" right="0.62" top="0.65" bottom="1" header="0.5" footer="0.5"/>
      <pageSetup orientation="portrait" r:id="rId4"/>
      <headerFooter alignWithMargins="0"/>
    </customSheetView>
    <customSheetView guid="{357C9841-BEC3-434B-AC63-C04FB4321BA3}" state="hidden" topLeftCell="A5">
      <selection activeCell="D11" sqref="D11"/>
      <pageMargins left="0.75" right="0.62" top="0.65" bottom="1" header="0.5" footer="0.5"/>
      <pageSetup orientation="portrait" r:id="rId5"/>
      <headerFooter alignWithMargins="0"/>
    </customSheetView>
    <customSheetView guid="{3C00DDA0-7DDE-4169-A739-550DAF5DCF8D}" state="hidden" topLeftCell="A5">
      <selection activeCell="D11" sqref="D11"/>
      <pageMargins left="0.75" right="0.62" top="0.65" bottom="1" header="0.5" footer="0.5"/>
      <pageSetup orientation="portrait" r:id="rId6"/>
      <headerFooter alignWithMargins="0"/>
    </customSheetView>
    <customSheetView guid="{63D51328-7CBC-4A1E-B96D-BAE91416501B}" state="hidden" topLeftCell="A5">
      <selection activeCell="D11" sqref="D11"/>
      <pageMargins left="0.75" right="0.62" top="0.65" bottom="1" header="0.5" footer="0.5"/>
      <pageSetup orientation="portrait" r:id="rId7"/>
      <headerFooter alignWithMargins="0"/>
    </customSheetView>
    <customSheetView guid="{99CA2F10-F926-46DC-8609-4EAE5B9F3585}" state="hidden" topLeftCell="A5">
      <selection activeCell="D11" sqref="D11"/>
      <pageMargins left="0.75" right="0.62" top="0.65" bottom="1" header="0.5" footer="0.5"/>
      <pageSetup orientation="portrait" r:id="rId8"/>
      <headerFooter alignWithMargins="0"/>
    </customSheetView>
    <customSheetView guid="{CCA37BAE-906F-43D5-9FD9-B13563E4B9D7}" state="hidden" topLeftCell="A5">
      <selection activeCell="D11" sqref="D11"/>
      <pageMargins left="0.75" right="0.62" top="0.65" bottom="1" header="0.5" footer="0.5"/>
      <pageSetup orientation="portrait" r:id="rId9"/>
      <headerFooter alignWithMargins="0"/>
    </customSheetView>
    <customSheetView guid="{18EA11B4-BD82-47BF-99FA-7AB19BF74D0B}" state="hidden" topLeftCell="A5">
      <selection activeCell="D11" sqref="D11"/>
      <pageMargins left="0.75" right="0.62" top="0.65" bottom="1" header="0.5" footer="0.5"/>
      <pageSetup orientation="portrait" r:id="rId10"/>
      <headerFooter alignWithMargins="0"/>
    </customSheetView>
    <customSheetView guid="{915C64AD-BD67-44F0-9117-5B9D998BA799}" state="hidden" topLeftCell="A5">
      <selection activeCell="D11" sqref="D11"/>
      <pageMargins left="0.75" right="0.62" top="0.65" bottom="1" header="0.5" footer="0.5"/>
      <pageSetup orientation="portrait" r:id="rId11"/>
      <headerFooter alignWithMargins="0"/>
    </customSheetView>
    <customSheetView guid="{DACD165C-CB59-4178-94BC-16705741C7B8}" state="hidden" topLeftCell="A5">
      <selection activeCell="D11" sqref="D11"/>
      <pageMargins left="0.75" right="0.62" top="0.65" bottom="1" header="0.5" footer="0.5"/>
      <pageSetup orientation="portrait" r:id="rId12"/>
      <headerFooter alignWithMargins="0"/>
    </customSheetView>
  </customSheetViews>
  <mergeCells count="1">
    <mergeCell ref="A2:E2"/>
  </mergeCells>
  <pageMargins left="0.75" right="0.62" top="0.65" bottom="1" header="0.5" footer="0.5"/>
  <pageSetup orientation="portrait" r:id="rId13"/>
  <headerFooter alignWithMargins="0"/>
  <drawing r:id="rId1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2"/>
  <sheetViews>
    <sheetView showGridLines="0" showZeros="0" view="pageBreakPreview" topLeftCell="A10" zoomScaleNormal="100" zoomScaleSheetLayoutView="100" workbookViewId="0">
      <selection activeCell="D50" sqref="D50:F50"/>
    </sheetView>
  </sheetViews>
  <sheetFormatPr defaultColWidth="9.109375" defaultRowHeight="14.4"/>
  <cols>
    <col min="1" max="1" width="10.6640625" style="218" customWidth="1"/>
    <col min="2" max="2" width="15.33203125" style="224" customWidth="1"/>
    <col min="3" max="3" width="16.33203125" style="218" customWidth="1"/>
    <col min="4" max="4" width="20.6640625" style="218" customWidth="1"/>
    <col min="5" max="5" width="12.6640625" style="218" customWidth="1"/>
    <col min="6" max="6" width="45.109375" style="218" customWidth="1"/>
    <col min="7" max="7" width="9.109375" style="218" customWidth="1"/>
    <col min="8" max="8" width="12" style="218" hidden="1" customWidth="1"/>
    <col min="9" max="18" width="9.109375" style="219" hidden="1" customWidth="1"/>
    <col min="19" max="19" width="8" style="219" hidden="1" customWidth="1"/>
    <col min="20" max="20" width="9.109375" style="219" hidden="1" customWidth="1"/>
    <col min="21" max="21" width="7.6640625" style="219" hidden="1" customWidth="1"/>
    <col min="22" max="22" width="9.109375" style="219" hidden="1" customWidth="1"/>
    <col min="23" max="23" width="5.5546875" style="219" hidden="1" customWidth="1"/>
    <col min="24" max="24" width="4.88671875" style="219" hidden="1" customWidth="1"/>
    <col min="25" max="25" width="9.109375" style="219" hidden="1" customWidth="1"/>
    <col min="26" max="26" width="66.6640625" style="220" hidden="1" customWidth="1"/>
    <col min="27" max="27" width="17.5546875" style="220" hidden="1" customWidth="1"/>
    <col min="28" max="28" width="20" style="220" hidden="1" customWidth="1"/>
    <col min="29" max="29" width="13.88671875" style="220" hidden="1" customWidth="1"/>
    <col min="30" max="30" width="9.109375" style="221" hidden="1" customWidth="1"/>
    <col min="31" max="31" width="9.109375" style="222" hidden="1" customWidth="1"/>
    <col min="32" max="32" width="13.6640625" style="222" hidden="1" customWidth="1"/>
    <col min="33" max="35" width="9.109375" style="221" hidden="1" customWidth="1"/>
    <col min="36" max="36" width="10.44140625" style="221" hidden="1" customWidth="1"/>
    <col min="37" max="41" width="9.109375" style="221" hidden="1" customWidth="1"/>
    <col min="42" max="16384" width="9.109375" style="219"/>
  </cols>
  <sheetData>
    <row r="1" spans="1:36" ht="24.75" customHeight="1">
      <c r="A1" s="215" t="str">
        <f>Cover!B3</f>
        <v>Specification No. : 5002002268/TOWER/DOM/A00 - CC CS -1</v>
      </c>
      <c r="B1" s="215"/>
      <c r="C1" s="216"/>
      <c r="D1" s="216"/>
      <c r="E1" s="216"/>
      <c r="F1" s="217" t="s">
        <v>207</v>
      </c>
      <c r="Z1" s="220" t="str">
        <f>'[6]Names of Bidder'!D6</f>
        <v>Sole Bidder</v>
      </c>
      <c r="AE1" s="222">
        <v>1</v>
      </c>
      <c r="AF1" s="222" t="s">
        <v>208</v>
      </c>
      <c r="AI1" s="222">
        <v>1</v>
      </c>
      <c r="AJ1" s="221" t="s">
        <v>209</v>
      </c>
    </row>
    <row r="2" spans="1:36">
      <c r="B2" s="218"/>
      <c r="Z2" s="220">
        <f>'[6]Names of Bidder'!AA6</f>
        <v>0</v>
      </c>
      <c r="AE2" s="222">
        <v>2</v>
      </c>
      <c r="AF2" s="222" t="s">
        <v>210</v>
      </c>
      <c r="AI2" s="222">
        <v>2</v>
      </c>
      <c r="AJ2" s="221" t="s">
        <v>211</v>
      </c>
    </row>
    <row r="3" spans="1:36" ht="17.399999999999999">
      <c r="A3" s="980" t="s">
        <v>212</v>
      </c>
      <c r="B3" s="980"/>
      <c r="C3" s="980"/>
      <c r="D3" s="980"/>
      <c r="E3" s="980"/>
      <c r="F3" s="980"/>
      <c r="AE3" s="222">
        <v>3</v>
      </c>
      <c r="AF3" s="222" t="s">
        <v>213</v>
      </c>
      <c r="AI3" s="222">
        <v>3</v>
      </c>
      <c r="AJ3" s="221" t="s">
        <v>214</v>
      </c>
    </row>
    <row r="4" spans="1:36">
      <c r="A4" s="223"/>
      <c r="B4" s="223"/>
      <c r="C4" s="223"/>
      <c r="D4" s="223"/>
      <c r="E4" s="223"/>
      <c r="F4" s="223"/>
      <c r="AE4" s="222">
        <v>4</v>
      </c>
      <c r="AF4" s="222" t="s">
        <v>215</v>
      </c>
      <c r="AI4" s="222">
        <v>4</v>
      </c>
      <c r="AJ4" s="221" t="s">
        <v>216</v>
      </c>
    </row>
    <row r="5" spans="1:36">
      <c r="A5" s="224" t="s">
        <v>217</v>
      </c>
      <c r="C5" s="981"/>
      <c r="D5" s="981"/>
      <c r="E5" s="981"/>
      <c r="F5" s="981"/>
      <c r="AE5" s="222">
        <v>5</v>
      </c>
      <c r="AF5" s="222" t="s">
        <v>215</v>
      </c>
      <c r="AI5" s="222">
        <v>5</v>
      </c>
      <c r="AJ5" s="221" t="s">
        <v>218</v>
      </c>
    </row>
    <row r="6" spans="1:36">
      <c r="A6" s="224" t="s">
        <v>219</v>
      </c>
      <c r="B6" s="971" t="str">
        <f>'Names of Bidder'!C22&amp;'Names of Bidder'!D22&amp;'Names of Bidder'!E22</f>
        <v/>
      </c>
      <c r="C6" s="971"/>
      <c r="AE6" s="222">
        <v>6</v>
      </c>
      <c r="AF6" s="222" t="s">
        <v>215</v>
      </c>
      <c r="AG6" s="225" t="e">
        <f>DAY(B6)</f>
        <v>#VALUE!</v>
      </c>
      <c r="AI6" s="222">
        <v>6</v>
      </c>
      <c r="AJ6" s="221" t="s">
        <v>220</v>
      </c>
    </row>
    <row r="7" spans="1:36">
      <c r="A7" s="224"/>
      <c r="B7" s="226"/>
      <c r="C7" s="226"/>
      <c r="AE7" s="222">
        <v>7</v>
      </c>
      <c r="AF7" s="222" t="s">
        <v>215</v>
      </c>
      <c r="AG7" s="225" t="e">
        <f>MONTH(B6)</f>
        <v>#VALUE!</v>
      </c>
      <c r="AI7" s="222">
        <v>7</v>
      </c>
      <c r="AJ7" s="221" t="s">
        <v>221</v>
      </c>
    </row>
    <row r="8" spans="1:36">
      <c r="A8" s="227" t="s">
        <v>1</v>
      </c>
      <c r="B8" s="228"/>
      <c r="F8" s="229"/>
      <c r="AE8" s="222">
        <v>8</v>
      </c>
      <c r="AF8" s="222" t="s">
        <v>215</v>
      </c>
      <c r="AG8" s="225" t="e">
        <f>LOOKUP(AG7,AI1:AI12,AJ1:AJ12)</f>
        <v>#VALUE!</v>
      </c>
      <c r="AI8" s="222">
        <v>8</v>
      </c>
      <c r="AJ8" s="221" t="s">
        <v>222</v>
      </c>
    </row>
    <row r="9" spans="1:36">
      <c r="A9" s="230">
        <f>'Sch-1'!L8</f>
        <v>0</v>
      </c>
      <c r="B9" s="230"/>
      <c r="F9" s="229"/>
      <c r="AE9" s="222">
        <v>9</v>
      </c>
      <c r="AF9" s="222" t="s">
        <v>215</v>
      </c>
      <c r="AG9" s="225" t="e">
        <f>YEAR(B6)</f>
        <v>#VALUE!</v>
      </c>
      <c r="AI9" s="222">
        <v>9</v>
      </c>
      <c r="AJ9" s="221" t="s">
        <v>223</v>
      </c>
    </row>
    <row r="10" spans="1:36">
      <c r="A10" s="230" t="str">
        <f>'Sch-1'!K9</f>
        <v>Power Grid Corporation of India Ltd.,</v>
      </c>
      <c r="B10" s="230"/>
      <c r="F10" s="229"/>
      <c r="AE10" s="222">
        <v>10</v>
      </c>
      <c r="AF10" s="222" t="s">
        <v>215</v>
      </c>
      <c r="AI10" s="222">
        <v>10</v>
      </c>
      <c r="AJ10" s="221" t="s">
        <v>224</v>
      </c>
    </row>
    <row r="11" spans="1:36">
      <c r="A11" s="230" t="str">
        <f>'Sch-1'!K10</f>
        <v>"Saudamini", Plot No.-2</v>
      </c>
      <c r="B11" s="230"/>
      <c r="F11" s="229"/>
      <c r="AE11" s="222">
        <v>11</v>
      </c>
      <c r="AF11" s="222" t="s">
        <v>215</v>
      </c>
      <c r="AI11" s="222">
        <v>11</v>
      </c>
      <c r="AJ11" s="221" t="s">
        <v>225</v>
      </c>
    </row>
    <row r="12" spans="1:36">
      <c r="A12" s="230" t="str">
        <f>'Sch-1'!K11</f>
        <v xml:space="preserve">Sector-29, </v>
      </c>
      <c r="B12" s="230"/>
      <c r="F12" s="229"/>
      <c r="AE12" s="222">
        <v>12</v>
      </c>
      <c r="AF12" s="222" t="s">
        <v>215</v>
      </c>
      <c r="AI12" s="222">
        <v>12</v>
      </c>
      <c r="AJ12" s="221" t="s">
        <v>226</v>
      </c>
    </row>
    <row r="13" spans="1:36">
      <c r="A13" s="230" t="str">
        <f>'Sch-1'!K12</f>
        <v>Gurgaon (Haryana) - 122001</v>
      </c>
      <c r="B13" s="230"/>
      <c r="F13" s="229"/>
      <c r="AE13" s="222">
        <v>13</v>
      </c>
      <c r="AF13" s="222" t="s">
        <v>215</v>
      </c>
    </row>
    <row r="14" spans="1:36" ht="22.5" customHeight="1">
      <c r="A14" s="224"/>
      <c r="F14" s="229"/>
      <c r="AE14" s="222">
        <v>14</v>
      </c>
      <c r="AF14" s="222" t="s">
        <v>215</v>
      </c>
    </row>
    <row r="15" spans="1:36" ht="166.2" customHeight="1">
      <c r="A15" s="592" t="s">
        <v>227</v>
      </c>
      <c r="B15" s="593"/>
      <c r="C15" s="982" t="str">
        <f>Cover!B2</f>
        <v>Transmission Line Tower Package-TW01 including Design &amp; Testing of towers, Design of foundation, Supply of HTLS conductor, Composite long rod insulators, Earthwire/OPGW, Hardware Fittings, Accessories for Conductor &amp; Earthwire for M/C portion of (i) 400 kV D/C (Twin HTLS) Navasari (New) (South Gujarat)-Kala line and (ii) 400 kV D/C (Twin HTLS) Navasari (New) (South Gujarat)-Magarwada line and for D/C portion of (i) 400 kV D/C (twin HTLS) Navasari (New) (South Gujarat)-Kala line (From M/c line common point near Magarwada SS to Kala SS) associated with Transmission Network Expansion in Gujarat to increase its ATC from ISTS: Part B.</v>
      </c>
      <c r="D15" s="982"/>
      <c r="E15" s="982"/>
      <c r="F15" s="982"/>
      <c r="AE15" s="222">
        <v>15</v>
      </c>
      <c r="AF15" s="222" t="s">
        <v>215</v>
      </c>
    </row>
    <row r="16" spans="1:36" ht="27.75" customHeight="1">
      <c r="A16" s="218" t="s">
        <v>228</v>
      </c>
      <c r="B16" s="218"/>
      <c r="C16" s="229"/>
      <c r="D16" s="229"/>
      <c r="E16" s="229"/>
      <c r="F16" s="229"/>
      <c r="AE16" s="222">
        <v>16</v>
      </c>
      <c r="AF16" s="222" t="s">
        <v>215</v>
      </c>
    </row>
    <row r="17" spans="1:41" ht="99.75" customHeight="1">
      <c r="A17" s="232">
        <v>1</v>
      </c>
      <c r="B17" s="978"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78"/>
      <c r="D17" s="978"/>
      <c r="E17" s="978"/>
      <c r="F17" s="978"/>
      <c r="H17" s="695" t="s">
        <v>294</v>
      </c>
      <c r="Z17" s="233"/>
      <c r="AA17" s="234"/>
      <c r="AB17" s="235"/>
      <c r="AC17" s="236"/>
      <c r="AE17" s="222">
        <v>17</v>
      </c>
      <c r="AF17" s="222" t="s">
        <v>215</v>
      </c>
    </row>
    <row r="18" spans="1:41" ht="1.8" customHeight="1">
      <c r="A18" s="232"/>
      <c r="B18" s="978"/>
      <c r="C18" s="978"/>
      <c r="D18" s="978"/>
      <c r="E18" s="978"/>
      <c r="F18" s="978"/>
      <c r="H18" s="696">
        <f>ROUND('Sch-6 (After Discount)'!D28,2)</f>
        <v>0</v>
      </c>
      <c r="I18" s="219" t="s">
        <v>461</v>
      </c>
      <c r="Z18" s="233"/>
      <c r="AA18" s="234"/>
      <c r="AB18" s="235"/>
      <c r="AC18" s="236"/>
    </row>
    <row r="19" spans="1:41" ht="13.2" hidden="1" customHeight="1">
      <c r="A19" s="232"/>
      <c r="B19" s="978"/>
      <c r="C19" s="978"/>
      <c r="D19" s="978"/>
      <c r="E19" s="978"/>
      <c r="F19" s="978"/>
      <c r="H19" s="697" t="str">
        <f>'N-W (Cr.)'!P4</f>
        <v/>
      </c>
      <c r="N19" s="219" t="s">
        <v>460</v>
      </c>
      <c r="Z19" s="233"/>
      <c r="AA19" s="234"/>
      <c r="AB19" s="235"/>
      <c r="AC19" s="236"/>
    </row>
    <row r="20" spans="1:41" ht="39" customHeight="1">
      <c r="B20" s="979" t="s">
        <v>229</v>
      </c>
      <c r="C20" s="979"/>
      <c r="D20" s="979"/>
      <c r="E20" s="979"/>
      <c r="F20" s="979"/>
      <c r="H20" s="218" t="s">
        <v>293</v>
      </c>
      <c r="AE20" s="222">
        <v>18</v>
      </c>
      <c r="AF20" s="222" t="s">
        <v>215</v>
      </c>
    </row>
    <row r="21" spans="1:41" s="218" customFormat="1" ht="27.75" customHeight="1">
      <c r="A21" s="237">
        <v>2</v>
      </c>
      <c r="B21" s="977" t="s">
        <v>230</v>
      </c>
      <c r="C21" s="977"/>
      <c r="D21" s="977"/>
      <c r="E21" s="977"/>
      <c r="F21" s="977"/>
      <c r="Z21" s="238"/>
      <c r="AA21" s="238"/>
      <c r="AB21" s="238"/>
      <c r="AC21" s="238"/>
      <c r="AD21" s="239"/>
      <c r="AE21" s="222">
        <v>19</v>
      </c>
      <c r="AF21" s="222" t="s">
        <v>215</v>
      </c>
      <c r="AG21" s="239"/>
      <c r="AH21" s="239"/>
      <c r="AI21" s="239"/>
      <c r="AJ21" s="239"/>
      <c r="AK21" s="239"/>
      <c r="AL21" s="239"/>
      <c r="AM21" s="239"/>
      <c r="AN21" s="239"/>
      <c r="AO21" s="239"/>
    </row>
    <row r="22" spans="1:41" ht="39.75" customHeight="1">
      <c r="A22" s="232">
        <v>2.1</v>
      </c>
      <c r="B22" s="972" t="s">
        <v>231</v>
      </c>
      <c r="C22" s="972"/>
      <c r="D22" s="972"/>
      <c r="E22" s="972"/>
      <c r="F22" s="972"/>
      <c r="AE22" s="222">
        <v>20</v>
      </c>
      <c r="AF22" s="222" t="s">
        <v>215</v>
      </c>
    </row>
    <row r="23" spans="1:41" ht="36.75" customHeight="1">
      <c r="B23" s="976" t="s">
        <v>232</v>
      </c>
      <c r="C23" s="976"/>
      <c r="D23" s="972" t="s">
        <v>233</v>
      </c>
      <c r="E23" s="972"/>
      <c r="F23" s="972"/>
      <c r="AE23" s="222">
        <v>21</v>
      </c>
      <c r="AF23" s="222" t="s">
        <v>208</v>
      </c>
    </row>
    <row r="24" spans="1:41" ht="33" customHeight="1">
      <c r="B24" s="976" t="s">
        <v>234</v>
      </c>
      <c r="C24" s="976"/>
      <c r="D24" s="231" t="s">
        <v>295</v>
      </c>
      <c r="E24" s="231"/>
      <c r="F24" s="231"/>
      <c r="AE24" s="222">
        <v>22</v>
      </c>
      <c r="AF24" s="222" t="s">
        <v>215</v>
      </c>
    </row>
    <row r="25" spans="1:41" ht="27.9" customHeight="1">
      <c r="B25" s="976" t="s">
        <v>235</v>
      </c>
      <c r="C25" s="976"/>
      <c r="D25" s="231" t="s">
        <v>236</v>
      </c>
      <c r="E25" s="231"/>
      <c r="F25" s="231"/>
      <c r="H25" s="240" t="str">
        <f>'[6]Names of Bidder'!D6</f>
        <v>Sole Bidder</v>
      </c>
      <c r="AE25" s="222">
        <v>23</v>
      </c>
      <c r="AF25" s="222" t="s">
        <v>215</v>
      </c>
    </row>
    <row r="26" spans="1:41" ht="27.9" customHeight="1">
      <c r="B26" s="976" t="s">
        <v>237</v>
      </c>
      <c r="C26" s="976"/>
      <c r="D26" s="231" t="s">
        <v>469</v>
      </c>
      <c r="E26" s="231"/>
      <c r="F26" s="231"/>
      <c r="AE26" s="222">
        <v>24</v>
      </c>
      <c r="AF26" s="222" t="s">
        <v>215</v>
      </c>
    </row>
    <row r="27" spans="1:41" ht="27.9" customHeight="1">
      <c r="B27" s="976" t="s">
        <v>238</v>
      </c>
      <c r="C27" s="976"/>
      <c r="D27" s="231" t="s">
        <v>470</v>
      </c>
      <c r="E27" s="231"/>
      <c r="F27" s="231"/>
      <c r="AE27" s="222">
        <v>25</v>
      </c>
      <c r="AF27" s="222" t="s">
        <v>215</v>
      </c>
    </row>
    <row r="28" spans="1:41" ht="27.9" customHeight="1">
      <c r="B28" s="976" t="s">
        <v>239</v>
      </c>
      <c r="C28" s="976"/>
      <c r="D28" s="231" t="s">
        <v>240</v>
      </c>
      <c r="E28" s="231"/>
      <c r="F28" s="231"/>
      <c r="AE28" s="222">
        <v>26</v>
      </c>
      <c r="AF28" s="222" t="s">
        <v>215</v>
      </c>
    </row>
    <row r="29" spans="1:41" ht="44.25" customHeight="1">
      <c r="B29" s="976" t="s">
        <v>30</v>
      </c>
      <c r="C29" s="976"/>
      <c r="D29" s="973" t="s">
        <v>472</v>
      </c>
      <c r="E29" s="973"/>
      <c r="F29" s="973"/>
      <c r="AE29" s="222">
        <v>27</v>
      </c>
      <c r="AF29" s="222" t="s">
        <v>215</v>
      </c>
    </row>
    <row r="30" spans="1:41" ht="98.25" customHeight="1">
      <c r="A30" s="241">
        <v>2.2000000000000002</v>
      </c>
      <c r="B30" s="972" t="s">
        <v>241</v>
      </c>
      <c r="C30" s="972"/>
      <c r="D30" s="972"/>
      <c r="E30" s="972"/>
      <c r="F30" s="972"/>
      <c r="AE30" s="222">
        <v>28</v>
      </c>
      <c r="AF30" s="222" t="s">
        <v>215</v>
      </c>
    </row>
    <row r="31" spans="1:41" ht="68.25" customHeight="1">
      <c r="A31" s="241">
        <v>2.2999999999999998</v>
      </c>
      <c r="B31" s="972" t="s">
        <v>474</v>
      </c>
      <c r="C31" s="972"/>
      <c r="D31" s="972"/>
      <c r="E31" s="972"/>
      <c r="F31" s="972"/>
      <c r="AE31" s="222">
        <v>29</v>
      </c>
      <c r="AF31" s="222" t="s">
        <v>215</v>
      </c>
    </row>
    <row r="32" spans="1:41" ht="129.75" customHeight="1">
      <c r="A32" s="241">
        <v>2.4</v>
      </c>
      <c r="B32" s="972" t="s">
        <v>242</v>
      </c>
      <c r="C32" s="972"/>
      <c r="D32" s="972"/>
      <c r="E32" s="972"/>
      <c r="F32" s="972"/>
      <c r="AE32" s="222">
        <v>30</v>
      </c>
      <c r="AF32" s="222" t="s">
        <v>215</v>
      </c>
    </row>
    <row r="33" spans="1:32" ht="79.5" customHeight="1">
      <c r="A33" s="241">
        <v>2.5</v>
      </c>
      <c r="B33" s="972" t="s">
        <v>243</v>
      </c>
      <c r="C33" s="972"/>
      <c r="D33" s="972"/>
      <c r="E33" s="972"/>
      <c r="F33" s="972"/>
      <c r="AE33" s="222">
        <v>31</v>
      </c>
      <c r="AF33" s="222" t="s">
        <v>208</v>
      </c>
    </row>
    <row r="34" spans="1:32" ht="81" customHeight="1">
      <c r="A34" s="232">
        <v>3</v>
      </c>
      <c r="B34" s="972" t="s">
        <v>468</v>
      </c>
      <c r="C34" s="972"/>
      <c r="D34" s="972"/>
      <c r="E34" s="972"/>
      <c r="F34" s="972"/>
    </row>
    <row r="35" spans="1:32" ht="63" customHeight="1">
      <c r="A35" s="232">
        <v>3.1</v>
      </c>
      <c r="B35" s="973" t="s">
        <v>296</v>
      </c>
      <c r="C35" s="973"/>
      <c r="D35" s="973"/>
      <c r="E35" s="973"/>
      <c r="F35" s="973"/>
    </row>
    <row r="36" spans="1:32" ht="114" customHeight="1">
      <c r="A36" s="241">
        <v>3.2</v>
      </c>
      <c r="B36" s="972" t="s">
        <v>297</v>
      </c>
      <c r="C36" s="972"/>
      <c r="D36" s="972"/>
      <c r="E36" s="972"/>
      <c r="F36" s="972"/>
    </row>
    <row r="37" spans="1:32" ht="65.25" customHeight="1">
      <c r="A37" s="241">
        <v>3.3</v>
      </c>
      <c r="B37" s="972" t="s">
        <v>298</v>
      </c>
      <c r="C37" s="972"/>
      <c r="D37" s="972"/>
      <c r="E37" s="972"/>
      <c r="F37" s="972"/>
    </row>
    <row r="38" spans="1:32" ht="66" customHeight="1">
      <c r="A38" s="232">
        <v>4</v>
      </c>
      <c r="B38" s="972" t="s">
        <v>244</v>
      </c>
      <c r="C38" s="972"/>
      <c r="D38" s="972"/>
      <c r="E38" s="972"/>
      <c r="F38" s="972"/>
    </row>
    <row r="39" spans="1:32" ht="93" customHeight="1">
      <c r="A39" s="232">
        <v>5</v>
      </c>
      <c r="B39" s="972" t="s">
        <v>245</v>
      </c>
      <c r="C39" s="972"/>
      <c r="D39" s="972"/>
      <c r="E39" s="972"/>
      <c r="F39" s="972"/>
    </row>
    <row r="40" spans="1:32" ht="20.25" customHeight="1">
      <c r="B40" s="242" t="str">
        <f>IF(ISERROR("Dated this " &amp; AG6 &amp; LOOKUP(AG6,AE1:AE33,AF1:AF33) &amp; " day of " &amp; AG8 &amp; " " &amp;AG9), "", "Dated this " &amp; AG6 &amp; LOOKUP(AG6,AE1:AE33,AF1:AF33) &amp; " day of " &amp; AG8 &amp; " " &amp;AG9)</f>
        <v/>
      </c>
      <c r="C40" s="242"/>
      <c r="D40" s="242"/>
      <c r="E40" s="243"/>
      <c r="F40" s="243"/>
    </row>
    <row r="41" spans="1:32" ht="30" customHeight="1">
      <c r="B41" s="242" t="s">
        <v>179</v>
      </c>
      <c r="C41" s="244"/>
      <c r="D41" s="245"/>
      <c r="E41" s="245"/>
      <c r="F41" s="245"/>
    </row>
    <row r="42" spans="1:32" ht="20.25" customHeight="1">
      <c r="B42" s="246"/>
      <c r="C42" s="245"/>
      <c r="D42" s="245"/>
      <c r="E42" s="242"/>
      <c r="F42" s="247" t="s">
        <v>180</v>
      </c>
    </row>
    <row r="43" spans="1:32" ht="18" customHeight="1">
      <c r="B43" s="246"/>
      <c r="C43" s="245"/>
      <c r="D43" s="242"/>
      <c r="E43" s="242"/>
      <c r="F43" s="247" t="str">
        <f>"For and on behalf of " &amp; '[6]Sch-1'!B8</f>
        <v>For and on behalf of test</v>
      </c>
    </row>
    <row r="44" spans="1:32" ht="30" customHeight="1">
      <c r="A44" s="219"/>
      <c r="B44" s="219"/>
      <c r="C44" s="248"/>
      <c r="D44" s="219"/>
      <c r="E44" s="249" t="s">
        <v>246</v>
      </c>
      <c r="F44" s="224"/>
    </row>
    <row r="45" spans="1:32" ht="30" customHeight="1">
      <c r="A45" s="250" t="s">
        <v>181</v>
      </c>
      <c r="B45" s="975" t="str">
        <f>Discount!C39</f>
        <v xml:space="preserve">  </v>
      </c>
      <c r="C45" s="971"/>
      <c r="D45" s="219"/>
      <c r="E45" s="249" t="s">
        <v>182</v>
      </c>
      <c r="F45" s="453">
        <f>Discount!F39</f>
        <v>0</v>
      </c>
    </row>
    <row r="46" spans="1:32" ht="30" customHeight="1">
      <c r="A46" s="250" t="s">
        <v>183</v>
      </c>
      <c r="B46" s="970" t="str">
        <f>Discount!C40</f>
        <v/>
      </c>
      <c r="C46" s="971"/>
      <c r="D46" s="219"/>
      <c r="E46" s="249" t="s">
        <v>184</v>
      </c>
      <c r="F46" s="453">
        <f>Discount!F40</f>
        <v>0</v>
      </c>
    </row>
    <row r="47" spans="1:32" ht="30" customHeight="1">
      <c r="B47" s="218"/>
      <c r="D47" s="219"/>
      <c r="E47" s="249" t="s">
        <v>247</v>
      </c>
    </row>
    <row r="48" spans="1:32" ht="30" customHeight="1">
      <c r="A48" s="974" t="str">
        <f>IF(H25="Sole Bidder", "", "In case of bid from a Joint Venture, name &amp; designation of representative of JV partner is to be provided and Bid Form is also to be signed by him.")</f>
        <v/>
      </c>
      <c r="B48" s="974"/>
      <c r="C48" s="974"/>
      <c r="D48" s="974"/>
      <c r="E48" s="974"/>
      <c r="F48" s="974"/>
    </row>
    <row r="49" spans="1:41" s="218" customFormat="1" ht="33" customHeight="1">
      <c r="A49" s="252" t="s">
        <v>248</v>
      </c>
      <c r="B49" s="253"/>
      <c r="C49" s="254"/>
      <c r="D49" s="251"/>
      <c r="E49" s="255"/>
      <c r="F49" s="251"/>
      <c r="H49" s="224"/>
      <c r="Z49" s="238"/>
      <c r="AA49" s="238"/>
      <c r="AB49" s="238"/>
      <c r="AC49" s="238"/>
      <c r="AD49" s="239"/>
      <c r="AE49" s="222"/>
      <c r="AF49" s="222"/>
      <c r="AG49" s="239"/>
      <c r="AH49" s="239"/>
      <c r="AI49" s="239"/>
      <c r="AJ49" s="239"/>
      <c r="AK49" s="239"/>
      <c r="AL49" s="239"/>
      <c r="AM49" s="239"/>
      <c r="AN49" s="239"/>
      <c r="AO49" s="239"/>
    </row>
    <row r="50" spans="1:41" s="218" customFormat="1" ht="33" customHeight="1">
      <c r="A50" s="966" t="s">
        <v>249</v>
      </c>
      <c r="B50" s="966"/>
      <c r="C50" s="966"/>
      <c r="D50" s="964"/>
      <c r="E50" s="965"/>
      <c r="F50" s="965"/>
      <c r="H50" s="224"/>
      <c r="Z50" s="238"/>
      <c r="AA50" s="238"/>
      <c r="AB50" s="238"/>
      <c r="AC50" s="238"/>
      <c r="AD50" s="239"/>
      <c r="AE50" s="222"/>
      <c r="AF50" s="222"/>
      <c r="AG50" s="239"/>
      <c r="AH50" s="239"/>
      <c r="AI50" s="239"/>
      <c r="AJ50" s="239"/>
      <c r="AK50" s="239"/>
      <c r="AL50" s="239"/>
      <c r="AM50" s="239"/>
      <c r="AN50" s="239"/>
      <c r="AO50" s="239"/>
    </row>
    <row r="51" spans="1:41" s="218" customFormat="1" ht="33" customHeight="1">
      <c r="A51" s="969"/>
      <c r="B51" s="969"/>
      <c r="C51" s="969"/>
      <c r="D51" s="256"/>
      <c r="E51" s="256"/>
      <c r="F51" s="256"/>
      <c r="H51" s="224"/>
      <c r="Z51" s="238"/>
      <c r="AA51" s="238"/>
      <c r="AB51" s="238"/>
      <c r="AC51" s="238"/>
      <c r="AD51" s="239"/>
      <c r="AE51" s="222"/>
      <c r="AF51" s="222"/>
      <c r="AG51" s="239"/>
      <c r="AH51" s="239"/>
      <c r="AI51" s="239"/>
      <c r="AJ51" s="239"/>
      <c r="AK51" s="239"/>
      <c r="AL51" s="239"/>
      <c r="AM51" s="239"/>
      <c r="AN51" s="239"/>
      <c r="AO51" s="239"/>
    </row>
    <row r="52" spans="1:41" s="218" customFormat="1" ht="33" customHeight="1">
      <c r="A52" s="967"/>
      <c r="B52" s="967"/>
      <c r="C52" s="967"/>
      <c r="D52" s="256"/>
      <c r="E52" s="256"/>
      <c r="F52" s="256"/>
      <c r="H52" s="224"/>
      <c r="Z52" s="238"/>
      <c r="AA52" s="238"/>
      <c r="AB52" s="238"/>
      <c r="AC52" s="238"/>
      <c r="AD52" s="239"/>
      <c r="AE52" s="222"/>
      <c r="AF52" s="222"/>
      <c r="AG52" s="239"/>
      <c r="AH52" s="239"/>
      <c r="AI52" s="239"/>
      <c r="AJ52" s="239"/>
      <c r="AK52" s="239"/>
      <c r="AL52" s="239"/>
      <c r="AM52" s="239"/>
      <c r="AN52" s="239"/>
      <c r="AO52" s="239"/>
    </row>
    <row r="53" spans="1:41" s="218" customFormat="1" ht="33" customHeight="1">
      <c r="A53" s="962" t="s">
        <v>250</v>
      </c>
      <c r="B53" s="962"/>
      <c r="C53" s="962"/>
      <c r="D53" s="964"/>
      <c r="E53" s="965"/>
      <c r="F53" s="965"/>
      <c r="H53" s="224"/>
      <c r="Z53" s="238"/>
      <c r="AA53" s="238"/>
      <c r="AB53" s="238"/>
      <c r="AC53" s="238"/>
      <c r="AD53" s="239"/>
      <c r="AE53" s="222"/>
      <c r="AF53" s="222"/>
      <c r="AG53" s="239"/>
      <c r="AH53" s="239"/>
      <c r="AI53" s="239"/>
      <c r="AJ53" s="239"/>
      <c r="AK53" s="239"/>
      <c r="AL53" s="239"/>
      <c r="AM53" s="239"/>
      <c r="AN53" s="239"/>
      <c r="AO53" s="239"/>
    </row>
    <row r="54" spans="1:41" s="218" customFormat="1" ht="33" customHeight="1">
      <c r="A54" s="962" t="s">
        <v>251</v>
      </c>
      <c r="B54" s="962"/>
      <c r="C54" s="962"/>
      <c r="D54" s="964"/>
      <c r="E54" s="965"/>
      <c r="F54" s="965"/>
      <c r="H54" s="224"/>
      <c r="Z54" s="238"/>
      <c r="AA54" s="238"/>
      <c r="AB54" s="238"/>
      <c r="AC54" s="238"/>
      <c r="AD54" s="239"/>
      <c r="AE54" s="222"/>
      <c r="AF54" s="222"/>
      <c r="AG54" s="239"/>
      <c r="AH54" s="239"/>
      <c r="AI54" s="239"/>
      <c r="AJ54" s="239"/>
      <c r="AK54" s="239"/>
      <c r="AL54" s="239"/>
      <c r="AM54" s="239"/>
      <c r="AN54" s="239"/>
      <c r="AO54" s="239"/>
    </row>
    <row r="55" spans="1:41" s="218" customFormat="1" ht="33" customHeight="1">
      <c r="A55" s="962" t="s">
        <v>252</v>
      </c>
      <c r="B55" s="962"/>
      <c r="C55" s="962"/>
      <c r="D55" s="964"/>
      <c r="E55" s="965"/>
      <c r="F55" s="965"/>
      <c r="H55" s="224"/>
      <c r="Z55" s="238"/>
      <c r="AA55" s="238"/>
      <c r="AB55" s="238"/>
      <c r="AC55" s="238"/>
      <c r="AD55" s="239"/>
      <c r="AE55" s="222"/>
      <c r="AF55" s="222"/>
      <c r="AG55" s="239"/>
      <c r="AH55" s="239"/>
      <c r="AI55" s="239"/>
      <c r="AJ55" s="239"/>
      <c r="AK55" s="239"/>
      <c r="AL55" s="239"/>
      <c r="AM55" s="239"/>
      <c r="AN55" s="239"/>
      <c r="AO55" s="239"/>
    </row>
    <row r="56" spans="1:41" s="218" customFormat="1" ht="33" customHeight="1">
      <c r="A56" s="966" t="s">
        <v>253</v>
      </c>
      <c r="B56" s="966"/>
      <c r="C56" s="966"/>
      <c r="D56" s="964"/>
      <c r="E56" s="965"/>
      <c r="F56" s="965"/>
      <c r="H56" s="224"/>
      <c r="Z56" s="238"/>
      <c r="AA56" s="238"/>
      <c r="AB56" s="238"/>
      <c r="AC56" s="238"/>
      <c r="AD56" s="239"/>
      <c r="AE56" s="222"/>
      <c r="AF56" s="222"/>
      <c r="AG56" s="239"/>
      <c r="AH56" s="239"/>
      <c r="AI56" s="239"/>
      <c r="AJ56" s="239"/>
      <c r="AK56" s="239"/>
      <c r="AL56" s="239"/>
      <c r="AM56" s="239"/>
      <c r="AN56" s="239"/>
      <c r="AO56" s="239"/>
    </row>
    <row r="57" spans="1:41" s="218" customFormat="1" ht="33" customHeight="1">
      <c r="A57" s="969"/>
      <c r="B57" s="969"/>
      <c r="C57" s="969"/>
      <c r="D57" s="256"/>
      <c r="E57" s="256"/>
      <c r="F57" s="256"/>
      <c r="H57" s="224"/>
      <c r="Z57" s="238"/>
      <c r="AA57" s="238"/>
      <c r="AB57" s="238"/>
      <c r="AC57" s="238"/>
      <c r="AD57" s="239"/>
      <c r="AE57" s="222"/>
      <c r="AF57" s="222"/>
      <c r="AG57" s="239"/>
      <c r="AH57" s="239"/>
      <c r="AI57" s="239"/>
      <c r="AJ57" s="239"/>
      <c r="AK57" s="239"/>
      <c r="AL57" s="239"/>
      <c r="AM57" s="239"/>
      <c r="AN57" s="239"/>
      <c r="AO57" s="239"/>
    </row>
    <row r="58" spans="1:41" s="218" customFormat="1" ht="33" customHeight="1">
      <c r="A58" s="967"/>
      <c r="B58" s="967"/>
      <c r="C58" s="967"/>
      <c r="D58" s="256"/>
      <c r="E58" s="256"/>
      <c r="F58" s="256"/>
      <c r="H58" s="224"/>
      <c r="Z58" s="238"/>
      <c r="AA58" s="238"/>
      <c r="AB58" s="238"/>
      <c r="AC58" s="238"/>
      <c r="AD58" s="239"/>
      <c r="AE58" s="222"/>
      <c r="AF58" s="222"/>
      <c r="AG58" s="239"/>
      <c r="AH58" s="239"/>
      <c r="AI58" s="239"/>
      <c r="AJ58" s="239"/>
      <c r="AK58" s="239"/>
      <c r="AL58" s="239"/>
      <c r="AM58" s="239"/>
      <c r="AN58" s="239"/>
      <c r="AO58" s="239"/>
    </row>
    <row r="59" spans="1:41" s="218" customFormat="1" ht="60.75" customHeight="1">
      <c r="A59" s="968"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9" s="968"/>
      <c r="C59" s="968"/>
      <c r="D59" s="968"/>
      <c r="E59" s="968"/>
      <c r="F59" s="968"/>
      <c r="H59" s="224"/>
      <c r="Z59" s="238"/>
      <c r="AA59" s="238"/>
      <c r="AB59" s="238"/>
      <c r="AC59" s="238"/>
      <c r="AD59" s="239"/>
      <c r="AE59" s="222"/>
      <c r="AF59" s="222"/>
      <c r="AG59" s="239"/>
      <c r="AH59" s="239"/>
      <c r="AI59" s="239"/>
      <c r="AJ59" s="239"/>
      <c r="AK59" s="239"/>
      <c r="AL59" s="239"/>
      <c r="AM59" s="239"/>
      <c r="AN59" s="239"/>
      <c r="AO59" s="239"/>
    </row>
    <row r="60" spans="1:41" s="218" customFormat="1" ht="33" customHeight="1">
      <c r="A60" s="963" t="s">
        <v>114</v>
      </c>
      <c r="B60" s="963"/>
      <c r="C60" s="963"/>
      <c r="D60" s="963"/>
      <c r="E60" s="963"/>
      <c r="F60" s="963"/>
      <c r="H60" s="224"/>
      <c r="Z60" s="238"/>
      <c r="AA60" s="238"/>
      <c r="AB60" s="238"/>
      <c r="AC60" s="238"/>
      <c r="AD60" s="239"/>
      <c r="AE60" s="222"/>
      <c r="AF60" s="222"/>
      <c r="AG60" s="239"/>
      <c r="AH60" s="239"/>
      <c r="AI60" s="239"/>
      <c r="AJ60" s="239"/>
      <c r="AK60" s="239"/>
      <c r="AL60" s="239"/>
      <c r="AM60" s="239"/>
      <c r="AN60" s="239"/>
      <c r="AO60" s="239"/>
    </row>
    <row r="61" spans="1:41">
      <c r="A61" s="224"/>
    </row>
    <row r="62" spans="1:41">
      <c r="A62" s="224"/>
    </row>
    <row r="63" spans="1:41">
      <c r="A63" s="224"/>
    </row>
    <row r="64" spans="1:41">
      <c r="A64" s="224"/>
    </row>
    <row r="65" spans="1:1">
      <c r="A65" s="224"/>
    </row>
    <row r="66" spans="1:1">
      <c r="A66" s="224"/>
    </row>
    <row r="67" spans="1:1">
      <c r="A67" s="224"/>
    </row>
    <row r="68" spans="1:1">
      <c r="A68" s="224"/>
    </row>
    <row r="69" spans="1:1">
      <c r="A69" s="224"/>
    </row>
    <row r="70" spans="1:1">
      <c r="A70" s="224"/>
    </row>
    <row r="71" spans="1:1">
      <c r="A71" s="224"/>
    </row>
    <row r="72" spans="1:1">
      <c r="A72" s="224"/>
    </row>
  </sheetData>
  <sheetProtection password="CC6F" sheet="1" objects="1" scenarios="1" formatColumns="0" formatRows="0" selectLockedCells="1"/>
  <customSheetViews>
    <customSheetView guid="{027A88A6-1BB1-46D4-AC44-9DCFC13F5D7E}" showPageBreaks="1" showGridLines="0" zeroValues="0" fitToPage="1" printArea="1" hiddenRows="1" hiddenColumns="1" view="pageBreakPreview" topLeftCell="A10">
      <selection activeCell="D50" sqref="D50:F50"/>
      <rowBreaks count="1" manualBreakCount="1">
        <brk id="48" max="5" man="1"/>
      </rowBreaks>
      <pageMargins left="0.75" right="0.77" top="0.62" bottom="0.61" header="0.39" footer="0.32"/>
      <pageSetup scale="73" fitToHeight="3" orientation="portrait" r:id="rId1"/>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2"/>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4" fitToHeight="3" orientation="portrait" r:id="rId3"/>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4"/>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7"/>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3" fitToHeight="3" orientation="portrait" r:id="rId11"/>
      <headerFooter alignWithMargins="0">
        <oddFooter>&amp;R&amp;"Book Antiqua,Bold"&amp;8Bid Form (1st Envelope)  / Page &amp;P of &amp;N</oddFooter>
      </headerFooter>
    </customSheetView>
    <customSheetView guid="{DACD165C-CB59-4178-94BC-16705741C7B8}" showPageBreaks="1" showGridLines="0" zeroValues="0" fitToPage="1" printArea="1" hiddenColumns="1" view="pageBreakPreview">
      <selection activeCell="D50" sqref="D50:F50"/>
      <rowBreaks count="1" manualBreakCount="1">
        <brk id="48" max="5" man="1"/>
      </rowBreaks>
      <pageMargins left="0.75" right="0.77" top="0.62" bottom="0.61" header="0.39" footer="0.32"/>
      <pageSetup scale="73" fitToHeight="3" orientation="portrait" r:id="rId12"/>
      <headerFooter alignWithMargins="0">
        <oddFooter>&amp;R&amp;"Book Antiqua,Bold"&amp;8Bid Form (1st Envelope)  / Page &amp;P of &amp;N</oddFooter>
      </headerFooter>
    </customSheetView>
  </customSheetViews>
  <mergeCells count="46">
    <mergeCell ref="B25:C25"/>
    <mergeCell ref="D23:F23"/>
    <mergeCell ref="B27:C27"/>
    <mergeCell ref="B28:C28"/>
    <mergeCell ref="D29:F29"/>
    <mergeCell ref="B23:C23"/>
    <mergeCell ref="B24:C24"/>
    <mergeCell ref="B21:F21"/>
    <mergeCell ref="B22:F22"/>
    <mergeCell ref="B17:F19"/>
    <mergeCell ref="B20:F20"/>
    <mergeCell ref="A3:F3"/>
    <mergeCell ref="C5:F5"/>
    <mergeCell ref="B6:C6"/>
    <mergeCell ref="C15:F15"/>
    <mergeCell ref="B36:F36"/>
    <mergeCell ref="B37:F37"/>
    <mergeCell ref="B26:C26"/>
    <mergeCell ref="B29:C29"/>
    <mergeCell ref="B30:F30"/>
    <mergeCell ref="B46:C46"/>
    <mergeCell ref="B31:F31"/>
    <mergeCell ref="B38:F38"/>
    <mergeCell ref="D53:F53"/>
    <mergeCell ref="B39:F39"/>
    <mergeCell ref="B35:F35"/>
    <mergeCell ref="A48:F48"/>
    <mergeCell ref="A51:C51"/>
    <mergeCell ref="A52:C52"/>
    <mergeCell ref="B45:C45"/>
    <mergeCell ref="A53:C53"/>
    <mergeCell ref="A50:C50"/>
    <mergeCell ref="D50:F50"/>
    <mergeCell ref="B32:F32"/>
    <mergeCell ref="B33:F33"/>
    <mergeCell ref="B34:F34"/>
    <mergeCell ref="A54:C54"/>
    <mergeCell ref="A60:F60"/>
    <mergeCell ref="A55:C55"/>
    <mergeCell ref="D55:F55"/>
    <mergeCell ref="A56:C56"/>
    <mergeCell ref="D56:F56"/>
    <mergeCell ref="A58:C58"/>
    <mergeCell ref="A59:F59"/>
    <mergeCell ref="A57:C57"/>
    <mergeCell ref="D54:F54"/>
  </mergeCells>
  <pageMargins left="0.75" right="0.77" top="0.62" bottom="0.61" header="0.39" footer="0.32"/>
  <pageSetup scale="73" fitToHeight="3" orientation="portrait" r:id="rId13"/>
  <headerFooter alignWithMargins="0">
    <oddFooter>&amp;R&amp;"Book Antiqua,Bold"&amp;8Bid Form (1st Envelope)  / Page &amp;P of &amp;N</oddFooter>
  </headerFooter>
  <rowBreaks count="1" manualBreakCount="1">
    <brk id="48" max="5" man="1"/>
  </rowBreak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tabSelected="1" view="pageBreakPreview" zoomScaleNormal="100" zoomScaleSheetLayoutView="100" workbookViewId="0">
      <selection activeCell="F13" sqref="F13:F14"/>
    </sheetView>
  </sheetViews>
  <sheetFormatPr defaultColWidth="9.109375" defaultRowHeight="13.8"/>
  <cols>
    <col min="1" max="1" width="9.88671875" style="58" customWidth="1"/>
    <col min="2" max="2" width="12.6640625" style="58" customWidth="1"/>
    <col min="3" max="4" width="44.109375" style="58" customWidth="1"/>
    <col min="5" max="5" width="12.88671875" style="58" customWidth="1"/>
    <col min="6" max="6" width="9.88671875" style="45" customWidth="1"/>
    <col min="7" max="9" width="9.109375" style="45" customWidth="1"/>
    <col min="10" max="16384" width="9.109375" style="41"/>
  </cols>
  <sheetData>
    <row r="1" spans="1:10" ht="30.75" customHeight="1">
      <c r="A1" s="36"/>
      <c r="B1" s="766"/>
      <c r="C1" s="767"/>
      <c r="D1" s="767"/>
      <c r="E1" s="768"/>
      <c r="F1" s="37"/>
      <c r="G1" s="38"/>
      <c r="H1" s="39"/>
      <c r="I1" s="39"/>
      <c r="J1" s="40"/>
    </row>
    <row r="2" spans="1:10" ht="131.4" customHeight="1">
      <c r="A2" s="769" t="s">
        <v>43</v>
      </c>
      <c r="B2" s="772" t="str">
        <f>Basic!B1</f>
        <v>Transmission Line Tower Package-TW01 including Design &amp; Testing of towers, Design of foundation, Supply of HTLS conductor, Composite long rod insulators, Earthwire/OPGW, Hardware Fittings, Accessories for Conductor &amp; Earthwire for M/C portion of (i) 400 kV D/C (Twin HTLS) Navasari (New) (South Gujarat)-Kala line and (ii) 400 kV D/C (Twin HTLS) Navasari (New) (South Gujarat)-Magarwada line and for D/C portion of (i) 400 kV D/C (twin HTLS) Navasari (New) (South Gujarat)-Kala line (From M/c line common point near Magarwada SS to Kala SS) associated with Transmission Network Expansion in Gujarat to increase its ATC from ISTS: Part B.</v>
      </c>
      <c r="C2" s="773"/>
      <c r="D2" s="773"/>
      <c r="E2" s="774"/>
      <c r="F2" s="775" t="s">
        <v>805</v>
      </c>
      <c r="G2" s="38"/>
      <c r="H2" s="39"/>
      <c r="I2" s="39"/>
      <c r="J2" s="40"/>
    </row>
    <row r="3" spans="1:10" ht="23.25" customHeight="1">
      <c r="A3" s="770"/>
      <c r="B3" s="778" t="str">
        <f>Basic!B5</f>
        <v>Specification No. : 5002002268/TOWER/DOM/A00 - CC CS -1</v>
      </c>
      <c r="C3" s="779"/>
      <c r="D3" s="779"/>
      <c r="E3" s="780"/>
      <c r="F3" s="776"/>
      <c r="G3" s="38"/>
      <c r="H3" s="39"/>
      <c r="I3" s="39"/>
      <c r="J3" s="40"/>
    </row>
    <row r="4" spans="1:10" ht="39.9" customHeight="1">
      <c r="A4" s="770"/>
      <c r="B4" s="42">
        <v>1</v>
      </c>
      <c r="C4" s="781" t="s">
        <v>44</v>
      </c>
      <c r="D4" s="781"/>
      <c r="E4" s="782"/>
      <c r="F4" s="776"/>
      <c r="G4" s="43"/>
      <c r="H4" s="44" t="s">
        <v>45</v>
      </c>
      <c r="I4" s="39"/>
      <c r="J4" s="40"/>
    </row>
    <row r="5" spans="1:10" ht="30" customHeight="1">
      <c r="A5" s="770"/>
      <c r="B5" s="42">
        <v>2</v>
      </c>
      <c r="C5" s="781" t="s">
        <v>46</v>
      </c>
      <c r="D5" s="781"/>
      <c r="E5" s="782"/>
      <c r="F5" s="776"/>
      <c r="G5" s="38"/>
      <c r="H5" s="39"/>
      <c r="I5" s="39"/>
      <c r="J5" s="40"/>
    </row>
    <row r="6" spans="1:10" s="45" customFormat="1" ht="30" customHeight="1">
      <c r="A6" s="770"/>
      <c r="B6" s="42">
        <v>3</v>
      </c>
      <c r="C6" s="781" t="s">
        <v>47</v>
      </c>
      <c r="D6" s="781"/>
      <c r="E6" s="782"/>
      <c r="F6" s="776"/>
      <c r="G6" s="38"/>
      <c r="H6" s="39"/>
      <c r="I6" s="39"/>
      <c r="J6" s="39"/>
    </row>
    <row r="7" spans="1:10" ht="52.5" hidden="1" customHeight="1">
      <c r="A7" s="770"/>
      <c r="B7" s="42">
        <v>4</v>
      </c>
      <c r="C7" s="781" t="s">
        <v>48</v>
      </c>
      <c r="D7" s="781"/>
      <c r="E7" s="782"/>
      <c r="F7" s="776"/>
      <c r="G7" s="38"/>
      <c r="H7" s="39"/>
      <c r="I7" s="39"/>
      <c r="J7" s="40"/>
    </row>
    <row r="8" spans="1:10" ht="9.75" customHeight="1">
      <c r="A8" s="770"/>
      <c r="B8" s="46"/>
      <c r="C8" s="47"/>
      <c r="D8" s="47"/>
      <c r="E8" s="48"/>
      <c r="F8" s="776"/>
      <c r="G8" s="38"/>
      <c r="H8" s="39"/>
      <c r="I8" s="39"/>
      <c r="J8" s="40"/>
    </row>
    <row r="9" spans="1:10" ht="23.25" customHeight="1">
      <c r="A9" s="770"/>
      <c r="B9" s="783"/>
      <c r="C9" s="784"/>
      <c r="D9" s="784"/>
      <c r="E9" s="785"/>
      <c r="F9" s="776"/>
      <c r="G9" s="38"/>
      <c r="H9" s="39"/>
      <c r="I9" s="39"/>
      <c r="J9" s="40"/>
    </row>
    <row r="10" spans="1:10" ht="10.5" customHeight="1">
      <c r="A10" s="770"/>
      <c r="B10" s="49"/>
      <c r="C10" s="50"/>
      <c r="D10" s="50"/>
      <c r="E10" s="51"/>
      <c r="F10" s="776"/>
      <c r="G10" s="38"/>
      <c r="H10" s="39"/>
      <c r="I10" s="39"/>
      <c r="J10" s="40"/>
    </row>
    <row r="11" spans="1:10" ht="24" customHeight="1">
      <c r="A11" s="770"/>
      <c r="B11" s="786" t="s">
        <v>49</v>
      </c>
      <c r="C11" s="787"/>
      <c r="D11" s="787"/>
      <c r="E11" s="52"/>
      <c r="F11" s="776"/>
    </row>
    <row r="12" spans="1:10" ht="15.9" customHeight="1">
      <c r="A12" s="771"/>
      <c r="B12" s="788" t="s">
        <v>50</v>
      </c>
      <c r="C12" s="789"/>
      <c r="D12" s="789"/>
      <c r="E12" s="53"/>
      <c r="F12" s="777"/>
      <c r="G12" s="38"/>
      <c r="H12" s="39"/>
      <c r="I12" s="39"/>
      <c r="J12" s="40"/>
    </row>
    <row r="13" spans="1:10" ht="24" customHeight="1">
      <c r="A13" s="760"/>
      <c r="B13" s="761" t="s">
        <v>51</v>
      </c>
      <c r="C13" s="762"/>
      <c r="D13" s="762"/>
      <c r="E13" s="52"/>
      <c r="F13" s="763"/>
      <c r="G13" s="54"/>
      <c r="H13" s="54"/>
      <c r="I13" s="54"/>
      <c r="J13" s="54"/>
    </row>
    <row r="14" spans="1:10" ht="15.9" customHeight="1">
      <c r="A14" s="760"/>
      <c r="B14" s="764" t="s">
        <v>52</v>
      </c>
      <c r="C14" s="765"/>
      <c r="D14" s="765"/>
      <c r="E14" s="55"/>
      <c r="F14" s="763"/>
      <c r="G14" s="54"/>
      <c r="H14" s="54"/>
      <c r="I14" s="54"/>
      <c r="J14" s="54"/>
    </row>
    <row r="15" spans="1:10" ht="15.6">
      <c r="A15" s="56"/>
      <c r="B15" s="57"/>
      <c r="C15" s="57"/>
      <c r="D15" s="57"/>
      <c r="E15" s="57"/>
      <c r="F15" s="39"/>
      <c r="G15" s="39"/>
      <c r="H15" s="39"/>
      <c r="I15" s="39"/>
      <c r="J15" s="40"/>
    </row>
    <row r="16" spans="1:10" ht="15.6">
      <c r="A16" s="56"/>
      <c r="B16" s="47"/>
      <c r="C16" s="47"/>
      <c r="D16" s="47"/>
      <c r="E16" s="47"/>
      <c r="F16" s="39"/>
      <c r="G16" s="39"/>
      <c r="H16" s="39"/>
      <c r="I16" s="39"/>
      <c r="J16" s="40"/>
    </row>
    <row r="17" spans="1:10" ht="15.6">
      <c r="A17" s="56"/>
      <c r="B17" s="56"/>
      <c r="C17" s="56"/>
      <c r="D17" s="56"/>
      <c r="E17" s="56"/>
      <c r="F17" s="39"/>
      <c r="G17" s="39"/>
      <c r="H17" s="39"/>
      <c r="I17" s="39"/>
      <c r="J17" s="40"/>
    </row>
  </sheetData>
  <sheetProtection password="CC6F" sheet="1" formatColumns="0" formatRows="0" selectLockedCells="1"/>
  <customSheetViews>
    <customSheetView guid="{027A88A6-1BB1-46D4-AC44-9DCFC13F5D7E}" showPageBreaks="1" showGridLines="0" printArea="1" hiddenRows="1" view="pageBreakPreview">
      <selection activeCell="F13" sqref="F13:F14"/>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889C3D82-0A24-4765-A688-A80A782F5056}" scale="130" showPageBreaks="1" showGridLines="0" printArea="1" hiddenRows="1" view="pageBreakPreview">
      <selection activeCell="I9" sqref="I9"/>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A58DB4DF-40C7-4BEB-B85E-6BD6F54941CF}" showGridLines="0" hiddenRows="1">
      <selection activeCell="C4" sqref="C4:E4"/>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18EA11B4-BD82-47BF-99FA-7AB19BF74D0B}"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915C64AD-BD67-44F0-9117-5B9D998BA799}"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DACD165C-CB59-4178-94BC-16705741C7B8}" scale="110" showPageBreaks="1" showGridLines="0" printArea="1" hiddenRows="1" view="pageBreakPreview">
      <selection activeCell="F2" sqref="F2:F12"/>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3"/>
  <headerFooter alignWithMargins="0"/>
  <drawing r:id="rId1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4.4"/>
  <cols>
    <col min="1" max="1" width="12.33203125" bestFit="1" customWidth="1"/>
    <col min="2" max="2" width="34.33203125" customWidth="1"/>
    <col min="3" max="3" width="12.44140625" customWidth="1"/>
    <col min="4" max="4" width="18" bestFit="1" customWidth="1"/>
    <col min="5" max="5" width="10.33203125" bestFit="1" customWidth="1"/>
    <col min="6" max="6" width="22" customWidth="1"/>
    <col min="7" max="7" width="7.44140625" bestFit="1" customWidth="1"/>
    <col min="8" max="8" width="17.109375" customWidth="1"/>
    <col min="9" max="9" width="19.88671875" customWidth="1"/>
  </cols>
  <sheetData>
    <row r="1" spans="1:9">
      <c r="A1" t="s">
        <v>275</v>
      </c>
    </row>
    <row r="2" spans="1:9" ht="15.6">
      <c r="A2" s="332"/>
      <c r="B2" s="333"/>
      <c r="C2" s="334"/>
      <c r="D2" s="335"/>
      <c r="E2" s="336"/>
      <c r="F2" s="380"/>
      <c r="G2" s="380"/>
      <c r="H2" s="316"/>
      <c r="I2" s="337"/>
    </row>
    <row r="3" spans="1:9" ht="15.6">
      <c r="A3" s="305"/>
      <c r="B3" s="306" t="s">
        <v>262</v>
      </c>
      <c r="C3" s="307"/>
      <c r="D3" s="308"/>
      <c r="E3" s="338"/>
      <c r="F3" s="380"/>
      <c r="G3" s="380"/>
      <c r="H3" s="339">
        <f>SUMIF(I1:I2,"Direct",H1:H2)</f>
        <v>0</v>
      </c>
      <c r="I3" s="309"/>
    </row>
    <row r="4" spans="1:9" ht="31.2">
      <c r="A4" s="305"/>
      <c r="B4" s="306" t="s">
        <v>263</v>
      </c>
      <c r="C4" s="307"/>
      <c r="D4" s="308"/>
      <c r="E4" s="338"/>
      <c r="F4" s="380"/>
      <c r="G4" s="380"/>
      <c r="H4" s="339">
        <f>SUMIF(J1:J2,"Bought-Out",H1:H2)</f>
        <v>0</v>
      </c>
      <c r="I4" s="309"/>
    </row>
    <row r="5" spans="1:9" ht="15.6">
      <c r="A5" s="310"/>
      <c r="B5" s="306" t="s">
        <v>264</v>
      </c>
      <c r="C5" s="311"/>
      <c r="D5" s="312"/>
      <c r="E5" s="313"/>
      <c r="F5" s="313"/>
      <c r="G5" s="313"/>
      <c r="H5" s="340">
        <f>H3+H4</f>
        <v>0</v>
      </c>
      <c r="I5" s="314"/>
    </row>
    <row r="6" spans="1:9" ht="15.6">
      <c r="A6" s="315"/>
      <c r="B6" s="983" t="s">
        <v>265</v>
      </c>
      <c r="C6" s="983"/>
      <c r="D6" s="983"/>
      <c r="E6" s="316"/>
      <c r="F6" s="380"/>
      <c r="G6" s="380"/>
      <c r="H6" s="339" t="e">
        <f>'Sch-7'!#REF!</f>
        <v>#REF!</v>
      </c>
      <c r="I6" s="317"/>
    </row>
    <row r="7" spans="1:9" ht="16.2" thickBot="1">
      <c r="A7" s="318"/>
      <c r="B7" s="984" t="s">
        <v>266</v>
      </c>
      <c r="C7" s="984"/>
      <c r="D7" s="984"/>
      <c r="E7" s="319"/>
      <c r="F7" s="319"/>
      <c r="G7" s="319"/>
      <c r="H7" s="341" t="e">
        <f>H5+H6</f>
        <v>#REF!</v>
      </c>
      <c r="I7" s="320"/>
    </row>
    <row r="8" spans="1:9" ht="15.6">
      <c r="A8" s="985"/>
      <c r="B8" s="985"/>
      <c r="C8" s="985"/>
      <c r="D8" s="985"/>
      <c r="E8" s="985"/>
      <c r="F8" s="985"/>
      <c r="G8" s="985"/>
    </row>
    <row r="9" spans="1:9" ht="15.6">
      <c r="A9" s="4"/>
      <c r="B9" s="986"/>
      <c r="C9" s="986"/>
      <c r="D9" s="986"/>
      <c r="E9" s="986"/>
      <c r="F9" s="986"/>
      <c r="G9" s="986"/>
    </row>
    <row r="10" spans="1:9" ht="15.6">
      <c r="A10" s="321"/>
      <c r="B10" s="321"/>
      <c r="C10" s="321"/>
      <c r="D10" s="321"/>
      <c r="E10" s="321"/>
      <c r="F10" s="321"/>
      <c r="G10" s="321"/>
    </row>
    <row r="11" spans="1:9" ht="90" customHeight="1">
      <c r="A11" s="322" t="s">
        <v>267</v>
      </c>
      <c r="B11" s="987" t="s">
        <v>268</v>
      </c>
      <c r="C11" s="987"/>
      <c r="D11" s="987"/>
      <c r="E11" s="987"/>
      <c r="F11" s="987"/>
      <c r="G11" s="987"/>
      <c r="H11" s="987"/>
      <c r="I11" s="987"/>
    </row>
    <row r="12" spans="1:9" ht="116.25" customHeight="1">
      <c r="A12" s="323" t="s">
        <v>269</v>
      </c>
      <c r="B12" s="988" t="s">
        <v>270</v>
      </c>
      <c r="C12" s="988"/>
      <c r="D12" s="988"/>
      <c r="E12" s="988"/>
      <c r="F12" s="988"/>
      <c r="G12" s="988"/>
      <c r="H12" s="988"/>
      <c r="I12" s="988"/>
    </row>
    <row r="13" spans="1:9" ht="15.6">
      <c r="A13" s="323"/>
      <c r="B13" s="988"/>
      <c r="C13" s="988"/>
      <c r="D13" s="988"/>
      <c r="E13" s="988"/>
      <c r="F13" s="988"/>
      <c r="G13" s="988"/>
    </row>
    <row r="14" spans="1:9" ht="15.6">
      <c r="A14" s="324" t="s">
        <v>161</v>
      </c>
      <c r="B14" s="325" t="str">
        <f>'Names of Bidder'!C$22&amp;"-"&amp; 'Names of Bidder'!D$22&amp;"-" &amp;'Names of Bidder'!E$22</f>
        <v>--</v>
      </c>
      <c r="C14" s="326"/>
      <c r="D14" s="327"/>
      <c r="E14" s="3"/>
      <c r="F14" s="3"/>
      <c r="G14" s="328"/>
    </row>
    <row r="15" spans="1:9" ht="15.6">
      <c r="A15" s="324" t="s">
        <v>162</v>
      </c>
      <c r="B15" s="325" t="str">
        <f>IF('Names of Bidder'!C$23=0, "", 'Names of Bidder'!C$23)</f>
        <v/>
      </c>
      <c r="C15" s="3"/>
      <c r="D15" s="327" t="s">
        <v>143</v>
      </c>
      <c r="E15" s="328" t="str">
        <f>IF('Names of Bidder'!C$19=0, "", 'Names of Bidder'!C$19)</f>
        <v/>
      </c>
      <c r="F15" s="3"/>
      <c r="G15" s="325" t="str">
        <f>'[6]Names of Bidder'!I14&amp;"-"&amp; '[6]Names of Bidder'!J14&amp;"-" &amp;'[6]Names of Bidder'!K14</f>
        <v>--</v>
      </c>
    </row>
    <row r="16" spans="1:9" ht="15.6">
      <c r="A16" s="329"/>
      <c r="B16" s="330"/>
      <c r="C16" s="331"/>
      <c r="D16" s="327" t="s">
        <v>145</v>
      </c>
      <c r="E16" s="328" t="str">
        <f>IF('Names of Bidder'!C$20=0, "", 'Names of Bidder'!C$20)</f>
        <v/>
      </c>
      <c r="F16" s="331"/>
      <c r="G16" s="331"/>
    </row>
    <row r="18" spans="1:11">
      <c r="A18" t="s">
        <v>276</v>
      </c>
    </row>
    <row r="20" spans="1:11" ht="16.2" thickBot="1">
      <c r="A20" s="342"/>
      <c r="B20" s="343" t="s">
        <v>277</v>
      </c>
      <c r="C20" s="344"/>
      <c r="D20" s="343"/>
      <c r="E20" s="319"/>
      <c r="F20" s="319"/>
      <c r="G20" s="319"/>
      <c r="H20" s="345" t="s">
        <v>291</v>
      </c>
    </row>
    <row r="21" spans="1:11" ht="16.2" thickBot="1">
      <c r="A21" s="346"/>
      <c r="B21" s="989"/>
      <c r="C21" s="989"/>
      <c r="D21" s="989"/>
      <c r="E21" s="989"/>
      <c r="F21" s="989"/>
    </row>
    <row r="22" spans="1:11" ht="15.6">
      <c r="A22" s="347"/>
      <c r="B22" s="990"/>
      <c r="C22" s="990"/>
      <c r="D22" s="990"/>
      <c r="E22" s="990"/>
      <c r="F22" s="990"/>
    </row>
    <row r="23" spans="1:11" ht="15.6">
      <c r="A23" s="324" t="s">
        <v>161</v>
      </c>
      <c r="B23" s="325" t="s">
        <v>256</v>
      </c>
      <c r="C23" s="348"/>
      <c r="D23" s="327"/>
      <c r="E23" s="3"/>
      <c r="F23" s="3"/>
    </row>
    <row r="24" spans="1:11" ht="15.6">
      <c r="A24" s="324" t="s">
        <v>162</v>
      </c>
      <c r="B24" s="325" t="s">
        <v>257</v>
      </c>
      <c r="C24" s="4"/>
      <c r="D24" s="327" t="s">
        <v>143</v>
      </c>
      <c r="E24" s="328" t="s">
        <v>278</v>
      </c>
      <c r="F24" s="3"/>
    </row>
    <row r="25" spans="1:11" ht="15.6">
      <c r="A25" s="329"/>
      <c r="B25" s="330"/>
      <c r="C25" s="329"/>
      <c r="D25" s="327" t="s">
        <v>145</v>
      </c>
      <c r="E25" s="328" t="s">
        <v>279</v>
      </c>
      <c r="F25" s="331"/>
    </row>
    <row r="27" spans="1:11">
      <c r="A27" t="s">
        <v>280</v>
      </c>
    </row>
    <row r="29" spans="1:11" ht="15.6">
      <c r="A29" s="349"/>
      <c r="B29" s="350" t="s">
        <v>281</v>
      </c>
      <c r="C29" s="350"/>
      <c r="D29" s="350"/>
      <c r="E29" s="351"/>
      <c r="F29" s="351"/>
      <c r="G29" s="351"/>
      <c r="H29" s="351"/>
      <c r="I29" s="351"/>
      <c r="J29" s="351"/>
      <c r="K29" s="352" t="e">
        <f>SUM(#REF!)</f>
        <v>#REF!</v>
      </c>
    </row>
    <row r="30" spans="1:11" ht="15.6">
      <c r="A30" s="347"/>
      <c r="B30" s="991"/>
      <c r="C30" s="986"/>
      <c r="D30" s="986"/>
      <c r="E30" s="986"/>
      <c r="F30" s="986"/>
      <c r="G30" s="986"/>
    </row>
    <row r="31" spans="1:11" ht="15.6">
      <c r="A31" s="353" t="s">
        <v>161</v>
      </c>
      <c r="B31" s="354" t="s">
        <v>256</v>
      </c>
      <c r="C31" s="355"/>
      <c r="D31" s="356"/>
      <c r="E31" s="357"/>
      <c r="F31" s="357"/>
      <c r="G31" s="7"/>
    </row>
    <row r="32" spans="1:11" ht="15.6">
      <c r="A32" s="353" t="s">
        <v>162</v>
      </c>
      <c r="B32" s="354" t="s">
        <v>257</v>
      </c>
      <c r="C32" s="357"/>
      <c r="D32" s="356" t="s">
        <v>143</v>
      </c>
      <c r="E32" s="358" t="s">
        <v>278</v>
      </c>
      <c r="F32" s="357"/>
      <c r="G32" s="7"/>
    </row>
    <row r="33" spans="1:8" ht="15.6">
      <c r="A33" s="359"/>
      <c r="B33" s="360"/>
      <c r="C33" s="361"/>
      <c r="D33" s="356" t="s">
        <v>145</v>
      </c>
      <c r="E33" s="358" t="s">
        <v>279</v>
      </c>
      <c r="F33" s="361"/>
      <c r="G33" s="7"/>
    </row>
    <row r="35" spans="1:8">
      <c r="A35" t="s">
        <v>284</v>
      </c>
    </row>
    <row r="37" spans="1:8">
      <c r="A37" s="362" t="s">
        <v>161</v>
      </c>
      <c r="B37" s="363" t="s">
        <v>254</v>
      </c>
      <c r="C37" s="364"/>
      <c r="D37" s="924" t="s">
        <v>282</v>
      </c>
      <c r="E37" s="924"/>
      <c r="F37" s="992"/>
    </row>
    <row r="38" spans="1:8">
      <c r="A38" s="362" t="s">
        <v>162</v>
      </c>
      <c r="B38" s="363" t="s">
        <v>255</v>
      </c>
      <c r="C38" s="24"/>
      <c r="D38" s="924" t="s">
        <v>283</v>
      </c>
      <c r="E38" s="924"/>
      <c r="F38" s="992"/>
    </row>
    <row r="40" spans="1:8">
      <c r="A40" t="s">
        <v>285</v>
      </c>
    </row>
    <row r="42" spans="1:8" ht="15.6">
      <c r="A42" s="365"/>
      <c r="B42" s="366" t="s">
        <v>286</v>
      </c>
      <c r="C42" s="366"/>
      <c r="D42" s="366"/>
      <c r="E42" s="366"/>
      <c r="F42" s="366"/>
      <c r="G42" s="366"/>
      <c r="H42" s="367" t="s">
        <v>292</v>
      </c>
    </row>
    <row r="43" spans="1:8">
      <c r="A43" s="368"/>
      <c r="B43" s="369"/>
      <c r="C43" s="369"/>
      <c r="D43" s="369"/>
      <c r="E43" s="369"/>
      <c r="F43" s="369"/>
      <c r="G43" s="370"/>
    </row>
    <row r="44" spans="1:8">
      <c r="A44" s="369"/>
      <c r="B44" s="369"/>
      <c r="C44" s="369"/>
      <c r="D44" s="369"/>
      <c r="E44" s="369"/>
      <c r="F44" s="369"/>
      <c r="G44" s="371"/>
    </row>
    <row r="45" spans="1:8">
      <c r="A45" s="923"/>
      <c r="B45" s="923"/>
      <c r="C45" s="923"/>
      <c r="D45" s="923"/>
      <c r="E45" s="923"/>
      <c r="F45" s="923"/>
      <c r="G45" s="923"/>
    </row>
    <row r="46" spans="1:8">
      <c r="A46" s="372"/>
      <c r="B46" s="372"/>
      <c r="C46" s="924"/>
      <c r="D46" s="924"/>
      <c r="E46" s="924"/>
      <c r="F46" s="924"/>
      <c r="G46" s="924"/>
    </row>
    <row r="47" spans="1:8">
      <c r="A47" s="373" t="s">
        <v>161</v>
      </c>
      <c r="B47" s="374" t="s">
        <v>256</v>
      </c>
      <c r="C47" s="924" t="s">
        <v>287</v>
      </c>
      <c r="D47" s="924"/>
      <c r="E47" s="924"/>
      <c r="F47" s="924"/>
      <c r="G47" s="924"/>
    </row>
    <row r="48" spans="1:8">
      <c r="A48" s="373" t="s">
        <v>162</v>
      </c>
      <c r="B48" s="375" t="s">
        <v>257</v>
      </c>
      <c r="C48" s="924" t="s">
        <v>288</v>
      </c>
      <c r="D48" s="924"/>
      <c r="E48" s="924"/>
      <c r="F48" s="924"/>
      <c r="G48" s="924"/>
    </row>
    <row r="49" spans="1:7">
      <c r="A49" s="23"/>
      <c r="B49" s="22"/>
      <c r="C49" s="924"/>
      <c r="D49" s="924"/>
      <c r="E49" s="924"/>
      <c r="F49" s="924"/>
      <c r="G49" s="924"/>
    </row>
    <row r="50" spans="1:7">
      <c r="A50" s="23"/>
      <c r="B50" s="22"/>
      <c r="C50" s="376"/>
      <c r="D50" s="376"/>
      <c r="E50" s="376"/>
      <c r="F50" s="376"/>
      <c r="G50" s="376"/>
    </row>
    <row r="51" spans="1:7">
      <c r="A51" s="377" t="s">
        <v>289</v>
      </c>
      <c r="B51" s="926" t="s">
        <v>290</v>
      </c>
      <c r="C51" s="926"/>
      <c r="D51" s="926"/>
      <c r="E51" s="926"/>
      <c r="F51" s="926"/>
      <c r="G51" s="378"/>
    </row>
    <row r="52" spans="1:7">
      <c r="A52" s="379"/>
      <c r="B52" s="26"/>
      <c r="C52" s="26"/>
      <c r="D52" s="26"/>
      <c r="E52" s="26"/>
      <c r="F52" s="26"/>
      <c r="G52" s="26"/>
    </row>
    <row r="60" spans="1:7">
      <c r="B60" t="s">
        <v>258</v>
      </c>
    </row>
    <row r="61" spans="1:7">
      <c r="B61" t="s">
        <v>259</v>
      </c>
    </row>
  </sheetData>
  <customSheetViews>
    <customSheetView guid="{027A88A6-1BB1-46D4-AC44-9DCFC13F5D7E}" state="hidden">
      <selection activeCell="H42" sqref="H42"/>
      <pageMargins left="0.7" right="0.7" top="0.75" bottom="0.75" header="0.3" footer="0.3"/>
    </customSheetView>
    <customSheetView guid="{889C3D82-0A24-4765-A688-A80A782F5056}" state="hidden">
      <selection activeCell="H42" sqref="H42"/>
      <pageMargins left="0.7" right="0.7" top="0.75" bottom="0.75" header="0.3" footer="0.3"/>
    </customSheetView>
    <customSheetView guid="{A58DB4DF-40C7-4BEB-B85E-6BD6F54941CF}" state="hidden">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63D51328-7CBC-4A1E-B96D-BAE91416501B}"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18EA11B4-BD82-47BF-99FA-7AB19BF74D0B}" state="hidden">
      <selection activeCell="H42" sqref="H42"/>
      <pageMargins left="0.7" right="0.7" top="0.75" bottom="0.75" header="0.3" footer="0.3"/>
    </customSheetView>
    <customSheetView guid="{915C64AD-BD67-44F0-9117-5B9D998BA799}" state="hidden">
      <selection activeCell="H42" sqref="H42"/>
      <pageMargins left="0.7" right="0.7" top="0.75" bottom="0.75" header="0.3" footer="0.3"/>
    </customSheetView>
    <customSheetView guid="{DACD165C-CB59-4178-94BC-16705741C7B8}" state="hidden">
      <selection activeCell="H42" sqref="H42"/>
      <pageMargins left="0.7" right="0.7" top="0.75" bottom="0.75" header="0.3" footer="0.3"/>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4.4"/>
  <sheetData/>
  <customSheetViews>
    <customSheetView guid="{027A88A6-1BB1-46D4-AC44-9DCFC13F5D7E}" state="hidden">
      <pageMargins left="0.7" right="0.7" top="0.75" bottom="0.75" header="0.3" footer="0.3"/>
    </customSheetView>
    <customSheetView guid="{889C3D82-0A24-4765-A688-A80A782F5056}" state="hidden">
      <pageMargins left="0.7" right="0.7" top="0.75" bottom="0.75" header="0.3" footer="0.3"/>
    </customSheetView>
    <customSheetView guid="{A58DB4DF-40C7-4BEB-B85E-6BD6F54941CF}" state="hidden">
      <pageMargins left="0.7" right="0.7" top="0.75" bottom="0.75" header="0.3" footer="0.3"/>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63D51328-7CBC-4A1E-B96D-BAE91416501B}" state="hidden">
      <pageMargins left="0.7" right="0.7" top="0.75" bottom="0.75" header="0.3" footer="0.3"/>
    </customSheetView>
    <customSheetView guid="{99CA2F10-F926-46DC-8609-4EAE5B9F3585}" state="hidden">
      <pageMargins left="0.7" right="0.7" top="0.75" bottom="0.75" header="0.3" footer="0.3"/>
    </customSheetView>
    <customSheetView guid="{CCA37BAE-906F-43D5-9FD9-B13563E4B9D7}" state="hidden">
      <pageMargins left="0.7" right="0.7" top="0.75" bottom="0.75" header="0.3" footer="0.3"/>
    </customSheetView>
    <customSheetView guid="{18EA11B4-BD82-47BF-99FA-7AB19BF74D0B}" state="hidden">
      <pageMargins left="0.7" right="0.7" top="0.75" bottom="0.75" header="0.3" footer="0.3"/>
    </customSheetView>
    <customSheetView guid="{915C64AD-BD67-44F0-9117-5B9D998BA799}" state="hidden">
      <pageMargins left="0.7" right="0.7" top="0.75" bottom="0.75" header="0.3" footer="0.3"/>
    </customSheetView>
    <customSheetView guid="{DACD165C-CB59-4178-94BC-16705741C7B8}" state="hidden">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09375" defaultRowHeight="13.2"/>
  <cols>
    <col min="1" max="1" width="5.109375" style="682" hidden="1" customWidth="1"/>
    <col min="2" max="2" width="13.33203125" style="682" hidden="1" customWidth="1"/>
    <col min="3" max="3" width="0" style="682" hidden="1" customWidth="1"/>
    <col min="4" max="4" width="10.33203125" style="682" hidden="1" customWidth="1"/>
    <col min="5" max="5" width="3.44140625" style="682" hidden="1" customWidth="1"/>
    <col min="6" max="6" width="5.5546875" style="682" hidden="1" customWidth="1"/>
    <col min="7" max="7" width="11.44140625" style="682" hidden="1" customWidth="1"/>
    <col min="8" max="8" width="0" style="682" hidden="1" customWidth="1"/>
    <col min="9" max="9" width="10" style="682" hidden="1" customWidth="1"/>
    <col min="10" max="10" width="3.33203125" style="682" hidden="1" customWidth="1"/>
    <col min="11" max="11" width="5" style="682" hidden="1" customWidth="1"/>
    <col min="12" max="12" width="11.33203125" style="682" hidden="1" customWidth="1"/>
    <col min="13" max="13" width="0" style="682" hidden="1" customWidth="1"/>
    <col min="14" max="14" width="10.33203125" style="682" hidden="1" customWidth="1"/>
    <col min="15" max="15" width="3.6640625" style="682" hidden="1" customWidth="1"/>
    <col min="16" max="16" width="6.44140625" style="682" customWidth="1"/>
    <col min="17" max="17" width="14.88671875" style="682" customWidth="1"/>
    <col min="18" max="18" width="9.109375" style="682" customWidth="1"/>
    <col min="19" max="19" width="12" style="682" customWidth="1"/>
    <col min="20" max="20" width="3.33203125" style="682" hidden="1" customWidth="1"/>
    <col min="21" max="21" width="6.109375" style="682" hidden="1" customWidth="1"/>
    <col min="22" max="22" width="8.5546875" style="682" hidden="1" customWidth="1"/>
    <col min="23" max="23" width="8.44140625" style="682" hidden="1" customWidth="1"/>
    <col min="24" max="24" width="8.88671875" style="682" hidden="1" customWidth="1"/>
    <col min="25" max="116" width="0" style="682" hidden="1" customWidth="1"/>
    <col min="117" max="16384" width="9.109375" style="682"/>
  </cols>
  <sheetData>
    <row r="1" spans="1:27" ht="13.8" thickBot="1">
      <c r="A1" s="1004" t="e">
        <v>#REF!</v>
      </c>
      <c r="B1" s="1005"/>
      <c r="C1" s="662"/>
      <c r="D1" s="663"/>
      <c r="E1" s="687"/>
      <c r="F1" s="1004">
        <v>0</v>
      </c>
      <c r="G1" s="1005"/>
      <c r="H1" s="662"/>
      <c r="I1" s="663"/>
      <c r="K1" s="1004" t="e">
        <v>#REF!</v>
      </c>
      <c r="L1" s="1005"/>
      <c r="M1" s="662"/>
      <c r="N1" s="663"/>
      <c r="P1" s="1004">
        <f>'Sch-6 (After Discount)'!D28</f>
        <v>0</v>
      </c>
      <c r="Q1" s="1005"/>
      <c r="R1" s="662"/>
      <c r="S1" s="663"/>
      <c r="U1" s="686" t="e">
        <v>#REF!</v>
      </c>
    </row>
    <row r="2" spans="1:27">
      <c r="A2" s="999"/>
      <c r="B2" s="1000"/>
      <c r="C2" s="662"/>
      <c r="D2" s="663"/>
      <c r="E2" s="687"/>
      <c r="F2" s="664"/>
      <c r="G2" s="662"/>
      <c r="H2" s="662"/>
      <c r="I2" s="663"/>
      <c r="K2" s="664"/>
      <c r="L2" s="662"/>
      <c r="M2" s="662"/>
      <c r="N2" s="663"/>
      <c r="P2" s="664"/>
      <c r="Q2" s="662"/>
      <c r="R2" s="662"/>
      <c r="S2" s="663"/>
      <c r="U2" s="686" t="e">
        <v>#REF!</v>
      </c>
    </row>
    <row r="3" spans="1:27">
      <c r="A3" s="664"/>
      <c r="B3" s="665"/>
      <c r="C3" s="665"/>
      <c r="D3" s="666"/>
      <c r="E3" s="688"/>
      <c r="F3" s="664"/>
      <c r="G3" s="665"/>
      <c r="H3" s="665"/>
      <c r="I3" s="666"/>
      <c r="K3" s="664"/>
      <c r="L3" s="665"/>
      <c r="M3" s="665"/>
      <c r="N3" s="666"/>
      <c r="P3" s="664"/>
      <c r="Q3" s="665"/>
      <c r="R3" s="665"/>
      <c r="S3" s="666"/>
      <c r="U3" s="686" t="s">
        <v>454</v>
      </c>
    </row>
    <row r="4" spans="1:27" ht="66.75" customHeight="1" thickBot="1">
      <c r="A4" s="1001" t="e">
        <f>IF(OR((A1&gt;9999999999),(A1&lt;0)),"Invalid Entry - More than 1000 crore OR -ve value",IF(A1=0, "",+CONCATENATE(#REF!,B11,D11,B10,D10,B9,D9,B8,D8,B7,D7,B6," Only")))</f>
        <v>#REF!</v>
      </c>
      <c r="B4" s="1002"/>
      <c r="C4" s="1002"/>
      <c r="D4" s="1003"/>
      <c r="E4" s="689"/>
      <c r="F4" s="1001" t="str">
        <f>IF(OR((F1&gt;9999999999),(F1&lt;0)),"Invalid Entry - More than 1000 crore OR -ve value",IF(F1=0, "",+CONCATENATE(U1, G11,I11,G10,I10,G9,I9,G8,I8,G7,I7,G6," Only")))</f>
        <v/>
      </c>
      <c r="G4" s="1002"/>
      <c r="H4" s="1002"/>
      <c r="I4" s="1003"/>
      <c r="J4" s="689"/>
      <c r="K4" s="1001" t="e">
        <f>IF(OR((K1&gt;9999999999),(K1&lt;0)),"Invalid Entry - More than 1000 crore OR -ve value",IF(K1=0, "",+CONCATENATE(U2, L11,N11,L10,N10,L9,N9,L8,N8,L7,N7,L6," Only")))</f>
        <v>#REF!</v>
      </c>
      <c r="L4" s="1002"/>
      <c r="M4" s="1002"/>
      <c r="N4" s="1003"/>
      <c r="P4" s="1001" t="str">
        <f>IF(OR((P1&gt;9999999999),(P1&lt;0)),"Invalid Entry - More than 1000 crore OR -ve value",IF(P1=0, "",+CONCATENATE(U3, Q11,S11,Q10,S10,Q9,S9,Q8,S8,Q7,S7,Q6," Only")))</f>
        <v/>
      </c>
      <c r="Q4" s="1002"/>
      <c r="R4" s="1002"/>
      <c r="S4" s="1003"/>
      <c r="U4" s="993" t="e">
        <f>VLOOKUP(1,T28:Y43,6,FALSE)</f>
        <v>#N/A</v>
      </c>
      <c r="V4" s="993"/>
      <c r="W4" s="993"/>
      <c r="X4" s="993"/>
      <c r="Y4" s="993"/>
      <c r="Z4" s="993"/>
      <c r="AA4" s="993"/>
    </row>
    <row r="5" spans="1:27" ht="18.75" customHeight="1" thickBot="1">
      <c r="A5" s="664"/>
      <c r="B5" s="665"/>
      <c r="C5" s="665"/>
      <c r="D5" s="666"/>
      <c r="E5" s="688"/>
      <c r="F5" s="664"/>
      <c r="G5" s="665"/>
      <c r="H5" s="665"/>
      <c r="I5" s="666"/>
      <c r="K5" s="664"/>
      <c r="L5" s="665"/>
      <c r="M5" s="665"/>
      <c r="N5" s="666"/>
      <c r="P5" s="664"/>
      <c r="Q5" s="665"/>
      <c r="R5" s="665"/>
      <c r="S5" s="666"/>
      <c r="U5" s="994" t="e">
        <f>VLOOKUP(1,T8:Y23,6,FALSE)</f>
        <v>#N/A</v>
      </c>
      <c r="V5" s="995"/>
      <c r="W5" s="995"/>
      <c r="X5" s="995"/>
      <c r="Y5" s="995"/>
      <c r="Z5" s="995"/>
      <c r="AA5" s="996"/>
    </row>
    <row r="6" spans="1:27">
      <c r="A6" s="667" t="e">
        <f>-INT(A1/100)*100+ROUND(A1,0)</f>
        <v>#REF!</v>
      </c>
      <c r="B6" s="665" t="e">
        <f t="shared" ref="B6:B11" si="0">IF(A6=0,"",LOOKUP(A6,$A$13:$A$112,$B$13:$B$112))</f>
        <v>#REF!</v>
      </c>
      <c r="C6" s="665"/>
      <c r="D6" s="668"/>
      <c r="E6" s="688"/>
      <c r="F6" s="667">
        <f>-INT(F1/100)*100+ROUND(F1,0)</f>
        <v>0</v>
      </c>
      <c r="G6" s="665" t="str">
        <f t="shared" ref="G6:G11" si="1">IF(F6=0,"",LOOKUP(F6,$A$13:$A$112,$B$13:$B$112))</f>
        <v/>
      </c>
      <c r="H6" s="665"/>
      <c r="I6" s="668"/>
      <c r="K6" s="667" t="e">
        <f>-INT(K1/100)*100+ROUND(K1,0)</f>
        <v>#REF!</v>
      </c>
      <c r="L6" s="665" t="e">
        <f t="shared" ref="L6:L11" si="2">IF(K6=0,"",LOOKUP(K6,$A$13:$A$112,$B$13:$B$112))</f>
        <v>#REF!</v>
      </c>
      <c r="M6" s="665"/>
      <c r="N6" s="668"/>
      <c r="P6" s="667">
        <f>-INT(P1/100)*100+ROUND(P1,0)</f>
        <v>0</v>
      </c>
      <c r="Q6" s="665" t="str">
        <f t="shared" ref="Q6:Q11" si="3">IF(P6=0,"",LOOKUP(P6,$A$13:$A$112,$B$13:$B$112))</f>
        <v/>
      </c>
      <c r="R6" s="665"/>
      <c r="S6" s="668"/>
    </row>
    <row r="7" spans="1:27">
      <c r="A7" s="667" t="e">
        <f>-INT(A1/1000)*10+INT(A1/100)</f>
        <v>#REF!</v>
      </c>
      <c r="B7" s="665" t="e">
        <f t="shared" si="0"/>
        <v>#REF!</v>
      </c>
      <c r="C7" s="665"/>
      <c r="D7" s="668" t="e">
        <f>+IF(B7="",""," Hundred ")</f>
        <v>#REF!</v>
      </c>
      <c r="E7" s="688"/>
      <c r="F7" s="667">
        <f>-INT(F1/1000)*10+INT(F1/100)</f>
        <v>0</v>
      </c>
      <c r="G7" s="665" t="str">
        <f t="shared" si="1"/>
        <v/>
      </c>
      <c r="H7" s="665"/>
      <c r="I7" s="668" t="str">
        <f>+IF(G7="",""," Hundred ")</f>
        <v/>
      </c>
      <c r="K7" s="667" t="e">
        <f>-INT(K1/1000)*10+INT(K1/100)</f>
        <v>#REF!</v>
      </c>
      <c r="L7" s="665" t="e">
        <f t="shared" si="2"/>
        <v>#REF!</v>
      </c>
      <c r="M7" s="665"/>
      <c r="N7" s="668" t="e">
        <f>+IF(L7="",""," Hundred ")</f>
        <v>#REF!</v>
      </c>
      <c r="P7" s="667">
        <f>-INT(P1/1000)*10+INT(P1/100)</f>
        <v>0</v>
      </c>
      <c r="Q7" s="665" t="str">
        <f t="shared" si="3"/>
        <v/>
      </c>
      <c r="R7" s="665"/>
      <c r="S7" s="668" t="str">
        <f>+IF(Q7="",""," Hundred ")</f>
        <v/>
      </c>
    </row>
    <row r="8" spans="1:27">
      <c r="A8" s="667" t="e">
        <f>-INT(A1/100000)*100+INT(A1/1000)</f>
        <v>#REF!</v>
      </c>
      <c r="B8" s="665" t="e">
        <f t="shared" si="0"/>
        <v>#REF!</v>
      </c>
      <c r="C8" s="665"/>
      <c r="D8" s="668" t="e">
        <f>IF((B8=""),IF(C8="",""," Thousand ")," Thousand ")</f>
        <v>#REF!</v>
      </c>
      <c r="E8" s="688"/>
      <c r="F8" s="667">
        <f>-INT(F1/100000)*100+INT(F1/1000)</f>
        <v>0</v>
      </c>
      <c r="G8" s="665" t="str">
        <f t="shared" si="1"/>
        <v/>
      </c>
      <c r="H8" s="665"/>
      <c r="I8" s="668" t="str">
        <f>IF((G8=""),IF(H8="",""," Thousand ")," Thousand ")</f>
        <v/>
      </c>
      <c r="K8" s="667" t="e">
        <f>-INT(K1/100000)*100+INT(K1/1000)</f>
        <v>#REF!</v>
      </c>
      <c r="L8" s="665" t="e">
        <f t="shared" si="2"/>
        <v>#REF!</v>
      </c>
      <c r="M8" s="665"/>
      <c r="N8" s="668" t="e">
        <f>IF((L8=""),IF(M8="",""," Thousand ")," Thousand ")</f>
        <v>#REF!</v>
      </c>
      <c r="P8" s="667">
        <f>-INT(P1/100000)*100+INT(P1/1000)</f>
        <v>0</v>
      </c>
      <c r="Q8" s="665" t="str">
        <f t="shared" si="3"/>
        <v/>
      </c>
      <c r="R8" s="665"/>
      <c r="S8" s="668" t="str">
        <f>IF((Q8=""),IF(R8="",""," Thousand ")," Thousand ")</f>
        <v/>
      </c>
      <c r="T8" s="690" t="e">
        <f>IF(Y8="",0, 1)</f>
        <v>#REF!</v>
      </c>
      <c r="U8" s="682">
        <v>0</v>
      </c>
      <c r="V8" s="682">
        <v>0</v>
      </c>
      <c r="W8" s="682">
        <v>0</v>
      </c>
      <c r="X8" s="682">
        <v>0</v>
      </c>
      <c r="Y8" s="691" t="e">
        <f>IF(AND($A$1=0,$F$1=0,$K$1=0,$P$1=0)," Zero only", "")</f>
        <v>#REF!</v>
      </c>
      <c r="AA8" s="682" t="s">
        <v>455</v>
      </c>
    </row>
    <row r="9" spans="1:27">
      <c r="A9" s="667" t="e">
        <f>-INT(A1/10000000)*100+INT(A1/100000)</f>
        <v>#REF!</v>
      </c>
      <c r="B9" s="665" t="e">
        <f t="shared" si="0"/>
        <v>#REF!</v>
      </c>
      <c r="C9" s="665"/>
      <c r="D9" s="668" t="e">
        <f>IF((B9=""),IF(C9="",""," Lac ")," Lac ")</f>
        <v>#REF!</v>
      </c>
      <c r="E9" s="688"/>
      <c r="F9" s="667">
        <f>-INT(F1/10000000)*100+INT(F1/100000)</f>
        <v>0</v>
      </c>
      <c r="G9" s="665" t="str">
        <f t="shared" si="1"/>
        <v/>
      </c>
      <c r="H9" s="665"/>
      <c r="I9" s="668" t="str">
        <f>IF((G9=""),IF(H9="",""," Lac ")," Lac ")</f>
        <v/>
      </c>
      <c r="K9" s="667" t="e">
        <f>-INT(K1/10000000)*100+INT(K1/100000)</f>
        <v>#REF!</v>
      </c>
      <c r="L9" s="665" t="e">
        <f t="shared" si="2"/>
        <v>#REF!</v>
      </c>
      <c r="M9" s="665"/>
      <c r="N9" s="668" t="e">
        <f>IF((L9=""),IF(M9="",""," Lac ")," Lac ")</f>
        <v>#REF!</v>
      </c>
      <c r="P9" s="667">
        <f>-INT(P1/10000000)*100+INT(P1/100000)</f>
        <v>0</v>
      </c>
      <c r="Q9" s="665" t="str">
        <f t="shared" si="3"/>
        <v/>
      </c>
      <c r="R9" s="665"/>
      <c r="S9" s="668" t="str">
        <f>IF((Q9=""),IF(R9="",""," Lac ")," Lac ")</f>
        <v/>
      </c>
      <c r="T9" s="690" t="e">
        <f t="shared" ref="T9:T23" si="4">IF(Y9="",0, 1)</f>
        <v>#REF!</v>
      </c>
      <c r="U9" s="682">
        <v>0</v>
      </c>
      <c r="V9" s="682">
        <v>0</v>
      </c>
      <c r="W9" s="682">
        <v>0</v>
      </c>
      <c r="X9" s="682">
        <v>1</v>
      </c>
      <c r="Y9" s="692" t="e">
        <f>IF(AND($A$1=0,$F$1=0,$K$1=0,$P$1&gt;0),$P$4, "")</f>
        <v>#REF!</v>
      </c>
    </row>
    <row r="10" spans="1:27">
      <c r="A10" s="667" t="e">
        <f>-INT(A1/1000000000)*100+INT(A1/10000000)</f>
        <v>#REF!</v>
      </c>
      <c r="B10" s="669" t="e">
        <f t="shared" si="0"/>
        <v>#REF!</v>
      </c>
      <c r="C10" s="665"/>
      <c r="D10" s="668" t="e">
        <f>IF((B10=""),IF(C10="",""," Crore ")," Crore ")</f>
        <v>#REF!</v>
      </c>
      <c r="E10" s="688"/>
      <c r="F10" s="667">
        <f>-INT(F1/1000000000)*100+INT(F1/10000000)</f>
        <v>0</v>
      </c>
      <c r="G10" s="669" t="str">
        <f t="shared" si="1"/>
        <v/>
      </c>
      <c r="H10" s="665"/>
      <c r="I10" s="668" t="str">
        <f>IF((G10=""),IF(H10="",""," Crore ")," Crore ")</f>
        <v/>
      </c>
      <c r="K10" s="667" t="e">
        <f>-INT(K1/1000000000)*100+INT(K1/10000000)</f>
        <v>#REF!</v>
      </c>
      <c r="L10" s="669" t="e">
        <f t="shared" si="2"/>
        <v>#REF!</v>
      </c>
      <c r="M10" s="665"/>
      <c r="N10" s="668" t="e">
        <f>IF((L10=""),IF(M10="",""," Crore ")," Crore ")</f>
        <v>#REF!</v>
      </c>
      <c r="P10" s="667">
        <f>-INT(P1/1000000000)*100+INT(P1/10000000)</f>
        <v>0</v>
      </c>
      <c r="Q10" s="669" t="str">
        <f t="shared" si="3"/>
        <v/>
      </c>
      <c r="R10" s="665"/>
      <c r="S10" s="668" t="str">
        <f>IF((Q10=""),IF(R10="",""," Crore ")," Crore ")</f>
        <v/>
      </c>
      <c r="T10" s="690" t="e">
        <f t="shared" si="4"/>
        <v>#REF!</v>
      </c>
      <c r="U10" s="682">
        <v>0</v>
      </c>
      <c r="V10" s="682">
        <v>0</v>
      </c>
      <c r="W10" s="682">
        <v>1</v>
      </c>
      <c r="X10" s="682">
        <v>0</v>
      </c>
      <c r="Y10" s="692" t="e">
        <f>IF(AND($A$1=0,$F$1=0,$K$1&gt;0,$P$1=0),$K$4, "")</f>
        <v>#REF!</v>
      </c>
    </row>
    <row r="11" spans="1:27">
      <c r="A11" s="670" t="e">
        <f>-INT(A1/10000000000)*1000+INT(A1/1000000000)</f>
        <v>#REF!</v>
      </c>
      <c r="B11" s="669" t="e">
        <f t="shared" si="0"/>
        <v>#REF!</v>
      </c>
      <c r="C11" s="665"/>
      <c r="D11" s="668" t="e">
        <f>IF((B11=""),IF(C11="",""," Hundred ")," Hundred ")</f>
        <v>#REF!</v>
      </c>
      <c r="E11" s="688"/>
      <c r="F11" s="670">
        <f>-INT(F1/10000000000)*1000+INT(F1/1000000000)</f>
        <v>0</v>
      </c>
      <c r="G11" s="669" t="str">
        <f t="shared" si="1"/>
        <v/>
      </c>
      <c r="H11" s="665"/>
      <c r="I11" s="668" t="str">
        <f>IF((G11=""),IF(H11="",""," Hundred ")," Hundred ")</f>
        <v/>
      </c>
      <c r="K11" s="670" t="e">
        <f>-INT(K1/10000000000)*1000+INT(K1/1000000000)</f>
        <v>#REF!</v>
      </c>
      <c r="L11" s="669" t="e">
        <f t="shared" si="2"/>
        <v>#REF!</v>
      </c>
      <c r="M11" s="665"/>
      <c r="N11" s="668" t="e">
        <f>IF((L11=""),IF(M11="",""," Hundred ")," Hundred ")</f>
        <v>#REF!</v>
      </c>
      <c r="P11" s="670">
        <f>-INT(P1/10000000000)*1000+INT(P1/1000000000)</f>
        <v>0</v>
      </c>
      <c r="Q11" s="669" t="str">
        <f t="shared" si="3"/>
        <v/>
      </c>
      <c r="R11" s="665"/>
      <c r="S11" s="668" t="str">
        <f>IF((Q11=""),IF(R11="",""," Hundred ")," Hundred ")</f>
        <v/>
      </c>
      <c r="T11" s="690" t="e">
        <f t="shared" si="4"/>
        <v>#REF!</v>
      </c>
      <c r="U11" s="682">
        <v>0</v>
      </c>
      <c r="V11" s="682">
        <v>0</v>
      </c>
      <c r="W11" s="682">
        <v>1</v>
      </c>
      <c r="X11" s="682">
        <v>1</v>
      </c>
      <c r="Y11" s="692" t="e">
        <f>IF(AND($A$1=0,$F$1=0,$K$1&gt;0,$P$1&gt;0),$K$4&amp;$AA$8&amp;$P$4, "")</f>
        <v>#REF!</v>
      </c>
    </row>
    <row r="12" spans="1:27">
      <c r="A12" s="671"/>
      <c r="B12" s="665"/>
      <c r="C12" s="665"/>
      <c r="D12" s="666"/>
      <c r="E12" s="688"/>
      <c r="F12" s="671"/>
      <c r="G12" s="665"/>
      <c r="H12" s="665"/>
      <c r="I12" s="666"/>
      <c r="K12" s="671"/>
      <c r="L12" s="665"/>
      <c r="M12" s="665"/>
      <c r="N12" s="666"/>
      <c r="P12" s="671"/>
      <c r="Q12" s="665"/>
      <c r="R12" s="665"/>
      <c r="S12" s="666"/>
      <c r="T12" s="690" t="e">
        <f t="shared" si="4"/>
        <v>#REF!</v>
      </c>
      <c r="U12" s="682">
        <v>0</v>
      </c>
      <c r="V12" s="682">
        <v>1</v>
      </c>
      <c r="W12" s="682">
        <v>0</v>
      </c>
      <c r="X12" s="682">
        <v>0</v>
      </c>
      <c r="Y12" s="692" t="e">
        <f>IF(AND($A$1=0,$F$1&gt;0,$K$1=0,$P$1=0),$F$4, "")</f>
        <v>#REF!</v>
      </c>
    </row>
    <row r="13" spans="1:27">
      <c r="A13" s="672">
        <v>1</v>
      </c>
      <c r="B13" s="673" t="s">
        <v>354</v>
      </c>
      <c r="C13" s="665"/>
      <c r="D13" s="666"/>
      <c r="E13" s="688"/>
      <c r="F13" s="672">
        <v>1</v>
      </c>
      <c r="G13" s="673" t="s">
        <v>354</v>
      </c>
      <c r="H13" s="665"/>
      <c r="I13" s="666"/>
      <c r="K13" s="672">
        <v>1</v>
      </c>
      <c r="L13" s="673" t="s">
        <v>354</v>
      </c>
      <c r="M13" s="665"/>
      <c r="N13" s="666"/>
      <c r="P13" s="672">
        <v>1</v>
      </c>
      <c r="Q13" s="673" t="s">
        <v>354</v>
      </c>
      <c r="R13" s="665"/>
      <c r="S13" s="666"/>
      <c r="T13" s="690" t="e">
        <f t="shared" si="4"/>
        <v>#REF!</v>
      </c>
      <c r="U13" s="682">
        <v>0</v>
      </c>
      <c r="V13" s="682">
        <v>1</v>
      </c>
      <c r="W13" s="682">
        <v>0</v>
      </c>
      <c r="X13" s="682">
        <v>1</v>
      </c>
      <c r="Y13" s="692" t="e">
        <f>IF(AND($A$1=0,$F$1&gt;0,$K$1=0,$P$1&gt;0),$F$4&amp;$AA$8&amp;$P$4, "")</f>
        <v>#REF!</v>
      </c>
    </row>
    <row r="14" spans="1:27">
      <c r="A14" s="672">
        <v>2</v>
      </c>
      <c r="B14" s="673" t="s">
        <v>355</v>
      </c>
      <c r="C14" s="665"/>
      <c r="D14" s="666"/>
      <c r="E14" s="688"/>
      <c r="F14" s="672">
        <v>2</v>
      </c>
      <c r="G14" s="673" t="s">
        <v>355</v>
      </c>
      <c r="H14" s="665"/>
      <c r="I14" s="666"/>
      <c r="K14" s="672">
        <v>2</v>
      </c>
      <c r="L14" s="673" t="s">
        <v>355</v>
      </c>
      <c r="M14" s="665"/>
      <c r="N14" s="666"/>
      <c r="P14" s="672">
        <v>2</v>
      </c>
      <c r="Q14" s="673" t="s">
        <v>355</v>
      </c>
      <c r="R14" s="665"/>
      <c r="S14" s="666"/>
      <c r="T14" s="690" t="e">
        <f t="shared" si="4"/>
        <v>#REF!</v>
      </c>
      <c r="U14" s="682">
        <v>0</v>
      </c>
      <c r="V14" s="682">
        <v>1</v>
      </c>
      <c r="W14" s="682">
        <v>1</v>
      </c>
      <c r="X14" s="682">
        <v>0</v>
      </c>
      <c r="Y14" s="692" t="e">
        <f>IF(AND($A$1=0,$F$1&gt;0,$K$1&gt;0,$P$1=0),$F$4&amp;$AA$8&amp;$K$4, "")</f>
        <v>#REF!</v>
      </c>
    </row>
    <row r="15" spans="1:27">
      <c r="A15" s="672">
        <v>3</v>
      </c>
      <c r="B15" s="673" t="s">
        <v>356</v>
      </c>
      <c r="C15" s="665"/>
      <c r="D15" s="666"/>
      <c r="E15" s="688"/>
      <c r="F15" s="672">
        <v>3</v>
      </c>
      <c r="G15" s="673" t="s">
        <v>356</v>
      </c>
      <c r="H15" s="665"/>
      <c r="I15" s="666"/>
      <c r="K15" s="672">
        <v>3</v>
      </c>
      <c r="L15" s="673" t="s">
        <v>356</v>
      </c>
      <c r="M15" s="665"/>
      <c r="N15" s="666"/>
      <c r="P15" s="672">
        <v>3</v>
      </c>
      <c r="Q15" s="673" t="s">
        <v>356</v>
      </c>
      <c r="R15" s="665"/>
      <c r="S15" s="666"/>
      <c r="T15" s="690" t="e">
        <f t="shared" si="4"/>
        <v>#REF!</v>
      </c>
      <c r="U15" s="682">
        <v>0</v>
      </c>
      <c r="V15" s="682">
        <v>1</v>
      </c>
      <c r="W15" s="682">
        <v>1</v>
      </c>
      <c r="X15" s="682">
        <v>1</v>
      </c>
      <c r="Y15" s="693" t="e">
        <f>IF(AND($A$1=0,$F$1&gt;0,$K$1&gt;0,$P$1&gt;0),$F$4&amp;$AA$8&amp;$K$4&amp;$AA$8&amp;$P$4, "")</f>
        <v>#REF!</v>
      </c>
    </row>
    <row r="16" spans="1:27">
      <c r="A16" s="672">
        <v>4</v>
      </c>
      <c r="B16" s="673" t="s">
        <v>357</v>
      </c>
      <c r="C16" s="665"/>
      <c r="D16" s="666"/>
      <c r="E16" s="688"/>
      <c r="F16" s="672">
        <v>4</v>
      </c>
      <c r="G16" s="673" t="s">
        <v>357</v>
      </c>
      <c r="H16" s="665"/>
      <c r="I16" s="666"/>
      <c r="K16" s="672">
        <v>4</v>
      </c>
      <c r="L16" s="673" t="s">
        <v>357</v>
      </c>
      <c r="M16" s="665"/>
      <c r="N16" s="666"/>
      <c r="P16" s="672">
        <v>4</v>
      </c>
      <c r="Q16" s="673" t="s">
        <v>357</v>
      </c>
      <c r="R16" s="665"/>
      <c r="S16" s="666"/>
      <c r="T16" s="690" t="e">
        <f t="shared" si="4"/>
        <v>#REF!</v>
      </c>
      <c r="U16" s="682">
        <v>1</v>
      </c>
      <c r="V16" s="682">
        <v>0</v>
      </c>
      <c r="W16" s="682">
        <v>0</v>
      </c>
      <c r="X16" s="682">
        <v>0</v>
      </c>
      <c r="Y16" s="691" t="e">
        <f>IF(AND($A$1&gt;0,$F$1=0,$K$1=0,$P$1=0), $A$4, "")</f>
        <v>#REF!</v>
      </c>
    </row>
    <row r="17" spans="1:27">
      <c r="A17" s="672">
        <v>5</v>
      </c>
      <c r="B17" s="673" t="s">
        <v>358</v>
      </c>
      <c r="C17" s="665"/>
      <c r="D17" s="666"/>
      <c r="E17" s="688"/>
      <c r="F17" s="672">
        <v>5</v>
      </c>
      <c r="G17" s="673" t="s">
        <v>358</v>
      </c>
      <c r="H17" s="665"/>
      <c r="I17" s="666"/>
      <c r="K17" s="672">
        <v>5</v>
      </c>
      <c r="L17" s="673" t="s">
        <v>358</v>
      </c>
      <c r="M17" s="665"/>
      <c r="N17" s="666"/>
      <c r="P17" s="672">
        <v>5</v>
      </c>
      <c r="Q17" s="673" t="s">
        <v>358</v>
      </c>
      <c r="R17" s="665"/>
      <c r="S17" s="666"/>
      <c r="T17" s="690" t="e">
        <f t="shared" si="4"/>
        <v>#REF!</v>
      </c>
      <c r="U17" s="682">
        <v>1</v>
      </c>
      <c r="V17" s="682">
        <v>0</v>
      </c>
      <c r="W17" s="682">
        <v>0</v>
      </c>
      <c r="X17" s="682">
        <v>1</v>
      </c>
      <c r="Y17" s="692" t="e">
        <f>IF(AND($A$1&gt;0,$F$1=0,$K$1=0,$P$1&gt;0),$A$4&amp;$AA$8&amp;$P$4, "")</f>
        <v>#REF!</v>
      </c>
    </row>
    <row r="18" spans="1:27">
      <c r="A18" s="672">
        <v>6</v>
      </c>
      <c r="B18" s="673" t="s">
        <v>359</v>
      </c>
      <c r="C18" s="665"/>
      <c r="D18" s="666"/>
      <c r="E18" s="688"/>
      <c r="F18" s="672">
        <v>6</v>
      </c>
      <c r="G18" s="673" t="s">
        <v>359</v>
      </c>
      <c r="H18" s="665"/>
      <c r="I18" s="666"/>
      <c r="K18" s="672">
        <v>6</v>
      </c>
      <c r="L18" s="673" t="s">
        <v>359</v>
      </c>
      <c r="M18" s="665"/>
      <c r="N18" s="666"/>
      <c r="P18" s="672">
        <v>6</v>
      </c>
      <c r="Q18" s="673" t="s">
        <v>359</v>
      </c>
      <c r="R18" s="665"/>
      <c r="S18" s="666"/>
      <c r="T18" s="690" t="e">
        <f t="shared" si="4"/>
        <v>#REF!</v>
      </c>
      <c r="U18" s="682">
        <v>1</v>
      </c>
      <c r="V18" s="682">
        <v>0</v>
      </c>
      <c r="W18" s="682">
        <v>1</v>
      </c>
      <c r="X18" s="682">
        <v>0</v>
      </c>
      <c r="Y18" s="692" t="e">
        <f>IF(AND($A$1&gt;0,$F$1=0,$K$1&gt;0,$P$1=0),$A$4&amp;$AA$8&amp;$K$4, "")</f>
        <v>#REF!</v>
      </c>
    </row>
    <row r="19" spans="1:27">
      <c r="A19" s="672">
        <v>7</v>
      </c>
      <c r="B19" s="673" t="s">
        <v>360</v>
      </c>
      <c r="C19" s="665"/>
      <c r="D19" s="666"/>
      <c r="E19" s="688"/>
      <c r="F19" s="672">
        <v>7</v>
      </c>
      <c r="G19" s="673" t="s">
        <v>360</v>
      </c>
      <c r="H19" s="665"/>
      <c r="I19" s="666"/>
      <c r="K19" s="672">
        <v>7</v>
      </c>
      <c r="L19" s="673" t="s">
        <v>360</v>
      </c>
      <c r="M19" s="665"/>
      <c r="N19" s="666"/>
      <c r="P19" s="672">
        <v>7</v>
      </c>
      <c r="Q19" s="673" t="s">
        <v>360</v>
      </c>
      <c r="R19" s="665"/>
      <c r="S19" s="666"/>
      <c r="T19" s="690" t="e">
        <f t="shared" si="4"/>
        <v>#REF!</v>
      </c>
      <c r="U19" s="682">
        <v>1</v>
      </c>
      <c r="V19" s="682">
        <v>0</v>
      </c>
      <c r="W19" s="682">
        <v>1</v>
      </c>
      <c r="X19" s="682">
        <v>1</v>
      </c>
      <c r="Y19" s="692" t="e">
        <f>IF(AND($A$1&gt;0,$F$1=0,$K$1&gt;0,$P$1&gt;0),$A$4&amp;$AA$8&amp;$K$4&amp;$AA$8&amp;$P$4, "")</f>
        <v>#REF!</v>
      </c>
    </row>
    <row r="20" spans="1:27">
      <c r="A20" s="672">
        <v>8</v>
      </c>
      <c r="B20" s="673" t="s">
        <v>361</v>
      </c>
      <c r="C20" s="665"/>
      <c r="D20" s="666"/>
      <c r="E20" s="688"/>
      <c r="F20" s="672">
        <v>8</v>
      </c>
      <c r="G20" s="673" t="s">
        <v>361</v>
      </c>
      <c r="H20" s="665"/>
      <c r="I20" s="666"/>
      <c r="K20" s="672">
        <v>8</v>
      </c>
      <c r="L20" s="673" t="s">
        <v>361</v>
      </c>
      <c r="M20" s="665"/>
      <c r="N20" s="666"/>
      <c r="P20" s="672">
        <v>8</v>
      </c>
      <c r="Q20" s="673" t="s">
        <v>361</v>
      </c>
      <c r="R20" s="665"/>
      <c r="S20" s="666"/>
      <c r="T20" s="690" t="e">
        <f t="shared" si="4"/>
        <v>#REF!</v>
      </c>
      <c r="U20" s="682">
        <v>1</v>
      </c>
      <c r="V20" s="682">
        <v>1</v>
      </c>
      <c r="W20" s="682">
        <v>0</v>
      </c>
      <c r="X20" s="682">
        <v>0</v>
      </c>
      <c r="Y20" s="692" t="e">
        <f>IF(AND($A$1&gt;0,$F$1&gt;0,$K$1=0,$P$1=0),$A$4&amp;$AA$8&amp;$F$4, "")</f>
        <v>#REF!</v>
      </c>
    </row>
    <row r="21" spans="1:27">
      <c r="A21" s="672">
        <v>9</v>
      </c>
      <c r="B21" s="673" t="s">
        <v>362</v>
      </c>
      <c r="C21" s="665"/>
      <c r="D21" s="666"/>
      <c r="E21" s="688"/>
      <c r="F21" s="672">
        <v>9</v>
      </c>
      <c r="G21" s="673" t="s">
        <v>362</v>
      </c>
      <c r="H21" s="665"/>
      <c r="I21" s="666"/>
      <c r="K21" s="672">
        <v>9</v>
      </c>
      <c r="L21" s="673" t="s">
        <v>362</v>
      </c>
      <c r="M21" s="665"/>
      <c r="N21" s="666"/>
      <c r="P21" s="672">
        <v>9</v>
      </c>
      <c r="Q21" s="673" t="s">
        <v>362</v>
      </c>
      <c r="R21" s="665"/>
      <c r="S21" s="666"/>
      <c r="T21" s="690" t="e">
        <f t="shared" si="4"/>
        <v>#REF!</v>
      </c>
      <c r="U21" s="682">
        <v>1</v>
      </c>
      <c r="V21" s="682">
        <v>1</v>
      </c>
      <c r="W21" s="682">
        <v>0</v>
      </c>
      <c r="X21" s="682">
        <v>1</v>
      </c>
      <c r="Y21" s="692" t="e">
        <f>IF(AND($A$1&gt;0,$F$1&gt;0,$K$1=0,$P$1&gt;0),$A$4&amp;$AA$8&amp;$F$4&amp;$AA$8&amp;$P$4, "")</f>
        <v>#REF!</v>
      </c>
    </row>
    <row r="22" spans="1:27">
      <c r="A22" s="672">
        <v>10</v>
      </c>
      <c r="B22" s="673" t="s">
        <v>363</v>
      </c>
      <c r="C22" s="665"/>
      <c r="D22" s="666"/>
      <c r="E22" s="688"/>
      <c r="F22" s="672">
        <v>10</v>
      </c>
      <c r="G22" s="673" t="s">
        <v>363</v>
      </c>
      <c r="H22" s="665"/>
      <c r="I22" s="666"/>
      <c r="K22" s="672">
        <v>10</v>
      </c>
      <c r="L22" s="673" t="s">
        <v>363</v>
      </c>
      <c r="M22" s="665"/>
      <c r="N22" s="666"/>
      <c r="P22" s="672">
        <v>10</v>
      </c>
      <c r="Q22" s="673" t="s">
        <v>363</v>
      </c>
      <c r="R22" s="665"/>
      <c r="S22" s="666"/>
      <c r="T22" s="690" t="e">
        <f t="shared" si="4"/>
        <v>#REF!</v>
      </c>
      <c r="U22" s="682">
        <v>1</v>
      </c>
      <c r="V22" s="682">
        <v>1</v>
      </c>
      <c r="W22" s="682">
        <v>1</v>
      </c>
      <c r="X22" s="682">
        <v>0</v>
      </c>
      <c r="Y22" s="692" t="e">
        <f>IF(AND($A$1&gt;0,$F$1&gt;0,$K$1&gt;0,$P$1=0),$A$4&amp;$AA$8&amp;$F$4&amp;$AA$8&amp;$K$4, "")</f>
        <v>#REF!</v>
      </c>
    </row>
    <row r="23" spans="1:27">
      <c r="A23" s="672">
        <v>11</v>
      </c>
      <c r="B23" s="673" t="s">
        <v>364</v>
      </c>
      <c r="C23" s="665"/>
      <c r="D23" s="666"/>
      <c r="E23" s="688"/>
      <c r="F23" s="672">
        <v>11</v>
      </c>
      <c r="G23" s="673" t="s">
        <v>364</v>
      </c>
      <c r="H23" s="665"/>
      <c r="I23" s="666"/>
      <c r="K23" s="672">
        <v>11</v>
      </c>
      <c r="L23" s="673" t="s">
        <v>364</v>
      </c>
      <c r="M23" s="665"/>
      <c r="N23" s="666"/>
      <c r="P23" s="672">
        <v>11</v>
      </c>
      <c r="Q23" s="673" t="s">
        <v>364</v>
      </c>
      <c r="R23" s="665"/>
      <c r="S23" s="666"/>
      <c r="T23" s="690" t="e">
        <f t="shared" si="4"/>
        <v>#REF!</v>
      </c>
      <c r="U23" s="682">
        <v>1</v>
      </c>
      <c r="V23" s="682">
        <v>1</v>
      </c>
      <c r="W23" s="682">
        <v>1</v>
      </c>
      <c r="X23" s="682">
        <v>1</v>
      </c>
      <c r="Y23" s="693" t="e">
        <f>IF(AND($A$1&gt;0,$F$1&gt;0,$K$1&gt;0,$P$1&gt;0),$A$4&amp;$AA$8&amp;$F$4&amp;$AA$8&amp;$K$4&amp;$AA$8&amp;$P$4, "")</f>
        <v>#REF!</v>
      </c>
    </row>
    <row r="24" spans="1:27">
      <c r="A24" s="672">
        <v>12</v>
      </c>
      <c r="B24" s="673" t="s">
        <v>365</v>
      </c>
      <c r="C24" s="665"/>
      <c r="D24" s="666"/>
      <c r="E24" s="688"/>
      <c r="F24" s="672">
        <v>12</v>
      </c>
      <c r="G24" s="673" t="s">
        <v>365</v>
      </c>
      <c r="H24" s="665"/>
      <c r="I24" s="666"/>
      <c r="K24" s="672">
        <v>12</v>
      </c>
      <c r="L24" s="673" t="s">
        <v>365</v>
      </c>
      <c r="M24" s="665"/>
      <c r="N24" s="666"/>
      <c r="P24" s="672">
        <v>12</v>
      </c>
      <c r="Q24" s="673" t="s">
        <v>365</v>
      </c>
      <c r="R24" s="665"/>
      <c r="S24" s="666"/>
    </row>
    <row r="25" spans="1:27">
      <c r="A25" s="672">
        <v>13</v>
      </c>
      <c r="B25" s="673" t="s">
        <v>366</v>
      </c>
      <c r="C25" s="665"/>
      <c r="D25" s="666"/>
      <c r="E25" s="688"/>
      <c r="F25" s="672">
        <v>13</v>
      </c>
      <c r="G25" s="673" t="s">
        <v>366</v>
      </c>
      <c r="H25" s="665"/>
      <c r="I25" s="666"/>
      <c r="K25" s="672">
        <v>13</v>
      </c>
      <c r="L25" s="673" t="s">
        <v>366</v>
      </c>
      <c r="M25" s="665"/>
      <c r="N25" s="666"/>
      <c r="P25" s="672">
        <v>13</v>
      </c>
      <c r="Q25" s="673" t="s">
        <v>366</v>
      </c>
      <c r="R25" s="665"/>
      <c r="S25" s="666"/>
    </row>
    <row r="26" spans="1:27">
      <c r="A26" s="672">
        <v>14</v>
      </c>
      <c r="B26" s="673" t="s">
        <v>367</v>
      </c>
      <c r="C26" s="665"/>
      <c r="D26" s="666"/>
      <c r="E26" s="688"/>
      <c r="F26" s="672">
        <v>14</v>
      </c>
      <c r="G26" s="673" t="s">
        <v>367</v>
      </c>
      <c r="H26" s="665"/>
      <c r="I26" s="666"/>
      <c r="K26" s="672">
        <v>14</v>
      </c>
      <c r="L26" s="673" t="s">
        <v>367</v>
      </c>
      <c r="M26" s="665"/>
      <c r="N26" s="666"/>
      <c r="P26" s="672">
        <v>14</v>
      </c>
      <c r="Q26" s="673" t="s">
        <v>367</v>
      </c>
      <c r="R26" s="665"/>
      <c r="S26" s="666"/>
    </row>
    <row r="27" spans="1:27">
      <c r="A27" s="672">
        <v>15</v>
      </c>
      <c r="B27" s="673" t="s">
        <v>368</v>
      </c>
      <c r="C27" s="665"/>
      <c r="D27" s="666"/>
      <c r="E27" s="688"/>
      <c r="F27" s="672">
        <v>15</v>
      </c>
      <c r="G27" s="673" t="s">
        <v>368</v>
      </c>
      <c r="H27" s="665"/>
      <c r="I27" s="666"/>
      <c r="K27" s="672">
        <v>15</v>
      </c>
      <c r="L27" s="673" t="s">
        <v>368</v>
      </c>
      <c r="M27" s="665"/>
      <c r="N27" s="666"/>
      <c r="P27" s="672">
        <v>15</v>
      </c>
      <c r="Q27" s="673" t="s">
        <v>368</v>
      </c>
      <c r="R27" s="665"/>
      <c r="S27" s="666"/>
    </row>
    <row r="28" spans="1:27">
      <c r="A28" s="672">
        <v>16</v>
      </c>
      <c r="B28" s="673" t="s">
        <v>369</v>
      </c>
      <c r="C28" s="665"/>
      <c r="D28" s="666"/>
      <c r="E28" s="688"/>
      <c r="F28" s="672">
        <v>16</v>
      </c>
      <c r="G28" s="673" t="s">
        <v>369</v>
      </c>
      <c r="H28" s="665"/>
      <c r="I28" s="666"/>
      <c r="K28" s="672">
        <v>16</v>
      </c>
      <c r="L28" s="673" t="s">
        <v>369</v>
      </c>
      <c r="M28" s="665"/>
      <c r="N28" s="666"/>
      <c r="P28" s="672">
        <v>16</v>
      </c>
      <c r="Q28" s="673" t="s">
        <v>369</v>
      </c>
      <c r="R28" s="665"/>
      <c r="S28" s="666"/>
      <c r="T28" s="690" t="e">
        <f>IF(Y28="",0, 1)</f>
        <v>#REF!</v>
      </c>
      <c r="U28" s="682">
        <v>0</v>
      </c>
      <c r="V28" s="682">
        <v>0</v>
      </c>
      <c r="W28" s="682">
        <v>0</v>
      </c>
      <c r="X28" s="682">
        <v>0</v>
      </c>
      <c r="Y28" s="691" t="e">
        <f>IF(AND($A$1=0,$F$1=0,$K$1=0,$P$1=0)," 0/-", "")</f>
        <v>#REF!</v>
      </c>
      <c r="AA28" s="682" t="s">
        <v>456</v>
      </c>
    </row>
    <row r="29" spans="1:27">
      <c r="A29" s="672">
        <v>17</v>
      </c>
      <c r="B29" s="673" t="s">
        <v>370</v>
      </c>
      <c r="C29" s="665"/>
      <c r="D29" s="666"/>
      <c r="E29" s="688"/>
      <c r="F29" s="672">
        <v>17</v>
      </c>
      <c r="G29" s="673" t="s">
        <v>370</v>
      </c>
      <c r="H29" s="665"/>
      <c r="I29" s="666"/>
      <c r="K29" s="672">
        <v>17</v>
      </c>
      <c r="L29" s="673" t="s">
        <v>370</v>
      </c>
      <c r="M29" s="665"/>
      <c r="N29" s="666"/>
      <c r="P29" s="672">
        <v>17</v>
      </c>
      <c r="Q29" s="673" t="s">
        <v>370</v>
      </c>
      <c r="R29" s="665"/>
      <c r="S29" s="666"/>
      <c r="T29" s="690" t="e">
        <f t="shared" ref="T29:T43" si="5">IF(Y29="",0, 1)</f>
        <v>#REF!</v>
      </c>
      <c r="U29" s="682">
        <v>0</v>
      </c>
      <c r="V29" s="682">
        <v>0</v>
      </c>
      <c r="W29" s="682">
        <v>0</v>
      </c>
      <c r="X29" s="682">
        <v>1</v>
      </c>
      <c r="Y29" s="692" t="e">
        <f>IF(AND($A$1=0,$F$1=0,$K$1=0,$P$1&gt;0),$U$3&amp;$P$1&amp;$AA$30, "")</f>
        <v>#REF!</v>
      </c>
      <c r="AA29" s="682" t="s">
        <v>457</v>
      </c>
    </row>
    <row r="30" spans="1:27">
      <c r="A30" s="672">
        <v>18</v>
      </c>
      <c r="B30" s="673" t="s">
        <v>371</v>
      </c>
      <c r="C30" s="665"/>
      <c r="D30" s="666"/>
      <c r="E30" s="688"/>
      <c r="F30" s="672">
        <v>18</v>
      </c>
      <c r="G30" s="673" t="s">
        <v>371</v>
      </c>
      <c r="H30" s="665"/>
      <c r="I30" s="666"/>
      <c r="K30" s="672">
        <v>18</v>
      </c>
      <c r="L30" s="673" t="s">
        <v>371</v>
      </c>
      <c r="M30" s="665"/>
      <c r="N30" s="666"/>
      <c r="P30" s="672">
        <v>18</v>
      </c>
      <c r="Q30" s="673" t="s">
        <v>371</v>
      </c>
      <c r="R30" s="665"/>
      <c r="S30" s="666"/>
      <c r="T30" s="690" t="e">
        <f t="shared" si="5"/>
        <v>#REF!</v>
      </c>
      <c r="U30" s="682">
        <v>0</v>
      </c>
      <c r="V30" s="682">
        <v>0</v>
      </c>
      <c r="W30" s="682">
        <v>1</v>
      </c>
      <c r="X30" s="682">
        <v>0</v>
      </c>
      <c r="Y30" s="692" t="e">
        <f>IF(AND($A$1=0,$F$1=0,$K$1&gt;0,$P$1=0),$U$2&amp;$K$1&amp;$AA$30, "")</f>
        <v>#REF!</v>
      </c>
      <c r="AA30" s="682" t="s">
        <v>458</v>
      </c>
    </row>
    <row r="31" spans="1:27">
      <c r="A31" s="672">
        <v>19</v>
      </c>
      <c r="B31" s="673" t="s">
        <v>372</v>
      </c>
      <c r="C31" s="665"/>
      <c r="D31" s="666"/>
      <c r="E31" s="688"/>
      <c r="F31" s="672">
        <v>19</v>
      </c>
      <c r="G31" s="673" t="s">
        <v>372</v>
      </c>
      <c r="H31" s="665"/>
      <c r="I31" s="666"/>
      <c r="K31" s="672">
        <v>19</v>
      </c>
      <c r="L31" s="673" t="s">
        <v>372</v>
      </c>
      <c r="M31" s="665"/>
      <c r="N31" s="666"/>
      <c r="P31" s="672">
        <v>19</v>
      </c>
      <c r="Q31" s="673" t="s">
        <v>372</v>
      </c>
      <c r="R31" s="665"/>
      <c r="S31" s="666"/>
      <c r="T31" s="690" t="e">
        <f t="shared" si="5"/>
        <v>#REF!</v>
      </c>
      <c r="U31" s="682">
        <v>0</v>
      </c>
      <c r="V31" s="682">
        <v>0</v>
      </c>
      <c r="W31" s="682">
        <v>1</v>
      </c>
      <c r="X31" s="682">
        <v>1</v>
      </c>
      <c r="Y31" s="692" t="e">
        <f>IF(AND($A$1=0,$F$1=0,$K$1&gt;0,$P$1&gt;0),$U$2&amp;$K$1&amp;$AA$29&amp;$U$3&amp;$P$1&amp;$AA$30, "")</f>
        <v>#REF!</v>
      </c>
    </row>
    <row r="32" spans="1:27">
      <c r="A32" s="672">
        <v>20</v>
      </c>
      <c r="B32" s="673" t="s">
        <v>373</v>
      </c>
      <c r="C32" s="665"/>
      <c r="D32" s="666"/>
      <c r="E32" s="688"/>
      <c r="F32" s="672">
        <v>20</v>
      </c>
      <c r="G32" s="673" t="s">
        <v>373</v>
      </c>
      <c r="H32" s="665"/>
      <c r="I32" s="666"/>
      <c r="K32" s="672">
        <v>20</v>
      </c>
      <c r="L32" s="673" t="s">
        <v>373</v>
      </c>
      <c r="M32" s="665"/>
      <c r="N32" s="666"/>
      <c r="P32" s="672">
        <v>20</v>
      </c>
      <c r="Q32" s="673" t="s">
        <v>373</v>
      </c>
      <c r="R32" s="665"/>
      <c r="S32" s="666"/>
      <c r="T32" s="690" t="e">
        <f t="shared" si="5"/>
        <v>#REF!</v>
      </c>
      <c r="U32" s="682">
        <v>0</v>
      </c>
      <c r="V32" s="682">
        <v>1</v>
      </c>
      <c r="W32" s="682">
        <v>0</v>
      </c>
      <c r="X32" s="682">
        <v>0</v>
      </c>
      <c r="Y32" s="692" t="e">
        <f>IF(AND($A$1=0,$F$1&gt;0,$K$1=0,$P$1=0),$U$1&amp;$F$1&amp;$AA$30, "")</f>
        <v>#REF!</v>
      </c>
    </row>
    <row r="33" spans="1:25">
      <c r="A33" s="672">
        <v>21</v>
      </c>
      <c r="B33" s="673" t="s">
        <v>374</v>
      </c>
      <c r="C33" s="665"/>
      <c r="D33" s="666"/>
      <c r="E33" s="688"/>
      <c r="F33" s="672">
        <v>21</v>
      </c>
      <c r="G33" s="673" t="s">
        <v>374</v>
      </c>
      <c r="H33" s="665"/>
      <c r="I33" s="666"/>
      <c r="K33" s="672">
        <v>21</v>
      </c>
      <c r="L33" s="673" t="s">
        <v>374</v>
      </c>
      <c r="M33" s="665"/>
      <c r="N33" s="666"/>
      <c r="P33" s="672">
        <v>21</v>
      </c>
      <c r="Q33" s="673" t="s">
        <v>374</v>
      </c>
      <c r="R33" s="665"/>
      <c r="S33" s="666"/>
      <c r="T33" s="690" t="e">
        <f t="shared" si="5"/>
        <v>#REF!</v>
      </c>
      <c r="U33" s="682">
        <v>0</v>
      </c>
      <c r="V33" s="682">
        <v>1</v>
      </c>
      <c r="W33" s="682">
        <v>0</v>
      </c>
      <c r="X33" s="682">
        <v>1</v>
      </c>
      <c r="Y33" s="692" t="e">
        <f>IF(AND($A$1=0,$F$1&gt;0,$K$1=0,$P$1&gt;0),$U$1&amp;$F$1&amp;$AA$29&amp;$U$3&amp;$P$1&amp;$AA$30, "")</f>
        <v>#REF!</v>
      </c>
    </row>
    <row r="34" spans="1:25">
      <c r="A34" s="672">
        <v>22</v>
      </c>
      <c r="B34" s="673" t="s">
        <v>375</v>
      </c>
      <c r="C34" s="665"/>
      <c r="D34" s="666"/>
      <c r="E34" s="688"/>
      <c r="F34" s="672">
        <v>22</v>
      </c>
      <c r="G34" s="673" t="s">
        <v>375</v>
      </c>
      <c r="H34" s="665"/>
      <c r="I34" s="666"/>
      <c r="K34" s="672">
        <v>22</v>
      </c>
      <c r="L34" s="673" t="s">
        <v>375</v>
      </c>
      <c r="M34" s="665"/>
      <c r="N34" s="666"/>
      <c r="P34" s="672">
        <v>22</v>
      </c>
      <c r="Q34" s="673" t="s">
        <v>375</v>
      </c>
      <c r="R34" s="665"/>
      <c r="S34" s="666"/>
      <c r="T34" s="690" t="e">
        <f t="shared" si="5"/>
        <v>#REF!</v>
      </c>
      <c r="U34" s="682">
        <v>0</v>
      </c>
      <c r="V34" s="682">
        <v>1</v>
      </c>
      <c r="W34" s="682">
        <v>1</v>
      </c>
      <c r="X34" s="682">
        <v>0</v>
      </c>
      <c r="Y34" s="692" t="e">
        <f>IF(AND($A$1=0,$F$1&gt;0,$K$1&gt;0,$P$1=0),$U$1&amp;$F$1&amp;$AA$29&amp;$U$2&amp;$K$1, "")</f>
        <v>#REF!</v>
      </c>
    </row>
    <row r="35" spans="1:25">
      <c r="A35" s="672">
        <v>23</v>
      </c>
      <c r="B35" s="673" t="s">
        <v>376</v>
      </c>
      <c r="C35" s="665"/>
      <c r="D35" s="666"/>
      <c r="E35" s="688"/>
      <c r="F35" s="672">
        <v>23</v>
      </c>
      <c r="G35" s="673" t="s">
        <v>376</v>
      </c>
      <c r="H35" s="665"/>
      <c r="I35" s="666"/>
      <c r="K35" s="672">
        <v>23</v>
      </c>
      <c r="L35" s="673" t="s">
        <v>376</v>
      </c>
      <c r="M35" s="665"/>
      <c r="N35" s="666"/>
      <c r="P35" s="672">
        <v>23</v>
      </c>
      <c r="Q35" s="673" t="s">
        <v>376</v>
      </c>
      <c r="R35" s="665"/>
      <c r="S35" s="666"/>
      <c r="T35" s="690" t="e">
        <f t="shared" si="5"/>
        <v>#REF!</v>
      </c>
      <c r="U35" s="682">
        <v>0</v>
      </c>
      <c r="V35" s="682">
        <v>1</v>
      </c>
      <c r="W35" s="682">
        <v>1</v>
      </c>
      <c r="X35" s="682">
        <v>1</v>
      </c>
      <c r="Y35" s="693" t="e">
        <f>IF(AND($A$1=0,$F$1&gt;0,$K$1&gt;0,$P$1&gt;0),$U$1&amp;$F$1&amp;$AA$29&amp;$U$2&amp;$K$1&amp;$AA$29&amp;$U$3&amp;$P$1&amp;$AA$30, "")</f>
        <v>#REF!</v>
      </c>
    </row>
    <row r="36" spans="1:25">
      <c r="A36" s="672">
        <v>24</v>
      </c>
      <c r="B36" s="673" t="s">
        <v>377</v>
      </c>
      <c r="C36" s="665"/>
      <c r="D36" s="666"/>
      <c r="E36" s="688"/>
      <c r="F36" s="672">
        <v>24</v>
      </c>
      <c r="G36" s="673" t="s">
        <v>377</v>
      </c>
      <c r="H36" s="665"/>
      <c r="I36" s="666"/>
      <c r="K36" s="672">
        <v>24</v>
      </c>
      <c r="L36" s="673" t="s">
        <v>377</v>
      </c>
      <c r="M36" s="665"/>
      <c r="N36" s="666"/>
      <c r="P36" s="672">
        <v>24</v>
      </c>
      <c r="Q36" s="673" t="s">
        <v>377</v>
      </c>
      <c r="R36" s="665"/>
      <c r="S36" s="666"/>
      <c r="T36" s="690" t="e">
        <f t="shared" si="5"/>
        <v>#REF!</v>
      </c>
      <c r="U36" s="682">
        <v>1</v>
      </c>
      <c r="V36" s="682">
        <v>0</v>
      </c>
      <c r="W36" s="682">
        <v>0</v>
      </c>
      <c r="X36" s="682">
        <v>0</v>
      </c>
      <c r="Y36" s="691" t="e">
        <f>IF(AND($A$1&gt;0,$F$1=0,$K$1=0,$P$1=0),#REF!&amp; $A$1&amp;$AA$30, "")</f>
        <v>#REF!</v>
      </c>
    </row>
    <row r="37" spans="1:25">
      <c r="A37" s="672">
        <v>25</v>
      </c>
      <c r="B37" s="673" t="s">
        <v>378</v>
      </c>
      <c r="C37" s="665"/>
      <c r="D37" s="666"/>
      <c r="E37" s="688"/>
      <c r="F37" s="672">
        <v>25</v>
      </c>
      <c r="G37" s="673" t="s">
        <v>378</v>
      </c>
      <c r="H37" s="665"/>
      <c r="I37" s="666"/>
      <c r="K37" s="672">
        <v>25</v>
      </c>
      <c r="L37" s="673" t="s">
        <v>378</v>
      </c>
      <c r="M37" s="665"/>
      <c r="N37" s="666"/>
      <c r="P37" s="672">
        <v>25</v>
      </c>
      <c r="Q37" s="673" t="s">
        <v>378</v>
      </c>
      <c r="R37" s="665"/>
      <c r="S37" s="666"/>
      <c r="T37" s="690" t="e">
        <f t="shared" si="5"/>
        <v>#REF!</v>
      </c>
      <c r="U37" s="682">
        <v>1</v>
      </c>
      <c r="V37" s="682">
        <v>0</v>
      </c>
      <c r="W37" s="682">
        <v>0</v>
      </c>
      <c r="X37" s="682">
        <v>1</v>
      </c>
      <c r="Y37" s="692" t="e">
        <f>IF(AND($A$1&gt;0,$F$1=0,$K$1=0,$P$1&gt;0),#REF!&amp;$A$1&amp;$AA$29&amp;$U$3&amp;$P$1&amp;$AA$30, "")</f>
        <v>#REF!</v>
      </c>
    </row>
    <row r="38" spans="1:25">
      <c r="A38" s="672">
        <v>26</v>
      </c>
      <c r="B38" s="673" t="s">
        <v>379</v>
      </c>
      <c r="C38" s="665"/>
      <c r="D38" s="666"/>
      <c r="E38" s="688"/>
      <c r="F38" s="672">
        <v>26</v>
      </c>
      <c r="G38" s="673" t="s">
        <v>379</v>
      </c>
      <c r="H38" s="665"/>
      <c r="I38" s="666"/>
      <c r="K38" s="672">
        <v>26</v>
      </c>
      <c r="L38" s="673" t="s">
        <v>379</v>
      </c>
      <c r="M38" s="665"/>
      <c r="N38" s="666"/>
      <c r="P38" s="672">
        <v>26</v>
      </c>
      <c r="Q38" s="673" t="s">
        <v>379</v>
      </c>
      <c r="R38" s="665"/>
      <c r="S38" s="666"/>
      <c r="T38" s="690" t="e">
        <f t="shared" si="5"/>
        <v>#REF!</v>
      </c>
      <c r="U38" s="682">
        <v>1</v>
      </c>
      <c r="V38" s="682">
        <v>0</v>
      </c>
      <c r="W38" s="682">
        <v>1</v>
      </c>
      <c r="X38" s="682">
        <v>0</v>
      </c>
      <c r="Y38" s="692" t="e">
        <f>IF(AND($A$1&gt;0,$F$1=0,$K$1&gt;0,$P$1=0),#REF!&amp;$A$1&amp;$AA$29&amp;$U$2&amp;$K$1, "")</f>
        <v>#REF!</v>
      </c>
    </row>
    <row r="39" spans="1:25">
      <c r="A39" s="672">
        <v>27</v>
      </c>
      <c r="B39" s="673" t="s">
        <v>380</v>
      </c>
      <c r="C39" s="665"/>
      <c r="D39" s="666"/>
      <c r="E39" s="688"/>
      <c r="F39" s="672">
        <v>27</v>
      </c>
      <c r="G39" s="673" t="s">
        <v>380</v>
      </c>
      <c r="H39" s="665"/>
      <c r="I39" s="666"/>
      <c r="K39" s="672">
        <v>27</v>
      </c>
      <c r="L39" s="673" t="s">
        <v>380</v>
      </c>
      <c r="M39" s="665"/>
      <c r="N39" s="666"/>
      <c r="P39" s="672">
        <v>27</v>
      </c>
      <c r="Q39" s="673" t="s">
        <v>380</v>
      </c>
      <c r="R39" s="665"/>
      <c r="S39" s="666"/>
      <c r="T39" s="690" t="e">
        <f t="shared" si="5"/>
        <v>#REF!</v>
      </c>
      <c r="U39" s="682">
        <v>1</v>
      </c>
      <c r="V39" s="682">
        <v>0</v>
      </c>
      <c r="W39" s="682">
        <v>1</v>
      </c>
      <c r="X39" s="682">
        <v>1</v>
      </c>
      <c r="Y39" s="692" t="e">
        <f>IF(AND($A$1&gt;0,$F$1=0,$K$1&gt;0,$P$1&gt;0),#REF!&amp;$A$1&amp;$AA$29&amp;$U$2&amp;$K$1&amp;$AA$29&amp;$U$3&amp;$P$1&amp;$AA$30, "")</f>
        <v>#REF!</v>
      </c>
    </row>
    <row r="40" spans="1:25">
      <c r="A40" s="672">
        <v>28</v>
      </c>
      <c r="B40" s="673" t="s">
        <v>381</v>
      </c>
      <c r="C40" s="665"/>
      <c r="D40" s="666"/>
      <c r="E40" s="688"/>
      <c r="F40" s="672">
        <v>28</v>
      </c>
      <c r="G40" s="673" t="s">
        <v>381</v>
      </c>
      <c r="H40" s="665"/>
      <c r="I40" s="666"/>
      <c r="K40" s="672">
        <v>28</v>
      </c>
      <c r="L40" s="673" t="s">
        <v>381</v>
      </c>
      <c r="M40" s="665"/>
      <c r="N40" s="666"/>
      <c r="P40" s="672">
        <v>28</v>
      </c>
      <c r="Q40" s="673" t="s">
        <v>381</v>
      </c>
      <c r="R40" s="665"/>
      <c r="S40" s="666"/>
      <c r="T40" s="690" t="e">
        <f t="shared" si="5"/>
        <v>#REF!</v>
      </c>
      <c r="U40" s="682">
        <v>1</v>
      </c>
      <c r="V40" s="682">
        <v>1</v>
      </c>
      <c r="W40" s="682">
        <v>0</v>
      </c>
      <c r="X40" s="682">
        <v>0</v>
      </c>
      <c r="Y40" s="692" t="e">
        <f>IF(AND($A$1&gt;0,$F$1&gt;0,$K$1=0,$P$1=0),#REF!&amp;$A$1&amp;$AA$29&amp;$U$1&amp;$F$1, "")</f>
        <v>#REF!</v>
      </c>
    </row>
    <row r="41" spans="1:25">
      <c r="A41" s="672">
        <v>29</v>
      </c>
      <c r="B41" s="673" t="s">
        <v>382</v>
      </c>
      <c r="C41" s="665"/>
      <c r="D41" s="666"/>
      <c r="E41" s="688"/>
      <c r="F41" s="672">
        <v>29</v>
      </c>
      <c r="G41" s="673" t="s">
        <v>382</v>
      </c>
      <c r="H41" s="665"/>
      <c r="I41" s="666"/>
      <c r="K41" s="672">
        <v>29</v>
      </c>
      <c r="L41" s="673" t="s">
        <v>382</v>
      </c>
      <c r="M41" s="665"/>
      <c r="N41" s="666"/>
      <c r="P41" s="672">
        <v>29</v>
      </c>
      <c r="Q41" s="673" t="s">
        <v>382</v>
      </c>
      <c r="R41" s="665"/>
      <c r="S41" s="666"/>
      <c r="T41" s="690" t="e">
        <f t="shared" si="5"/>
        <v>#REF!</v>
      </c>
      <c r="U41" s="682">
        <v>1</v>
      </c>
      <c r="V41" s="682">
        <v>1</v>
      </c>
      <c r="W41" s="682">
        <v>0</v>
      </c>
      <c r="X41" s="682">
        <v>1</v>
      </c>
      <c r="Y41" s="692" t="e">
        <f>IF(AND($A$1&gt;0,$F$1&gt;0,$K$1=0,$P$1&gt;0),#REF!&amp;$A$1&amp;$AA$29&amp;$U$1&amp;$F$1&amp;$AA$29&amp;$U$3&amp;$P$1&amp;$AA$30, "")</f>
        <v>#REF!</v>
      </c>
    </row>
    <row r="42" spans="1:25">
      <c r="A42" s="672">
        <v>30</v>
      </c>
      <c r="B42" s="673" t="s">
        <v>383</v>
      </c>
      <c r="C42" s="665"/>
      <c r="D42" s="666"/>
      <c r="E42" s="688"/>
      <c r="F42" s="672">
        <v>30</v>
      </c>
      <c r="G42" s="673" t="s">
        <v>383</v>
      </c>
      <c r="H42" s="665"/>
      <c r="I42" s="666"/>
      <c r="K42" s="672">
        <v>30</v>
      </c>
      <c r="L42" s="673" t="s">
        <v>383</v>
      </c>
      <c r="M42" s="665"/>
      <c r="N42" s="666"/>
      <c r="P42" s="672">
        <v>30</v>
      </c>
      <c r="Q42" s="673" t="s">
        <v>383</v>
      </c>
      <c r="R42" s="665"/>
      <c r="S42" s="666"/>
      <c r="T42" s="690" t="e">
        <f t="shared" si="5"/>
        <v>#REF!</v>
      </c>
      <c r="U42" s="682">
        <v>1</v>
      </c>
      <c r="V42" s="682">
        <v>1</v>
      </c>
      <c r="W42" s="682">
        <v>1</v>
      </c>
      <c r="X42" s="682">
        <v>0</v>
      </c>
      <c r="Y42" s="692" t="e">
        <f>IF(AND($A$1&gt;0,$F$1&gt;0,$K$1&gt;0,$P$1=0),#REF!&amp;$A$1&amp;$AA$29&amp;$U$1&amp;$F$1&amp;$AA$29&amp;$U$2&amp;$K$1, "")</f>
        <v>#REF!</v>
      </c>
    </row>
    <row r="43" spans="1:25">
      <c r="A43" s="672">
        <v>31</v>
      </c>
      <c r="B43" s="673" t="s">
        <v>384</v>
      </c>
      <c r="C43" s="665"/>
      <c r="D43" s="666"/>
      <c r="E43" s="688"/>
      <c r="F43" s="672">
        <v>31</v>
      </c>
      <c r="G43" s="673" t="s">
        <v>384</v>
      </c>
      <c r="H43" s="665"/>
      <c r="I43" s="666"/>
      <c r="K43" s="672">
        <v>31</v>
      </c>
      <c r="L43" s="673" t="s">
        <v>384</v>
      </c>
      <c r="M43" s="665"/>
      <c r="N43" s="666"/>
      <c r="P43" s="672">
        <v>31</v>
      </c>
      <c r="Q43" s="673" t="s">
        <v>384</v>
      </c>
      <c r="R43" s="665"/>
      <c r="S43" s="666"/>
      <c r="T43" s="690" t="e">
        <f t="shared" si="5"/>
        <v>#REF!</v>
      </c>
      <c r="U43" s="682">
        <v>1</v>
      </c>
      <c r="V43" s="682">
        <v>1</v>
      </c>
      <c r="W43" s="682">
        <v>1</v>
      </c>
      <c r="X43" s="682">
        <v>1</v>
      </c>
      <c r="Y43" s="693" t="e">
        <f>IF(AND($A$1&gt;0,$F$1&gt;0,$K$1&gt;0,$P$1&gt;0),#REF!&amp;$A$1&amp;$AA$29&amp;$U$1&amp;$F$1&amp;$AA$29&amp;$U$2&amp;$K$1&amp;$AA$29&amp;$U$3&amp;$P$1&amp;$AA$30, "")</f>
        <v>#REF!</v>
      </c>
    </row>
    <row r="44" spans="1:25">
      <c r="A44" s="672">
        <v>32</v>
      </c>
      <c r="B44" s="673" t="s">
        <v>385</v>
      </c>
      <c r="C44" s="665"/>
      <c r="D44" s="666"/>
      <c r="E44" s="688"/>
      <c r="F44" s="672">
        <v>32</v>
      </c>
      <c r="G44" s="673" t="s">
        <v>385</v>
      </c>
      <c r="H44" s="665"/>
      <c r="I44" s="666"/>
      <c r="K44" s="672">
        <v>32</v>
      </c>
      <c r="L44" s="673" t="s">
        <v>385</v>
      </c>
      <c r="M44" s="665"/>
      <c r="N44" s="666"/>
      <c r="P44" s="672">
        <v>32</v>
      </c>
      <c r="Q44" s="673" t="s">
        <v>385</v>
      </c>
      <c r="R44" s="665"/>
      <c r="S44" s="666"/>
    </row>
    <row r="45" spans="1:25">
      <c r="A45" s="672">
        <v>33</v>
      </c>
      <c r="B45" s="673" t="s">
        <v>386</v>
      </c>
      <c r="C45" s="665"/>
      <c r="D45" s="666"/>
      <c r="E45" s="688"/>
      <c r="F45" s="672">
        <v>33</v>
      </c>
      <c r="G45" s="673" t="s">
        <v>386</v>
      </c>
      <c r="H45" s="665"/>
      <c r="I45" s="666"/>
      <c r="K45" s="672">
        <v>33</v>
      </c>
      <c r="L45" s="673" t="s">
        <v>386</v>
      </c>
      <c r="M45" s="665"/>
      <c r="N45" s="666"/>
      <c r="P45" s="672">
        <v>33</v>
      </c>
      <c r="Q45" s="673" t="s">
        <v>386</v>
      </c>
      <c r="R45" s="665"/>
      <c r="S45" s="666"/>
    </row>
    <row r="46" spans="1:25">
      <c r="A46" s="672">
        <v>34</v>
      </c>
      <c r="B46" s="673" t="s">
        <v>387</v>
      </c>
      <c r="C46" s="665"/>
      <c r="D46" s="666"/>
      <c r="E46" s="688"/>
      <c r="F46" s="672">
        <v>34</v>
      </c>
      <c r="G46" s="673" t="s">
        <v>387</v>
      </c>
      <c r="H46" s="665"/>
      <c r="I46" s="666"/>
      <c r="K46" s="672">
        <v>34</v>
      </c>
      <c r="L46" s="673" t="s">
        <v>387</v>
      </c>
      <c r="M46" s="665"/>
      <c r="N46" s="666"/>
      <c r="P46" s="672">
        <v>34</v>
      </c>
      <c r="Q46" s="673" t="s">
        <v>387</v>
      </c>
      <c r="R46" s="665"/>
      <c r="S46" s="666"/>
    </row>
    <row r="47" spans="1:25">
      <c r="A47" s="672">
        <v>35</v>
      </c>
      <c r="B47" s="673" t="s">
        <v>388</v>
      </c>
      <c r="C47" s="665"/>
      <c r="D47" s="666"/>
      <c r="E47" s="688"/>
      <c r="F47" s="672">
        <v>35</v>
      </c>
      <c r="G47" s="673" t="s">
        <v>388</v>
      </c>
      <c r="H47" s="665"/>
      <c r="I47" s="666"/>
      <c r="K47" s="672">
        <v>35</v>
      </c>
      <c r="L47" s="673" t="s">
        <v>388</v>
      </c>
      <c r="M47" s="665"/>
      <c r="N47" s="666"/>
      <c r="P47" s="672">
        <v>35</v>
      </c>
      <c r="Q47" s="673" t="s">
        <v>388</v>
      </c>
      <c r="R47" s="665"/>
      <c r="S47" s="666"/>
    </row>
    <row r="48" spans="1:25">
      <c r="A48" s="672">
        <v>36</v>
      </c>
      <c r="B48" s="673" t="s">
        <v>389</v>
      </c>
      <c r="C48" s="665"/>
      <c r="D48" s="666"/>
      <c r="E48" s="688"/>
      <c r="F48" s="672">
        <v>36</v>
      </c>
      <c r="G48" s="673" t="s">
        <v>389</v>
      </c>
      <c r="H48" s="665"/>
      <c r="I48" s="666"/>
      <c r="K48" s="672">
        <v>36</v>
      </c>
      <c r="L48" s="673" t="s">
        <v>389</v>
      </c>
      <c r="M48" s="665"/>
      <c r="N48" s="666"/>
      <c r="P48" s="672">
        <v>36</v>
      </c>
      <c r="Q48" s="673" t="s">
        <v>389</v>
      </c>
      <c r="R48" s="665"/>
      <c r="S48" s="666"/>
    </row>
    <row r="49" spans="1:19">
      <c r="A49" s="672">
        <v>37</v>
      </c>
      <c r="B49" s="673" t="s">
        <v>390</v>
      </c>
      <c r="C49" s="665"/>
      <c r="D49" s="666"/>
      <c r="E49" s="688"/>
      <c r="F49" s="672">
        <v>37</v>
      </c>
      <c r="G49" s="673" t="s">
        <v>390</v>
      </c>
      <c r="H49" s="665"/>
      <c r="I49" s="666"/>
      <c r="K49" s="672">
        <v>37</v>
      </c>
      <c r="L49" s="673" t="s">
        <v>390</v>
      </c>
      <c r="M49" s="665"/>
      <c r="N49" s="666"/>
      <c r="P49" s="672">
        <v>37</v>
      </c>
      <c r="Q49" s="673" t="s">
        <v>390</v>
      </c>
      <c r="R49" s="665"/>
      <c r="S49" s="666"/>
    </row>
    <row r="50" spans="1:19">
      <c r="A50" s="672">
        <v>38</v>
      </c>
      <c r="B50" s="673" t="s">
        <v>391</v>
      </c>
      <c r="C50" s="665"/>
      <c r="D50" s="666"/>
      <c r="E50" s="688"/>
      <c r="F50" s="672">
        <v>38</v>
      </c>
      <c r="G50" s="673" t="s">
        <v>391</v>
      </c>
      <c r="H50" s="665"/>
      <c r="I50" s="666"/>
      <c r="K50" s="672">
        <v>38</v>
      </c>
      <c r="L50" s="673" t="s">
        <v>391</v>
      </c>
      <c r="M50" s="665"/>
      <c r="N50" s="666"/>
      <c r="P50" s="672">
        <v>38</v>
      </c>
      <c r="Q50" s="673" t="s">
        <v>391</v>
      </c>
      <c r="R50" s="665"/>
      <c r="S50" s="666"/>
    </row>
    <row r="51" spans="1:19">
      <c r="A51" s="672">
        <v>39</v>
      </c>
      <c r="B51" s="673" t="s">
        <v>392</v>
      </c>
      <c r="C51" s="665"/>
      <c r="D51" s="666"/>
      <c r="E51" s="688"/>
      <c r="F51" s="672">
        <v>39</v>
      </c>
      <c r="G51" s="673" t="s">
        <v>392</v>
      </c>
      <c r="H51" s="665"/>
      <c r="I51" s="666"/>
      <c r="K51" s="672">
        <v>39</v>
      </c>
      <c r="L51" s="673" t="s">
        <v>392</v>
      </c>
      <c r="M51" s="665"/>
      <c r="N51" s="666"/>
      <c r="P51" s="672">
        <v>39</v>
      </c>
      <c r="Q51" s="673" t="s">
        <v>392</v>
      </c>
      <c r="R51" s="665"/>
      <c r="S51" s="666"/>
    </row>
    <row r="52" spans="1:19">
      <c r="A52" s="672">
        <v>40</v>
      </c>
      <c r="B52" s="673" t="s">
        <v>393</v>
      </c>
      <c r="C52" s="665"/>
      <c r="D52" s="666"/>
      <c r="E52" s="688"/>
      <c r="F52" s="672">
        <v>40</v>
      </c>
      <c r="G52" s="673" t="s">
        <v>393</v>
      </c>
      <c r="H52" s="665"/>
      <c r="I52" s="666"/>
      <c r="K52" s="672">
        <v>40</v>
      </c>
      <c r="L52" s="673" t="s">
        <v>393</v>
      </c>
      <c r="M52" s="665"/>
      <c r="N52" s="666"/>
      <c r="P52" s="672">
        <v>40</v>
      </c>
      <c r="Q52" s="673" t="s">
        <v>393</v>
      </c>
      <c r="R52" s="665"/>
      <c r="S52" s="666"/>
    </row>
    <row r="53" spans="1:19">
      <c r="A53" s="672">
        <v>41</v>
      </c>
      <c r="B53" s="673" t="s">
        <v>394</v>
      </c>
      <c r="C53" s="665"/>
      <c r="D53" s="666"/>
      <c r="E53" s="688"/>
      <c r="F53" s="672">
        <v>41</v>
      </c>
      <c r="G53" s="673" t="s">
        <v>394</v>
      </c>
      <c r="H53" s="665"/>
      <c r="I53" s="666"/>
      <c r="K53" s="672">
        <v>41</v>
      </c>
      <c r="L53" s="673" t="s">
        <v>394</v>
      </c>
      <c r="M53" s="665"/>
      <c r="N53" s="666"/>
      <c r="P53" s="672">
        <v>41</v>
      </c>
      <c r="Q53" s="673" t="s">
        <v>394</v>
      </c>
      <c r="R53" s="665"/>
      <c r="S53" s="666"/>
    </row>
    <row r="54" spans="1:19">
      <c r="A54" s="672">
        <v>42</v>
      </c>
      <c r="B54" s="673" t="s">
        <v>395</v>
      </c>
      <c r="C54" s="665"/>
      <c r="D54" s="666"/>
      <c r="E54" s="688"/>
      <c r="F54" s="672">
        <v>42</v>
      </c>
      <c r="G54" s="673" t="s">
        <v>395</v>
      </c>
      <c r="H54" s="665"/>
      <c r="I54" s="666"/>
      <c r="K54" s="672">
        <v>42</v>
      </c>
      <c r="L54" s="673" t="s">
        <v>395</v>
      </c>
      <c r="M54" s="665"/>
      <c r="N54" s="666"/>
      <c r="P54" s="672">
        <v>42</v>
      </c>
      <c r="Q54" s="673" t="s">
        <v>395</v>
      </c>
      <c r="R54" s="665"/>
      <c r="S54" s="666"/>
    </row>
    <row r="55" spans="1:19">
      <c r="A55" s="672">
        <v>43</v>
      </c>
      <c r="B55" s="673" t="s">
        <v>396</v>
      </c>
      <c r="C55" s="665"/>
      <c r="D55" s="666"/>
      <c r="E55" s="688"/>
      <c r="F55" s="672">
        <v>43</v>
      </c>
      <c r="G55" s="673" t="s">
        <v>396</v>
      </c>
      <c r="H55" s="665"/>
      <c r="I55" s="666"/>
      <c r="K55" s="672">
        <v>43</v>
      </c>
      <c r="L55" s="673" t="s">
        <v>396</v>
      </c>
      <c r="M55" s="665"/>
      <c r="N55" s="666"/>
      <c r="P55" s="672">
        <v>43</v>
      </c>
      <c r="Q55" s="673" t="s">
        <v>396</v>
      </c>
      <c r="R55" s="665"/>
      <c r="S55" s="666"/>
    </row>
    <row r="56" spans="1:19">
      <c r="A56" s="672">
        <v>44</v>
      </c>
      <c r="B56" s="673" t="s">
        <v>397</v>
      </c>
      <c r="C56" s="665"/>
      <c r="D56" s="666"/>
      <c r="E56" s="688"/>
      <c r="F56" s="672">
        <v>44</v>
      </c>
      <c r="G56" s="673" t="s">
        <v>397</v>
      </c>
      <c r="H56" s="665"/>
      <c r="I56" s="666"/>
      <c r="K56" s="672">
        <v>44</v>
      </c>
      <c r="L56" s="673" t="s">
        <v>397</v>
      </c>
      <c r="M56" s="665"/>
      <c r="N56" s="666"/>
      <c r="P56" s="672">
        <v>44</v>
      </c>
      <c r="Q56" s="673" t="s">
        <v>397</v>
      </c>
      <c r="R56" s="665"/>
      <c r="S56" s="666"/>
    </row>
    <row r="57" spans="1:19">
      <c r="A57" s="672">
        <v>45</v>
      </c>
      <c r="B57" s="673" t="s">
        <v>398</v>
      </c>
      <c r="C57" s="665"/>
      <c r="D57" s="666"/>
      <c r="E57" s="688"/>
      <c r="F57" s="672">
        <v>45</v>
      </c>
      <c r="G57" s="673" t="s">
        <v>398</v>
      </c>
      <c r="H57" s="665"/>
      <c r="I57" s="666"/>
      <c r="K57" s="672">
        <v>45</v>
      </c>
      <c r="L57" s="673" t="s">
        <v>398</v>
      </c>
      <c r="M57" s="665"/>
      <c r="N57" s="666"/>
      <c r="P57" s="672">
        <v>45</v>
      </c>
      <c r="Q57" s="673" t="s">
        <v>398</v>
      </c>
      <c r="R57" s="665"/>
      <c r="S57" s="666"/>
    </row>
    <row r="58" spans="1:19">
      <c r="A58" s="672">
        <v>46</v>
      </c>
      <c r="B58" s="673" t="s">
        <v>399</v>
      </c>
      <c r="C58" s="665"/>
      <c r="D58" s="666"/>
      <c r="E58" s="688"/>
      <c r="F58" s="672">
        <v>46</v>
      </c>
      <c r="G58" s="673" t="s">
        <v>399</v>
      </c>
      <c r="H58" s="665"/>
      <c r="I58" s="666"/>
      <c r="K58" s="672">
        <v>46</v>
      </c>
      <c r="L58" s="673" t="s">
        <v>399</v>
      </c>
      <c r="M58" s="665"/>
      <c r="N58" s="666"/>
      <c r="P58" s="672">
        <v>46</v>
      </c>
      <c r="Q58" s="673" t="s">
        <v>399</v>
      </c>
      <c r="R58" s="665"/>
      <c r="S58" s="666"/>
    </row>
    <row r="59" spans="1:19">
      <c r="A59" s="672">
        <v>47</v>
      </c>
      <c r="B59" s="673" t="s">
        <v>400</v>
      </c>
      <c r="C59" s="665"/>
      <c r="D59" s="666"/>
      <c r="E59" s="688"/>
      <c r="F59" s="672">
        <v>47</v>
      </c>
      <c r="G59" s="673" t="s">
        <v>400</v>
      </c>
      <c r="H59" s="665"/>
      <c r="I59" s="666"/>
      <c r="K59" s="672">
        <v>47</v>
      </c>
      <c r="L59" s="673" t="s">
        <v>400</v>
      </c>
      <c r="M59" s="665"/>
      <c r="N59" s="666"/>
      <c r="P59" s="672">
        <v>47</v>
      </c>
      <c r="Q59" s="673" t="s">
        <v>400</v>
      </c>
      <c r="R59" s="665"/>
      <c r="S59" s="666"/>
    </row>
    <row r="60" spans="1:19">
      <c r="A60" s="672">
        <v>48</v>
      </c>
      <c r="B60" s="673" t="s">
        <v>401</v>
      </c>
      <c r="C60" s="665"/>
      <c r="D60" s="666"/>
      <c r="E60" s="688"/>
      <c r="F60" s="672">
        <v>48</v>
      </c>
      <c r="G60" s="673" t="s">
        <v>401</v>
      </c>
      <c r="H60" s="665"/>
      <c r="I60" s="666"/>
      <c r="K60" s="672">
        <v>48</v>
      </c>
      <c r="L60" s="673" t="s">
        <v>401</v>
      </c>
      <c r="M60" s="665"/>
      <c r="N60" s="666"/>
      <c r="P60" s="672">
        <v>48</v>
      </c>
      <c r="Q60" s="673" t="s">
        <v>401</v>
      </c>
      <c r="R60" s="665"/>
      <c r="S60" s="666"/>
    </row>
    <row r="61" spans="1:19">
      <c r="A61" s="672">
        <v>49</v>
      </c>
      <c r="B61" s="673" t="s">
        <v>402</v>
      </c>
      <c r="C61" s="665"/>
      <c r="D61" s="666"/>
      <c r="E61" s="688"/>
      <c r="F61" s="672">
        <v>49</v>
      </c>
      <c r="G61" s="673" t="s">
        <v>402</v>
      </c>
      <c r="H61" s="665"/>
      <c r="I61" s="666"/>
      <c r="K61" s="672">
        <v>49</v>
      </c>
      <c r="L61" s="673" t="s">
        <v>402</v>
      </c>
      <c r="M61" s="665"/>
      <c r="N61" s="666"/>
      <c r="P61" s="672">
        <v>49</v>
      </c>
      <c r="Q61" s="673" t="s">
        <v>402</v>
      </c>
      <c r="R61" s="665"/>
      <c r="S61" s="666"/>
    </row>
    <row r="62" spans="1:19">
      <c r="A62" s="672">
        <v>50</v>
      </c>
      <c r="B62" s="673" t="s">
        <v>403</v>
      </c>
      <c r="C62" s="665"/>
      <c r="D62" s="666"/>
      <c r="E62" s="688"/>
      <c r="F62" s="672">
        <v>50</v>
      </c>
      <c r="G62" s="673" t="s">
        <v>403</v>
      </c>
      <c r="H62" s="665"/>
      <c r="I62" s="666"/>
      <c r="K62" s="672">
        <v>50</v>
      </c>
      <c r="L62" s="673" t="s">
        <v>403</v>
      </c>
      <c r="M62" s="665"/>
      <c r="N62" s="666"/>
      <c r="P62" s="672">
        <v>50</v>
      </c>
      <c r="Q62" s="673" t="s">
        <v>403</v>
      </c>
      <c r="R62" s="665"/>
      <c r="S62" s="666"/>
    </row>
    <row r="63" spans="1:19">
      <c r="A63" s="672">
        <v>51</v>
      </c>
      <c r="B63" s="673" t="s">
        <v>404</v>
      </c>
      <c r="C63" s="665"/>
      <c r="D63" s="666"/>
      <c r="E63" s="688"/>
      <c r="F63" s="672">
        <v>51</v>
      </c>
      <c r="G63" s="673" t="s">
        <v>404</v>
      </c>
      <c r="H63" s="665"/>
      <c r="I63" s="666"/>
      <c r="K63" s="672">
        <v>51</v>
      </c>
      <c r="L63" s="673" t="s">
        <v>404</v>
      </c>
      <c r="M63" s="665"/>
      <c r="N63" s="666"/>
      <c r="P63" s="672">
        <v>51</v>
      </c>
      <c r="Q63" s="673" t="s">
        <v>404</v>
      </c>
      <c r="R63" s="665"/>
      <c r="S63" s="666"/>
    </row>
    <row r="64" spans="1:19">
      <c r="A64" s="672">
        <v>52</v>
      </c>
      <c r="B64" s="673" t="s">
        <v>405</v>
      </c>
      <c r="C64" s="665"/>
      <c r="D64" s="666"/>
      <c r="E64" s="688"/>
      <c r="F64" s="672">
        <v>52</v>
      </c>
      <c r="G64" s="673" t="s">
        <v>405</v>
      </c>
      <c r="H64" s="665"/>
      <c r="I64" s="666"/>
      <c r="K64" s="672">
        <v>52</v>
      </c>
      <c r="L64" s="673" t="s">
        <v>405</v>
      </c>
      <c r="M64" s="665"/>
      <c r="N64" s="666"/>
      <c r="P64" s="672">
        <v>52</v>
      </c>
      <c r="Q64" s="673" t="s">
        <v>405</v>
      </c>
      <c r="R64" s="665"/>
      <c r="S64" s="666"/>
    </row>
    <row r="65" spans="1:19">
      <c r="A65" s="672">
        <v>53</v>
      </c>
      <c r="B65" s="673" t="s">
        <v>406</v>
      </c>
      <c r="C65" s="665"/>
      <c r="D65" s="666"/>
      <c r="E65" s="688"/>
      <c r="F65" s="672">
        <v>53</v>
      </c>
      <c r="G65" s="673" t="s">
        <v>406</v>
      </c>
      <c r="H65" s="665"/>
      <c r="I65" s="666"/>
      <c r="K65" s="672">
        <v>53</v>
      </c>
      <c r="L65" s="673" t="s">
        <v>406</v>
      </c>
      <c r="M65" s="665"/>
      <c r="N65" s="666"/>
      <c r="P65" s="672">
        <v>53</v>
      </c>
      <c r="Q65" s="673" t="s">
        <v>406</v>
      </c>
      <c r="R65" s="665"/>
      <c r="S65" s="666"/>
    </row>
    <row r="66" spans="1:19">
      <c r="A66" s="672">
        <v>54</v>
      </c>
      <c r="B66" s="673" t="s">
        <v>407</v>
      </c>
      <c r="C66" s="665"/>
      <c r="D66" s="666"/>
      <c r="E66" s="688"/>
      <c r="F66" s="672">
        <v>54</v>
      </c>
      <c r="G66" s="673" t="s">
        <v>407</v>
      </c>
      <c r="H66" s="665"/>
      <c r="I66" s="666"/>
      <c r="K66" s="672">
        <v>54</v>
      </c>
      <c r="L66" s="673" t="s">
        <v>407</v>
      </c>
      <c r="M66" s="665"/>
      <c r="N66" s="666"/>
      <c r="P66" s="672">
        <v>54</v>
      </c>
      <c r="Q66" s="673" t="s">
        <v>407</v>
      </c>
      <c r="R66" s="665"/>
      <c r="S66" s="666"/>
    </row>
    <row r="67" spans="1:19">
      <c r="A67" s="672">
        <v>55</v>
      </c>
      <c r="B67" s="673" t="s">
        <v>408</v>
      </c>
      <c r="C67" s="665"/>
      <c r="D67" s="666"/>
      <c r="E67" s="688"/>
      <c r="F67" s="672">
        <v>55</v>
      </c>
      <c r="G67" s="673" t="s">
        <v>408</v>
      </c>
      <c r="H67" s="665"/>
      <c r="I67" s="666"/>
      <c r="K67" s="672">
        <v>55</v>
      </c>
      <c r="L67" s="673" t="s">
        <v>408</v>
      </c>
      <c r="M67" s="665"/>
      <c r="N67" s="666"/>
      <c r="P67" s="672">
        <v>55</v>
      </c>
      <c r="Q67" s="673" t="s">
        <v>408</v>
      </c>
      <c r="R67" s="665"/>
      <c r="S67" s="666"/>
    </row>
    <row r="68" spans="1:19">
      <c r="A68" s="672">
        <v>56</v>
      </c>
      <c r="B68" s="673" t="s">
        <v>409</v>
      </c>
      <c r="C68" s="665"/>
      <c r="D68" s="666"/>
      <c r="E68" s="688"/>
      <c r="F68" s="672">
        <v>56</v>
      </c>
      <c r="G68" s="673" t="s">
        <v>409</v>
      </c>
      <c r="H68" s="665"/>
      <c r="I68" s="666"/>
      <c r="K68" s="672">
        <v>56</v>
      </c>
      <c r="L68" s="673" t="s">
        <v>409</v>
      </c>
      <c r="M68" s="665"/>
      <c r="N68" s="666"/>
      <c r="P68" s="672">
        <v>56</v>
      </c>
      <c r="Q68" s="673" t="s">
        <v>409</v>
      </c>
      <c r="R68" s="665"/>
      <c r="S68" s="666"/>
    </row>
    <row r="69" spans="1:19">
      <c r="A69" s="672">
        <v>57</v>
      </c>
      <c r="B69" s="673" t="s">
        <v>410</v>
      </c>
      <c r="C69" s="665"/>
      <c r="D69" s="666"/>
      <c r="E69" s="688"/>
      <c r="F69" s="672">
        <v>57</v>
      </c>
      <c r="G69" s="673" t="s">
        <v>410</v>
      </c>
      <c r="H69" s="665"/>
      <c r="I69" s="666"/>
      <c r="K69" s="672">
        <v>57</v>
      </c>
      <c r="L69" s="673" t="s">
        <v>410</v>
      </c>
      <c r="M69" s="665"/>
      <c r="N69" s="666"/>
      <c r="P69" s="672">
        <v>57</v>
      </c>
      <c r="Q69" s="673" t="s">
        <v>410</v>
      </c>
      <c r="R69" s="665"/>
      <c r="S69" s="666"/>
    </row>
    <row r="70" spans="1:19">
      <c r="A70" s="672">
        <v>58</v>
      </c>
      <c r="B70" s="673" t="s">
        <v>411</v>
      </c>
      <c r="C70" s="665"/>
      <c r="D70" s="666"/>
      <c r="E70" s="688"/>
      <c r="F70" s="672">
        <v>58</v>
      </c>
      <c r="G70" s="673" t="s">
        <v>411</v>
      </c>
      <c r="H70" s="665"/>
      <c r="I70" s="666"/>
      <c r="K70" s="672">
        <v>58</v>
      </c>
      <c r="L70" s="673" t="s">
        <v>411</v>
      </c>
      <c r="M70" s="665"/>
      <c r="N70" s="666"/>
      <c r="P70" s="672">
        <v>58</v>
      </c>
      <c r="Q70" s="673" t="s">
        <v>411</v>
      </c>
      <c r="R70" s="665"/>
      <c r="S70" s="666"/>
    </row>
    <row r="71" spans="1:19">
      <c r="A71" s="672">
        <v>59</v>
      </c>
      <c r="B71" s="673" t="s">
        <v>412</v>
      </c>
      <c r="C71" s="665"/>
      <c r="D71" s="666"/>
      <c r="E71" s="688"/>
      <c r="F71" s="672">
        <v>59</v>
      </c>
      <c r="G71" s="673" t="s">
        <v>412</v>
      </c>
      <c r="H71" s="665"/>
      <c r="I71" s="666"/>
      <c r="K71" s="672">
        <v>59</v>
      </c>
      <c r="L71" s="673" t="s">
        <v>412</v>
      </c>
      <c r="M71" s="665"/>
      <c r="N71" s="666"/>
      <c r="P71" s="672">
        <v>59</v>
      </c>
      <c r="Q71" s="673" t="s">
        <v>412</v>
      </c>
      <c r="R71" s="665"/>
      <c r="S71" s="666"/>
    </row>
    <row r="72" spans="1:19">
      <c r="A72" s="672">
        <v>60</v>
      </c>
      <c r="B72" s="673" t="s">
        <v>413</v>
      </c>
      <c r="C72" s="665"/>
      <c r="D72" s="666"/>
      <c r="E72" s="688"/>
      <c r="F72" s="672">
        <v>60</v>
      </c>
      <c r="G72" s="673" t="s">
        <v>413</v>
      </c>
      <c r="H72" s="665"/>
      <c r="I72" s="666"/>
      <c r="K72" s="672">
        <v>60</v>
      </c>
      <c r="L72" s="673" t="s">
        <v>413</v>
      </c>
      <c r="M72" s="665"/>
      <c r="N72" s="666"/>
      <c r="P72" s="672">
        <v>60</v>
      </c>
      <c r="Q72" s="673" t="s">
        <v>413</v>
      </c>
      <c r="R72" s="665"/>
      <c r="S72" s="666"/>
    </row>
    <row r="73" spans="1:19">
      <c r="A73" s="672">
        <v>61</v>
      </c>
      <c r="B73" s="673" t="s">
        <v>414</v>
      </c>
      <c r="C73" s="665"/>
      <c r="D73" s="666"/>
      <c r="E73" s="688"/>
      <c r="F73" s="672">
        <v>61</v>
      </c>
      <c r="G73" s="673" t="s">
        <v>414</v>
      </c>
      <c r="H73" s="665"/>
      <c r="I73" s="666"/>
      <c r="K73" s="672">
        <v>61</v>
      </c>
      <c r="L73" s="673" t="s">
        <v>414</v>
      </c>
      <c r="M73" s="665"/>
      <c r="N73" s="666"/>
      <c r="P73" s="672">
        <v>61</v>
      </c>
      <c r="Q73" s="673" t="s">
        <v>414</v>
      </c>
      <c r="R73" s="665"/>
      <c r="S73" s="666"/>
    </row>
    <row r="74" spans="1:19">
      <c r="A74" s="672">
        <v>62</v>
      </c>
      <c r="B74" s="673" t="s">
        <v>415</v>
      </c>
      <c r="C74" s="665"/>
      <c r="D74" s="666"/>
      <c r="E74" s="688"/>
      <c r="F74" s="672">
        <v>62</v>
      </c>
      <c r="G74" s="673" t="s">
        <v>415</v>
      </c>
      <c r="H74" s="665"/>
      <c r="I74" s="666"/>
      <c r="K74" s="672">
        <v>62</v>
      </c>
      <c r="L74" s="673" t="s">
        <v>415</v>
      </c>
      <c r="M74" s="665"/>
      <c r="N74" s="666"/>
      <c r="P74" s="672">
        <v>62</v>
      </c>
      <c r="Q74" s="673" t="s">
        <v>415</v>
      </c>
      <c r="R74" s="665"/>
      <c r="S74" s="666"/>
    </row>
    <row r="75" spans="1:19">
      <c r="A75" s="672">
        <v>63</v>
      </c>
      <c r="B75" s="674" t="s">
        <v>416</v>
      </c>
      <c r="C75" s="665"/>
      <c r="D75" s="666"/>
      <c r="E75" s="688"/>
      <c r="F75" s="672">
        <v>63</v>
      </c>
      <c r="G75" s="674" t="s">
        <v>416</v>
      </c>
      <c r="H75" s="665"/>
      <c r="I75" s="666"/>
      <c r="K75" s="672">
        <v>63</v>
      </c>
      <c r="L75" s="674" t="s">
        <v>416</v>
      </c>
      <c r="M75" s="665"/>
      <c r="N75" s="666"/>
      <c r="P75" s="672">
        <v>63</v>
      </c>
      <c r="Q75" s="674" t="s">
        <v>416</v>
      </c>
      <c r="R75" s="665"/>
      <c r="S75" s="666"/>
    </row>
    <row r="76" spans="1:19">
      <c r="A76" s="672">
        <v>64</v>
      </c>
      <c r="B76" s="674" t="s">
        <v>417</v>
      </c>
      <c r="C76" s="665"/>
      <c r="D76" s="666"/>
      <c r="E76" s="688"/>
      <c r="F76" s="672">
        <v>64</v>
      </c>
      <c r="G76" s="674" t="s">
        <v>417</v>
      </c>
      <c r="H76" s="665"/>
      <c r="I76" s="666"/>
      <c r="K76" s="672">
        <v>64</v>
      </c>
      <c r="L76" s="674" t="s">
        <v>417</v>
      </c>
      <c r="M76" s="665"/>
      <c r="N76" s="666"/>
      <c r="P76" s="672">
        <v>64</v>
      </c>
      <c r="Q76" s="674" t="s">
        <v>417</v>
      </c>
      <c r="R76" s="665"/>
      <c r="S76" s="666"/>
    </row>
    <row r="77" spans="1:19">
      <c r="A77" s="672">
        <v>65</v>
      </c>
      <c r="B77" s="674" t="s">
        <v>418</v>
      </c>
      <c r="C77" s="665"/>
      <c r="D77" s="666"/>
      <c r="E77" s="688"/>
      <c r="F77" s="672">
        <v>65</v>
      </c>
      <c r="G77" s="674" t="s">
        <v>418</v>
      </c>
      <c r="H77" s="665"/>
      <c r="I77" s="666"/>
      <c r="K77" s="672">
        <v>65</v>
      </c>
      <c r="L77" s="674" t="s">
        <v>418</v>
      </c>
      <c r="M77" s="665"/>
      <c r="N77" s="666"/>
      <c r="P77" s="672">
        <v>65</v>
      </c>
      <c r="Q77" s="674" t="s">
        <v>418</v>
      </c>
      <c r="R77" s="665"/>
      <c r="S77" s="666"/>
    </row>
    <row r="78" spans="1:19">
      <c r="A78" s="672">
        <v>66</v>
      </c>
      <c r="B78" s="674" t="s">
        <v>419</v>
      </c>
      <c r="C78" s="665"/>
      <c r="D78" s="666"/>
      <c r="E78" s="688"/>
      <c r="F78" s="672">
        <v>66</v>
      </c>
      <c r="G78" s="674" t="s">
        <v>419</v>
      </c>
      <c r="H78" s="665"/>
      <c r="I78" s="666"/>
      <c r="K78" s="672">
        <v>66</v>
      </c>
      <c r="L78" s="674" t="s">
        <v>419</v>
      </c>
      <c r="M78" s="665"/>
      <c r="N78" s="666"/>
      <c r="P78" s="672">
        <v>66</v>
      </c>
      <c r="Q78" s="674" t="s">
        <v>419</v>
      </c>
      <c r="R78" s="665"/>
      <c r="S78" s="666"/>
    </row>
    <row r="79" spans="1:19">
      <c r="A79" s="672">
        <v>67</v>
      </c>
      <c r="B79" s="674" t="s">
        <v>420</v>
      </c>
      <c r="C79" s="665"/>
      <c r="D79" s="666"/>
      <c r="E79" s="688"/>
      <c r="F79" s="672">
        <v>67</v>
      </c>
      <c r="G79" s="674" t="s">
        <v>420</v>
      </c>
      <c r="H79" s="665"/>
      <c r="I79" s="666"/>
      <c r="K79" s="672">
        <v>67</v>
      </c>
      <c r="L79" s="674" t="s">
        <v>420</v>
      </c>
      <c r="M79" s="665"/>
      <c r="N79" s="666"/>
      <c r="P79" s="672">
        <v>67</v>
      </c>
      <c r="Q79" s="674" t="s">
        <v>420</v>
      </c>
      <c r="R79" s="665"/>
      <c r="S79" s="666"/>
    </row>
    <row r="80" spans="1:19">
      <c r="A80" s="672">
        <v>68</v>
      </c>
      <c r="B80" s="674" t="s">
        <v>421</v>
      </c>
      <c r="C80" s="665"/>
      <c r="D80" s="666"/>
      <c r="E80" s="688"/>
      <c r="F80" s="672">
        <v>68</v>
      </c>
      <c r="G80" s="674" t="s">
        <v>421</v>
      </c>
      <c r="H80" s="665"/>
      <c r="I80" s="666"/>
      <c r="K80" s="672">
        <v>68</v>
      </c>
      <c r="L80" s="674" t="s">
        <v>421</v>
      </c>
      <c r="M80" s="665"/>
      <c r="N80" s="666"/>
      <c r="P80" s="672">
        <v>68</v>
      </c>
      <c r="Q80" s="674" t="s">
        <v>421</v>
      </c>
      <c r="R80" s="665"/>
      <c r="S80" s="666"/>
    </row>
    <row r="81" spans="1:19">
      <c r="A81" s="672">
        <v>69</v>
      </c>
      <c r="B81" s="674" t="s">
        <v>422</v>
      </c>
      <c r="C81" s="665"/>
      <c r="D81" s="666"/>
      <c r="E81" s="688"/>
      <c r="F81" s="672">
        <v>69</v>
      </c>
      <c r="G81" s="674" t="s">
        <v>422</v>
      </c>
      <c r="H81" s="665"/>
      <c r="I81" s="666"/>
      <c r="K81" s="672">
        <v>69</v>
      </c>
      <c r="L81" s="674" t="s">
        <v>422</v>
      </c>
      <c r="M81" s="665"/>
      <c r="N81" s="666"/>
      <c r="P81" s="672">
        <v>69</v>
      </c>
      <c r="Q81" s="674" t="s">
        <v>422</v>
      </c>
      <c r="R81" s="665"/>
      <c r="S81" s="666"/>
    </row>
    <row r="82" spans="1:19">
      <c r="A82" s="672">
        <v>70</v>
      </c>
      <c r="B82" s="674" t="s">
        <v>423</v>
      </c>
      <c r="C82" s="665"/>
      <c r="D82" s="666"/>
      <c r="E82" s="688"/>
      <c r="F82" s="672">
        <v>70</v>
      </c>
      <c r="G82" s="674" t="s">
        <v>423</v>
      </c>
      <c r="H82" s="665"/>
      <c r="I82" s="666"/>
      <c r="K82" s="672">
        <v>70</v>
      </c>
      <c r="L82" s="674" t="s">
        <v>423</v>
      </c>
      <c r="M82" s="665"/>
      <c r="N82" s="666"/>
      <c r="P82" s="672">
        <v>70</v>
      </c>
      <c r="Q82" s="674" t="s">
        <v>423</v>
      </c>
      <c r="R82" s="665"/>
      <c r="S82" s="666"/>
    </row>
    <row r="83" spans="1:19">
      <c r="A83" s="672">
        <v>71</v>
      </c>
      <c r="B83" s="674" t="s">
        <v>424</v>
      </c>
      <c r="C83" s="665"/>
      <c r="D83" s="666"/>
      <c r="E83" s="688"/>
      <c r="F83" s="672">
        <v>71</v>
      </c>
      <c r="G83" s="674" t="s">
        <v>424</v>
      </c>
      <c r="H83" s="665"/>
      <c r="I83" s="666"/>
      <c r="K83" s="672">
        <v>71</v>
      </c>
      <c r="L83" s="674" t="s">
        <v>424</v>
      </c>
      <c r="M83" s="665"/>
      <c r="N83" s="666"/>
      <c r="P83" s="672">
        <v>71</v>
      </c>
      <c r="Q83" s="674" t="s">
        <v>424</v>
      </c>
      <c r="R83" s="665"/>
      <c r="S83" s="666"/>
    </row>
    <row r="84" spans="1:19">
      <c r="A84" s="672">
        <v>72</v>
      </c>
      <c r="B84" s="674" t="s">
        <v>425</v>
      </c>
      <c r="C84" s="665"/>
      <c r="D84" s="666"/>
      <c r="E84" s="688"/>
      <c r="F84" s="672">
        <v>72</v>
      </c>
      <c r="G84" s="674" t="s">
        <v>425</v>
      </c>
      <c r="H84" s="665"/>
      <c r="I84" s="666"/>
      <c r="K84" s="672">
        <v>72</v>
      </c>
      <c r="L84" s="674" t="s">
        <v>425</v>
      </c>
      <c r="M84" s="665"/>
      <c r="N84" s="666"/>
      <c r="P84" s="672">
        <v>72</v>
      </c>
      <c r="Q84" s="674" t="s">
        <v>425</v>
      </c>
      <c r="R84" s="665"/>
      <c r="S84" s="666"/>
    </row>
    <row r="85" spans="1:19">
      <c r="A85" s="672">
        <v>73</v>
      </c>
      <c r="B85" s="674" t="s">
        <v>426</v>
      </c>
      <c r="C85" s="665"/>
      <c r="D85" s="666"/>
      <c r="E85" s="688"/>
      <c r="F85" s="672">
        <v>73</v>
      </c>
      <c r="G85" s="674" t="s">
        <v>426</v>
      </c>
      <c r="H85" s="665"/>
      <c r="I85" s="666"/>
      <c r="K85" s="672">
        <v>73</v>
      </c>
      <c r="L85" s="674" t="s">
        <v>426</v>
      </c>
      <c r="M85" s="665"/>
      <c r="N85" s="666"/>
      <c r="P85" s="672">
        <v>73</v>
      </c>
      <c r="Q85" s="674" t="s">
        <v>426</v>
      </c>
      <c r="R85" s="665"/>
      <c r="S85" s="666"/>
    </row>
    <row r="86" spans="1:19">
      <c r="A86" s="672">
        <v>74</v>
      </c>
      <c r="B86" s="674" t="s">
        <v>427</v>
      </c>
      <c r="C86" s="665"/>
      <c r="D86" s="666"/>
      <c r="E86" s="688"/>
      <c r="F86" s="672">
        <v>74</v>
      </c>
      <c r="G86" s="674" t="s">
        <v>427</v>
      </c>
      <c r="H86" s="665"/>
      <c r="I86" s="666"/>
      <c r="K86" s="672">
        <v>74</v>
      </c>
      <c r="L86" s="674" t="s">
        <v>427</v>
      </c>
      <c r="M86" s="665"/>
      <c r="N86" s="666"/>
      <c r="P86" s="672">
        <v>74</v>
      </c>
      <c r="Q86" s="674" t="s">
        <v>427</v>
      </c>
      <c r="R86" s="665"/>
      <c r="S86" s="666"/>
    </row>
    <row r="87" spans="1:19">
      <c r="A87" s="672">
        <v>75</v>
      </c>
      <c r="B87" s="674" t="s">
        <v>428</v>
      </c>
      <c r="C87" s="665"/>
      <c r="D87" s="666"/>
      <c r="E87" s="688"/>
      <c r="F87" s="672">
        <v>75</v>
      </c>
      <c r="G87" s="674" t="s">
        <v>428</v>
      </c>
      <c r="H87" s="665"/>
      <c r="I87" s="666"/>
      <c r="K87" s="672">
        <v>75</v>
      </c>
      <c r="L87" s="674" t="s">
        <v>428</v>
      </c>
      <c r="M87" s="665"/>
      <c r="N87" s="666"/>
      <c r="P87" s="672">
        <v>75</v>
      </c>
      <c r="Q87" s="674" t="s">
        <v>428</v>
      </c>
      <c r="R87" s="665"/>
      <c r="S87" s="666"/>
    </row>
    <row r="88" spans="1:19">
      <c r="A88" s="672">
        <v>76</v>
      </c>
      <c r="B88" s="674" t="s">
        <v>429</v>
      </c>
      <c r="C88" s="665"/>
      <c r="D88" s="666"/>
      <c r="E88" s="688"/>
      <c r="F88" s="672">
        <v>76</v>
      </c>
      <c r="G88" s="674" t="s">
        <v>429</v>
      </c>
      <c r="H88" s="665"/>
      <c r="I88" s="666"/>
      <c r="K88" s="672">
        <v>76</v>
      </c>
      <c r="L88" s="674" t="s">
        <v>429</v>
      </c>
      <c r="M88" s="665"/>
      <c r="N88" s="666"/>
      <c r="P88" s="672">
        <v>76</v>
      </c>
      <c r="Q88" s="674" t="s">
        <v>429</v>
      </c>
      <c r="R88" s="665"/>
      <c r="S88" s="666"/>
    </row>
    <row r="89" spans="1:19">
      <c r="A89" s="672">
        <v>77</v>
      </c>
      <c r="B89" s="674" t="s">
        <v>430</v>
      </c>
      <c r="C89" s="665"/>
      <c r="D89" s="666"/>
      <c r="E89" s="688"/>
      <c r="F89" s="672">
        <v>77</v>
      </c>
      <c r="G89" s="674" t="s">
        <v>430</v>
      </c>
      <c r="H89" s="665"/>
      <c r="I89" s="666"/>
      <c r="K89" s="672">
        <v>77</v>
      </c>
      <c r="L89" s="674" t="s">
        <v>430</v>
      </c>
      <c r="M89" s="665"/>
      <c r="N89" s="666"/>
      <c r="P89" s="672">
        <v>77</v>
      </c>
      <c r="Q89" s="674" t="s">
        <v>430</v>
      </c>
      <c r="R89" s="665"/>
      <c r="S89" s="666"/>
    </row>
    <row r="90" spans="1:19">
      <c r="A90" s="672">
        <v>78</v>
      </c>
      <c r="B90" s="674" t="s">
        <v>431</v>
      </c>
      <c r="C90" s="665"/>
      <c r="D90" s="666"/>
      <c r="E90" s="688"/>
      <c r="F90" s="672">
        <v>78</v>
      </c>
      <c r="G90" s="674" t="s">
        <v>431</v>
      </c>
      <c r="H90" s="665"/>
      <c r="I90" s="666"/>
      <c r="K90" s="672">
        <v>78</v>
      </c>
      <c r="L90" s="674" t="s">
        <v>431</v>
      </c>
      <c r="M90" s="665"/>
      <c r="N90" s="666"/>
      <c r="P90" s="672">
        <v>78</v>
      </c>
      <c r="Q90" s="674" t="s">
        <v>431</v>
      </c>
      <c r="R90" s="665"/>
      <c r="S90" s="666"/>
    </row>
    <row r="91" spans="1:19">
      <c r="A91" s="672">
        <v>79</v>
      </c>
      <c r="B91" s="674" t="s">
        <v>432</v>
      </c>
      <c r="C91" s="665"/>
      <c r="D91" s="666"/>
      <c r="E91" s="688"/>
      <c r="F91" s="672">
        <v>79</v>
      </c>
      <c r="G91" s="674" t="s">
        <v>432</v>
      </c>
      <c r="H91" s="665"/>
      <c r="I91" s="666"/>
      <c r="K91" s="672">
        <v>79</v>
      </c>
      <c r="L91" s="674" t="s">
        <v>432</v>
      </c>
      <c r="M91" s="665"/>
      <c r="N91" s="666"/>
      <c r="P91" s="672">
        <v>79</v>
      </c>
      <c r="Q91" s="674" t="s">
        <v>432</v>
      </c>
      <c r="R91" s="665"/>
      <c r="S91" s="666"/>
    </row>
    <row r="92" spans="1:19">
      <c r="A92" s="672">
        <v>80</v>
      </c>
      <c r="B92" s="674" t="s">
        <v>433</v>
      </c>
      <c r="C92" s="665"/>
      <c r="D92" s="666"/>
      <c r="E92" s="688"/>
      <c r="F92" s="672">
        <v>80</v>
      </c>
      <c r="G92" s="674" t="s">
        <v>433</v>
      </c>
      <c r="H92" s="665"/>
      <c r="I92" s="666"/>
      <c r="K92" s="672">
        <v>80</v>
      </c>
      <c r="L92" s="674" t="s">
        <v>433</v>
      </c>
      <c r="M92" s="665"/>
      <c r="N92" s="666"/>
      <c r="P92" s="672">
        <v>80</v>
      </c>
      <c r="Q92" s="674" t="s">
        <v>433</v>
      </c>
      <c r="R92" s="665"/>
      <c r="S92" s="666"/>
    </row>
    <row r="93" spans="1:19">
      <c r="A93" s="672">
        <v>81</v>
      </c>
      <c r="B93" s="674" t="s">
        <v>434</v>
      </c>
      <c r="C93" s="665"/>
      <c r="D93" s="666"/>
      <c r="E93" s="688"/>
      <c r="F93" s="672">
        <v>81</v>
      </c>
      <c r="G93" s="674" t="s">
        <v>434</v>
      </c>
      <c r="H93" s="665"/>
      <c r="I93" s="666"/>
      <c r="K93" s="672">
        <v>81</v>
      </c>
      <c r="L93" s="674" t="s">
        <v>434</v>
      </c>
      <c r="M93" s="665"/>
      <c r="N93" s="666"/>
      <c r="P93" s="672">
        <v>81</v>
      </c>
      <c r="Q93" s="674" t="s">
        <v>434</v>
      </c>
      <c r="R93" s="665"/>
      <c r="S93" s="666"/>
    </row>
    <row r="94" spans="1:19">
      <c r="A94" s="672">
        <v>82</v>
      </c>
      <c r="B94" s="674" t="s">
        <v>435</v>
      </c>
      <c r="C94" s="665"/>
      <c r="D94" s="666"/>
      <c r="E94" s="688"/>
      <c r="F94" s="672">
        <v>82</v>
      </c>
      <c r="G94" s="674" t="s">
        <v>435</v>
      </c>
      <c r="H94" s="665"/>
      <c r="I94" s="666"/>
      <c r="K94" s="672">
        <v>82</v>
      </c>
      <c r="L94" s="674" t="s">
        <v>435</v>
      </c>
      <c r="M94" s="665"/>
      <c r="N94" s="666"/>
      <c r="P94" s="672">
        <v>82</v>
      </c>
      <c r="Q94" s="674" t="s">
        <v>435</v>
      </c>
      <c r="R94" s="665"/>
      <c r="S94" s="666"/>
    </row>
    <row r="95" spans="1:19">
      <c r="A95" s="672">
        <v>83</v>
      </c>
      <c r="B95" s="674" t="s">
        <v>436</v>
      </c>
      <c r="C95" s="665"/>
      <c r="D95" s="666"/>
      <c r="E95" s="688"/>
      <c r="F95" s="672">
        <v>83</v>
      </c>
      <c r="G95" s="674" t="s">
        <v>436</v>
      </c>
      <c r="H95" s="665"/>
      <c r="I95" s="666"/>
      <c r="K95" s="672">
        <v>83</v>
      </c>
      <c r="L95" s="674" t="s">
        <v>436</v>
      </c>
      <c r="M95" s="665"/>
      <c r="N95" s="666"/>
      <c r="P95" s="672">
        <v>83</v>
      </c>
      <c r="Q95" s="674" t="s">
        <v>436</v>
      </c>
      <c r="R95" s="665"/>
      <c r="S95" s="666"/>
    </row>
    <row r="96" spans="1:19">
      <c r="A96" s="672">
        <v>84</v>
      </c>
      <c r="B96" s="674" t="s">
        <v>437</v>
      </c>
      <c r="C96" s="665"/>
      <c r="D96" s="666"/>
      <c r="E96" s="688"/>
      <c r="F96" s="672">
        <v>84</v>
      </c>
      <c r="G96" s="674" t="s">
        <v>437</v>
      </c>
      <c r="H96" s="665"/>
      <c r="I96" s="666"/>
      <c r="K96" s="672">
        <v>84</v>
      </c>
      <c r="L96" s="674" t="s">
        <v>437</v>
      </c>
      <c r="M96" s="665"/>
      <c r="N96" s="666"/>
      <c r="P96" s="672">
        <v>84</v>
      </c>
      <c r="Q96" s="674" t="s">
        <v>437</v>
      </c>
      <c r="R96" s="665"/>
      <c r="S96" s="666"/>
    </row>
    <row r="97" spans="1:19">
      <c r="A97" s="672">
        <v>85</v>
      </c>
      <c r="B97" s="674" t="s">
        <v>438</v>
      </c>
      <c r="C97" s="665"/>
      <c r="D97" s="666"/>
      <c r="E97" s="688"/>
      <c r="F97" s="672">
        <v>85</v>
      </c>
      <c r="G97" s="674" t="s">
        <v>438</v>
      </c>
      <c r="H97" s="665"/>
      <c r="I97" s="666"/>
      <c r="K97" s="672">
        <v>85</v>
      </c>
      <c r="L97" s="674" t="s">
        <v>438</v>
      </c>
      <c r="M97" s="665"/>
      <c r="N97" s="666"/>
      <c r="P97" s="672">
        <v>85</v>
      </c>
      <c r="Q97" s="674" t="s">
        <v>438</v>
      </c>
      <c r="R97" s="665"/>
      <c r="S97" s="666"/>
    </row>
    <row r="98" spans="1:19">
      <c r="A98" s="672">
        <v>86</v>
      </c>
      <c r="B98" s="674" t="s">
        <v>439</v>
      </c>
      <c r="C98" s="665"/>
      <c r="D98" s="666"/>
      <c r="E98" s="688"/>
      <c r="F98" s="672">
        <v>86</v>
      </c>
      <c r="G98" s="674" t="s">
        <v>439</v>
      </c>
      <c r="H98" s="665"/>
      <c r="I98" s="666"/>
      <c r="K98" s="672">
        <v>86</v>
      </c>
      <c r="L98" s="674" t="s">
        <v>439</v>
      </c>
      <c r="M98" s="665"/>
      <c r="N98" s="666"/>
      <c r="P98" s="672">
        <v>86</v>
      </c>
      <c r="Q98" s="674" t="s">
        <v>439</v>
      </c>
      <c r="R98" s="665"/>
      <c r="S98" s="666"/>
    </row>
    <row r="99" spans="1:19">
      <c r="A99" s="672">
        <v>87</v>
      </c>
      <c r="B99" s="674" t="s">
        <v>440</v>
      </c>
      <c r="C99" s="665"/>
      <c r="D99" s="666"/>
      <c r="E99" s="688"/>
      <c r="F99" s="672">
        <v>87</v>
      </c>
      <c r="G99" s="674" t="s">
        <v>440</v>
      </c>
      <c r="H99" s="665"/>
      <c r="I99" s="666"/>
      <c r="K99" s="672">
        <v>87</v>
      </c>
      <c r="L99" s="674" t="s">
        <v>440</v>
      </c>
      <c r="M99" s="665"/>
      <c r="N99" s="666"/>
      <c r="P99" s="672">
        <v>87</v>
      </c>
      <c r="Q99" s="674" t="s">
        <v>440</v>
      </c>
      <c r="R99" s="665"/>
      <c r="S99" s="666"/>
    </row>
    <row r="100" spans="1:19">
      <c r="A100" s="672">
        <v>88</v>
      </c>
      <c r="B100" s="674" t="s">
        <v>441</v>
      </c>
      <c r="C100" s="665"/>
      <c r="D100" s="666"/>
      <c r="E100" s="688"/>
      <c r="F100" s="672">
        <v>88</v>
      </c>
      <c r="G100" s="674" t="s">
        <v>441</v>
      </c>
      <c r="H100" s="665"/>
      <c r="I100" s="666"/>
      <c r="K100" s="672">
        <v>88</v>
      </c>
      <c r="L100" s="674" t="s">
        <v>441</v>
      </c>
      <c r="M100" s="665"/>
      <c r="N100" s="666"/>
      <c r="P100" s="672">
        <v>88</v>
      </c>
      <c r="Q100" s="674" t="s">
        <v>441</v>
      </c>
      <c r="R100" s="665"/>
      <c r="S100" s="666"/>
    </row>
    <row r="101" spans="1:19">
      <c r="A101" s="672">
        <v>89</v>
      </c>
      <c r="B101" s="674" t="s">
        <v>442</v>
      </c>
      <c r="C101" s="665"/>
      <c r="D101" s="666"/>
      <c r="E101" s="688"/>
      <c r="F101" s="672">
        <v>89</v>
      </c>
      <c r="G101" s="674" t="s">
        <v>442</v>
      </c>
      <c r="H101" s="665"/>
      <c r="I101" s="666"/>
      <c r="K101" s="672">
        <v>89</v>
      </c>
      <c r="L101" s="674" t="s">
        <v>442</v>
      </c>
      <c r="M101" s="665"/>
      <c r="N101" s="666"/>
      <c r="P101" s="672">
        <v>89</v>
      </c>
      <c r="Q101" s="674" t="s">
        <v>442</v>
      </c>
      <c r="R101" s="665"/>
      <c r="S101" s="666"/>
    </row>
    <row r="102" spans="1:19">
      <c r="A102" s="672">
        <v>90</v>
      </c>
      <c r="B102" s="674" t="s">
        <v>443</v>
      </c>
      <c r="C102" s="665"/>
      <c r="D102" s="666"/>
      <c r="E102" s="688"/>
      <c r="F102" s="672">
        <v>90</v>
      </c>
      <c r="G102" s="674" t="s">
        <v>443</v>
      </c>
      <c r="H102" s="665"/>
      <c r="I102" s="666"/>
      <c r="K102" s="672">
        <v>90</v>
      </c>
      <c r="L102" s="674" t="s">
        <v>443</v>
      </c>
      <c r="M102" s="665"/>
      <c r="N102" s="666"/>
      <c r="P102" s="672">
        <v>90</v>
      </c>
      <c r="Q102" s="674" t="s">
        <v>443</v>
      </c>
      <c r="R102" s="665"/>
      <c r="S102" s="666"/>
    </row>
    <row r="103" spans="1:19">
      <c r="A103" s="672">
        <v>91</v>
      </c>
      <c r="B103" s="674" t="s">
        <v>444</v>
      </c>
      <c r="C103" s="665"/>
      <c r="D103" s="666"/>
      <c r="E103" s="688"/>
      <c r="F103" s="672">
        <v>91</v>
      </c>
      <c r="G103" s="674" t="s">
        <v>444</v>
      </c>
      <c r="H103" s="665"/>
      <c r="I103" s="666"/>
      <c r="K103" s="672">
        <v>91</v>
      </c>
      <c r="L103" s="674" t="s">
        <v>444</v>
      </c>
      <c r="M103" s="665"/>
      <c r="N103" s="666"/>
      <c r="P103" s="672">
        <v>91</v>
      </c>
      <c r="Q103" s="674" t="s">
        <v>444</v>
      </c>
      <c r="R103" s="665"/>
      <c r="S103" s="666"/>
    </row>
    <row r="104" spans="1:19">
      <c r="A104" s="672">
        <v>92</v>
      </c>
      <c r="B104" s="674" t="s">
        <v>445</v>
      </c>
      <c r="C104" s="665"/>
      <c r="D104" s="666"/>
      <c r="E104" s="688"/>
      <c r="F104" s="672">
        <v>92</v>
      </c>
      <c r="G104" s="674" t="s">
        <v>445</v>
      </c>
      <c r="H104" s="665"/>
      <c r="I104" s="666"/>
      <c r="K104" s="672">
        <v>92</v>
      </c>
      <c r="L104" s="674" t="s">
        <v>445</v>
      </c>
      <c r="M104" s="665"/>
      <c r="N104" s="666"/>
      <c r="P104" s="672">
        <v>92</v>
      </c>
      <c r="Q104" s="674" t="s">
        <v>445</v>
      </c>
      <c r="R104" s="665"/>
      <c r="S104" s="666"/>
    </row>
    <row r="105" spans="1:19">
      <c r="A105" s="672">
        <v>93</v>
      </c>
      <c r="B105" s="674" t="s">
        <v>446</v>
      </c>
      <c r="C105" s="665"/>
      <c r="D105" s="666"/>
      <c r="E105" s="688"/>
      <c r="F105" s="672">
        <v>93</v>
      </c>
      <c r="G105" s="674" t="s">
        <v>446</v>
      </c>
      <c r="H105" s="665"/>
      <c r="I105" s="666"/>
      <c r="K105" s="672">
        <v>93</v>
      </c>
      <c r="L105" s="674" t="s">
        <v>446</v>
      </c>
      <c r="M105" s="665"/>
      <c r="N105" s="666"/>
      <c r="P105" s="672">
        <v>93</v>
      </c>
      <c r="Q105" s="674" t="s">
        <v>446</v>
      </c>
      <c r="R105" s="665"/>
      <c r="S105" s="666"/>
    </row>
    <row r="106" spans="1:19">
      <c r="A106" s="672">
        <v>94</v>
      </c>
      <c r="B106" s="674" t="s">
        <v>447</v>
      </c>
      <c r="C106" s="665"/>
      <c r="D106" s="666"/>
      <c r="E106" s="688"/>
      <c r="F106" s="672">
        <v>94</v>
      </c>
      <c r="G106" s="674" t="s">
        <v>447</v>
      </c>
      <c r="H106" s="665"/>
      <c r="I106" s="666"/>
      <c r="K106" s="672">
        <v>94</v>
      </c>
      <c r="L106" s="674" t="s">
        <v>447</v>
      </c>
      <c r="M106" s="665"/>
      <c r="N106" s="666"/>
      <c r="P106" s="672">
        <v>94</v>
      </c>
      <c r="Q106" s="674" t="s">
        <v>447</v>
      </c>
      <c r="R106" s="665"/>
      <c r="S106" s="666"/>
    </row>
    <row r="107" spans="1:19">
      <c r="A107" s="672">
        <v>95</v>
      </c>
      <c r="B107" s="674" t="s">
        <v>448</v>
      </c>
      <c r="C107" s="665"/>
      <c r="D107" s="666"/>
      <c r="E107" s="688"/>
      <c r="F107" s="672">
        <v>95</v>
      </c>
      <c r="G107" s="674" t="s">
        <v>448</v>
      </c>
      <c r="H107" s="665"/>
      <c r="I107" s="666"/>
      <c r="K107" s="672">
        <v>95</v>
      </c>
      <c r="L107" s="674" t="s">
        <v>448</v>
      </c>
      <c r="M107" s="665"/>
      <c r="N107" s="666"/>
      <c r="P107" s="672">
        <v>95</v>
      </c>
      <c r="Q107" s="674" t="s">
        <v>448</v>
      </c>
      <c r="R107" s="665"/>
      <c r="S107" s="666"/>
    </row>
    <row r="108" spans="1:19">
      <c r="A108" s="672">
        <v>96</v>
      </c>
      <c r="B108" s="674" t="s">
        <v>449</v>
      </c>
      <c r="C108" s="665"/>
      <c r="D108" s="666"/>
      <c r="E108" s="688"/>
      <c r="F108" s="672">
        <v>96</v>
      </c>
      <c r="G108" s="674" t="s">
        <v>449</v>
      </c>
      <c r="H108" s="665"/>
      <c r="I108" s="666"/>
      <c r="K108" s="672">
        <v>96</v>
      </c>
      <c r="L108" s="674" t="s">
        <v>449</v>
      </c>
      <c r="M108" s="665"/>
      <c r="N108" s="666"/>
      <c r="P108" s="672">
        <v>96</v>
      </c>
      <c r="Q108" s="674" t="s">
        <v>449</v>
      </c>
      <c r="R108" s="665"/>
      <c r="S108" s="666"/>
    </row>
    <row r="109" spans="1:19">
      <c r="A109" s="672">
        <v>97</v>
      </c>
      <c r="B109" s="674" t="s">
        <v>450</v>
      </c>
      <c r="C109" s="665"/>
      <c r="D109" s="666"/>
      <c r="E109" s="688"/>
      <c r="F109" s="672">
        <v>97</v>
      </c>
      <c r="G109" s="674" t="s">
        <v>450</v>
      </c>
      <c r="H109" s="665"/>
      <c r="I109" s="666"/>
      <c r="K109" s="672">
        <v>97</v>
      </c>
      <c r="L109" s="674" t="s">
        <v>450</v>
      </c>
      <c r="M109" s="665"/>
      <c r="N109" s="666"/>
      <c r="P109" s="672">
        <v>97</v>
      </c>
      <c r="Q109" s="674" t="s">
        <v>450</v>
      </c>
      <c r="R109" s="665"/>
      <c r="S109" s="666"/>
    </row>
    <row r="110" spans="1:19">
      <c r="A110" s="672">
        <v>98</v>
      </c>
      <c r="B110" s="674" t="s">
        <v>451</v>
      </c>
      <c r="C110" s="665"/>
      <c r="D110" s="666"/>
      <c r="E110" s="688"/>
      <c r="F110" s="672">
        <v>98</v>
      </c>
      <c r="G110" s="674" t="s">
        <v>451</v>
      </c>
      <c r="H110" s="665"/>
      <c r="I110" s="666"/>
      <c r="K110" s="672">
        <v>98</v>
      </c>
      <c r="L110" s="674" t="s">
        <v>451</v>
      </c>
      <c r="M110" s="665"/>
      <c r="N110" s="666"/>
      <c r="P110" s="672">
        <v>98</v>
      </c>
      <c r="Q110" s="674" t="s">
        <v>451</v>
      </c>
      <c r="R110" s="665"/>
      <c r="S110" s="666"/>
    </row>
    <row r="111" spans="1:19">
      <c r="A111" s="672">
        <v>99</v>
      </c>
      <c r="B111" s="674" t="s">
        <v>452</v>
      </c>
      <c r="C111" s="665"/>
      <c r="D111" s="666"/>
      <c r="E111" s="688"/>
      <c r="F111" s="672">
        <v>99</v>
      </c>
      <c r="G111" s="674" t="s">
        <v>452</v>
      </c>
      <c r="H111" s="665"/>
      <c r="I111" s="666"/>
      <c r="K111" s="672">
        <v>99</v>
      </c>
      <c r="L111" s="674" t="s">
        <v>452</v>
      </c>
      <c r="M111" s="665"/>
      <c r="N111" s="666"/>
      <c r="P111" s="672">
        <v>99</v>
      </c>
      <c r="Q111" s="674" t="s">
        <v>452</v>
      </c>
      <c r="R111" s="665"/>
      <c r="S111" s="666"/>
    </row>
    <row r="112" spans="1:19" ht="13.8" thickBot="1">
      <c r="A112" s="675">
        <v>100</v>
      </c>
      <c r="B112" s="676" t="s">
        <v>453</v>
      </c>
      <c r="C112" s="677"/>
      <c r="D112" s="678"/>
      <c r="E112" s="688"/>
      <c r="F112" s="675">
        <v>100</v>
      </c>
      <c r="G112" s="676" t="s">
        <v>453</v>
      </c>
      <c r="H112" s="677"/>
      <c r="I112" s="678"/>
      <c r="K112" s="675">
        <v>100</v>
      </c>
      <c r="L112" s="676" t="s">
        <v>453</v>
      </c>
      <c r="M112" s="677"/>
      <c r="N112" s="678"/>
      <c r="P112" s="675">
        <v>100</v>
      </c>
      <c r="Q112" s="676" t="s">
        <v>453</v>
      </c>
      <c r="R112" s="677"/>
      <c r="S112" s="678"/>
    </row>
    <row r="118" spans="1:4">
      <c r="A118" s="694" t="s">
        <v>459</v>
      </c>
    </row>
    <row r="119" spans="1:4" ht="13.8" thickBot="1"/>
    <row r="120" spans="1:4" ht="13.8" thickBot="1">
      <c r="A120" s="679"/>
      <c r="B120" s="680"/>
      <c r="C120" s="680"/>
      <c r="D120" s="681"/>
    </row>
    <row r="121" spans="1:4" ht="13.8" thickBot="1">
      <c r="A121" s="683"/>
      <c r="B121" s="684"/>
      <c r="C121" s="684"/>
      <c r="D121" s="685"/>
    </row>
    <row r="122" spans="1:4" ht="15.6" thickBot="1">
      <c r="A122" s="997" t="e">
        <v>#REF!</v>
      </c>
      <c r="B122" s="998"/>
      <c r="C122" s="662"/>
      <c r="D122" s="663"/>
    </row>
    <row r="123" spans="1:4">
      <c r="A123" s="999"/>
      <c r="B123" s="1000"/>
      <c r="C123" s="662"/>
      <c r="D123" s="663"/>
    </row>
    <row r="124" spans="1:4">
      <c r="A124" s="664"/>
      <c r="B124" s="665"/>
      <c r="C124" s="665"/>
      <c r="D124" s="666"/>
    </row>
    <row r="125" spans="1:4">
      <c r="A125" s="1001" t="e">
        <f>IF(OR((A122&gt;9999999999),(A122&lt;0)),"Invalid Entry - More than 1000 crore OR -ve value",IF(A122=0, "",+CONCATENATE(U121,B132,D132,B131,D131,B130,D130,B129,D129,B128,D128,B127," Only")))</f>
        <v>#REF!</v>
      </c>
      <c r="B125" s="1002"/>
      <c r="C125" s="1002"/>
      <c r="D125" s="1003"/>
    </row>
    <row r="126" spans="1:4">
      <c r="A126" s="664"/>
      <c r="B126" s="665"/>
      <c r="C126" s="665"/>
      <c r="D126" s="666"/>
    </row>
    <row r="127" spans="1:4">
      <c r="A127" s="667" t="e">
        <f>-INT(A122/100)*100+ROUND(A122,0)</f>
        <v>#REF!</v>
      </c>
      <c r="B127" s="665" t="e">
        <f t="shared" ref="B127:B132" si="6">IF(A127=0,"",LOOKUP(A127,$A$13:$A$112,$B$13:$B$112))</f>
        <v>#REF!</v>
      </c>
      <c r="C127" s="665"/>
      <c r="D127" s="668"/>
    </row>
    <row r="128" spans="1:4">
      <c r="A128" s="667" t="e">
        <f>-INT(A122/1000)*10+INT(A122/100)</f>
        <v>#REF!</v>
      </c>
      <c r="B128" s="665" t="e">
        <f t="shared" si="6"/>
        <v>#REF!</v>
      </c>
      <c r="C128" s="665"/>
      <c r="D128" s="668" t="e">
        <f>+IF(B128="",""," Hundred ")</f>
        <v>#REF!</v>
      </c>
    </row>
    <row r="129" spans="1:4">
      <c r="A129" s="667" t="e">
        <f>-INT(A122/100000)*100+INT(A122/1000)</f>
        <v>#REF!</v>
      </c>
      <c r="B129" s="665" t="e">
        <f t="shared" si="6"/>
        <v>#REF!</v>
      </c>
      <c r="C129" s="665"/>
      <c r="D129" s="668" t="e">
        <f>IF((B129=""),IF(C129="",""," Thousand ")," Thousand ")</f>
        <v>#REF!</v>
      </c>
    </row>
    <row r="130" spans="1:4">
      <c r="A130" s="667" t="e">
        <f>-INT(A122/10000000)*100+INT(A122/100000)</f>
        <v>#REF!</v>
      </c>
      <c r="B130" s="665" t="e">
        <f t="shared" si="6"/>
        <v>#REF!</v>
      </c>
      <c r="C130" s="665"/>
      <c r="D130" s="668" t="e">
        <f>IF((B130=""),IF(C130="",""," Lac ")," Lac ")</f>
        <v>#REF!</v>
      </c>
    </row>
    <row r="131" spans="1:4">
      <c r="A131" s="667" t="e">
        <f>-INT(A122/1000000000)*100+INT(A122/10000000)</f>
        <v>#REF!</v>
      </c>
      <c r="B131" s="669" t="e">
        <f t="shared" si="6"/>
        <v>#REF!</v>
      </c>
      <c r="C131" s="665"/>
      <c r="D131" s="668" t="e">
        <f>IF((B131=""),IF(C131="",""," Crore ")," Crore ")</f>
        <v>#REF!</v>
      </c>
    </row>
    <row r="132" spans="1:4">
      <c r="A132" s="670" t="e">
        <f>-INT(A122/10000000000)*1000+INT(A122/1000000000)</f>
        <v>#REF!</v>
      </c>
      <c r="B132" s="669" t="e">
        <f t="shared" si="6"/>
        <v>#REF!</v>
      </c>
      <c r="C132" s="665"/>
      <c r="D132" s="668" t="e">
        <f>IF((B132=""),IF(C132="",""," Hundred ")," Hundred ")</f>
        <v>#REF!</v>
      </c>
    </row>
    <row r="133" spans="1:4">
      <c r="A133" s="671"/>
      <c r="B133" s="665"/>
      <c r="C133" s="665"/>
      <c r="D133" s="666"/>
    </row>
    <row r="134" spans="1:4">
      <c r="A134" s="672">
        <v>1</v>
      </c>
      <c r="B134" s="673" t="s">
        <v>354</v>
      </c>
      <c r="C134" s="665"/>
      <c r="D134" s="666"/>
    </row>
    <row r="135" spans="1:4">
      <c r="A135" s="672">
        <v>2</v>
      </c>
      <c r="B135" s="673" t="s">
        <v>355</v>
      </c>
      <c r="C135" s="665"/>
      <c r="D135" s="666"/>
    </row>
    <row r="136" spans="1:4">
      <c r="A136" s="672">
        <v>3</v>
      </c>
      <c r="B136" s="673" t="s">
        <v>356</v>
      </c>
      <c r="C136" s="665"/>
      <c r="D136" s="666"/>
    </row>
    <row r="137" spans="1:4">
      <c r="A137" s="672">
        <v>4</v>
      </c>
      <c r="B137" s="673" t="s">
        <v>357</v>
      </c>
      <c r="C137" s="665"/>
      <c r="D137" s="666"/>
    </row>
    <row r="138" spans="1:4">
      <c r="A138" s="672">
        <v>5</v>
      </c>
      <c r="B138" s="673" t="s">
        <v>358</v>
      </c>
      <c r="C138" s="665"/>
      <c r="D138" s="666"/>
    </row>
    <row r="139" spans="1:4">
      <c r="A139" s="672">
        <v>6</v>
      </c>
      <c r="B139" s="673" t="s">
        <v>359</v>
      </c>
      <c r="C139" s="665"/>
      <c r="D139" s="666"/>
    </row>
    <row r="140" spans="1:4">
      <c r="A140" s="672">
        <v>7</v>
      </c>
      <c r="B140" s="673" t="s">
        <v>360</v>
      </c>
      <c r="C140" s="665"/>
      <c r="D140" s="666"/>
    </row>
    <row r="141" spans="1:4">
      <c r="A141" s="672">
        <v>8</v>
      </c>
      <c r="B141" s="673" t="s">
        <v>361</v>
      </c>
      <c r="C141" s="665"/>
      <c r="D141" s="666"/>
    </row>
    <row r="142" spans="1:4">
      <c r="A142" s="672">
        <v>9</v>
      </c>
      <c r="B142" s="673" t="s">
        <v>362</v>
      </c>
      <c r="C142" s="665"/>
      <c r="D142" s="666"/>
    </row>
    <row r="143" spans="1:4">
      <c r="A143" s="672">
        <v>10</v>
      </c>
      <c r="B143" s="673" t="s">
        <v>363</v>
      </c>
      <c r="C143" s="665"/>
      <c r="D143" s="666"/>
    </row>
    <row r="144" spans="1:4">
      <c r="A144" s="672">
        <v>11</v>
      </c>
      <c r="B144" s="673" t="s">
        <v>364</v>
      </c>
      <c r="C144" s="665"/>
      <c r="D144" s="666"/>
    </row>
    <row r="145" spans="1:4">
      <c r="A145" s="672">
        <v>12</v>
      </c>
      <c r="B145" s="673" t="s">
        <v>365</v>
      </c>
      <c r="C145" s="665"/>
      <c r="D145" s="666"/>
    </row>
    <row r="146" spans="1:4">
      <c r="A146" s="672">
        <v>13</v>
      </c>
      <c r="B146" s="673" t="s">
        <v>366</v>
      </c>
      <c r="C146" s="665"/>
      <c r="D146" s="666"/>
    </row>
    <row r="147" spans="1:4">
      <c r="A147" s="672">
        <v>14</v>
      </c>
      <c r="B147" s="673" t="s">
        <v>367</v>
      </c>
      <c r="C147" s="665"/>
      <c r="D147" s="666"/>
    </row>
    <row r="148" spans="1:4">
      <c r="A148" s="672">
        <v>15</v>
      </c>
      <c r="B148" s="673" t="s">
        <v>368</v>
      </c>
      <c r="C148" s="665"/>
      <c r="D148" s="666"/>
    </row>
    <row r="149" spans="1:4">
      <c r="A149" s="672">
        <v>16</v>
      </c>
      <c r="B149" s="673" t="s">
        <v>369</v>
      </c>
      <c r="C149" s="665"/>
      <c r="D149" s="666"/>
    </row>
    <row r="150" spans="1:4">
      <c r="A150" s="672">
        <v>17</v>
      </c>
      <c r="B150" s="673" t="s">
        <v>370</v>
      </c>
      <c r="C150" s="665"/>
      <c r="D150" s="666"/>
    </row>
    <row r="151" spans="1:4">
      <c r="A151" s="672">
        <v>18</v>
      </c>
      <c r="B151" s="673" t="s">
        <v>371</v>
      </c>
      <c r="C151" s="665"/>
      <c r="D151" s="666"/>
    </row>
    <row r="152" spans="1:4">
      <c r="A152" s="672">
        <v>19</v>
      </c>
      <c r="B152" s="673" t="s">
        <v>372</v>
      </c>
      <c r="C152" s="665"/>
      <c r="D152" s="666"/>
    </row>
    <row r="153" spans="1:4">
      <c r="A153" s="672">
        <v>20</v>
      </c>
      <c r="B153" s="673" t="s">
        <v>373</v>
      </c>
      <c r="C153" s="665"/>
      <c r="D153" s="666"/>
    </row>
    <row r="154" spans="1:4">
      <c r="A154" s="672">
        <v>21</v>
      </c>
      <c r="B154" s="673" t="s">
        <v>374</v>
      </c>
      <c r="C154" s="665"/>
      <c r="D154" s="666"/>
    </row>
    <row r="155" spans="1:4">
      <c r="A155" s="672">
        <v>22</v>
      </c>
      <c r="B155" s="673" t="s">
        <v>375</v>
      </c>
      <c r="C155" s="665"/>
      <c r="D155" s="666"/>
    </row>
    <row r="156" spans="1:4">
      <c r="A156" s="672">
        <v>23</v>
      </c>
      <c r="B156" s="673" t="s">
        <v>376</v>
      </c>
      <c r="C156" s="665"/>
      <c r="D156" s="666"/>
    </row>
    <row r="157" spans="1:4">
      <c r="A157" s="672">
        <v>24</v>
      </c>
      <c r="B157" s="673" t="s">
        <v>377</v>
      </c>
      <c r="C157" s="665"/>
      <c r="D157" s="666"/>
    </row>
    <row r="158" spans="1:4">
      <c r="A158" s="672">
        <v>25</v>
      </c>
      <c r="B158" s="673" t="s">
        <v>378</v>
      </c>
      <c r="C158" s="665"/>
      <c r="D158" s="666"/>
    </row>
    <row r="159" spans="1:4">
      <c r="A159" s="672">
        <v>26</v>
      </c>
      <c r="B159" s="673" t="s">
        <v>379</v>
      </c>
      <c r="C159" s="665"/>
      <c r="D159" s="666"/>
    </row>
    <row r="160" spans="1:4">
      <c r="A160" s="672">
        <v>27</v>
      </c>
      <c r="B160" s="673" t="s">
        <v>380</v>
      </c>
      <c r="C160" s="665"/>
      <c r="D160" s="666"/>
    </row>
    <row r="161" spans="1:4">
      <c r="A161" s="672">
        <v>28</v>
      </c>
      <c r="B161" s="673" t="s">
        <v>381</v>
      </c>
      <c r="C161" s="665"/>
      <c r="D161" s="666"/>
    </row>
    <row r="162" spans="1:4">
      <c r="A162" s="672">
        <v>29</v>
      </c>
      <c r="B162" s="673" t="s">
        <v>382</v>
      </c>
      <c r="C162" s="665"/>
      <c r="D162" s="666"/>
    </row>
    <row r="163" spans="1:4">
      <c r="A163" s="672">
        <v>30</v>
      </c>
      <c r="B163" s="673" t="s">
        <v>383</v>
      </c>
      <c r="C163" s="665"/>
      <c r="D163" s="666"/>
    </row>
    <row r="164" spans="1:4">
      <c r="A164" s="672">
        <v>31</v>
      </c>
      <c r="B164" s="673" t="s">
        <v>384</v>
      </c>
      <c r="C164" s="665"/>
      <c r="D164" s="666"/>
    </row>
    <row r="165" spans="1:4">
      <c r="A165" s="672">
        <v>32</v>
      </c>
      <c r="B165" s="673" t="s">
        <v>385</v>
      </c>
      <c r="C165" s="665"/>
      <c r="D165" s="666"/>
    </row>
    <row r="166" spans="1:4">
      <c r="A166" s="672">
        <v>33</v>
      </c>
      <c r="B166" s="673" t="s">
        <v>386</v>
      </c>
      <c r="C166" s="665"/>
      <c r="D166" s="666"/>
    </row>
    <row r="167" spans="1:4">
      <c r="A167" s="672">
        <v>34</v>
      </c>
      <c r="B167" s="673" t="s">
        <v>387</v>
      </c>
      <c r="C167" s="665"/>
      <c r="D167" s="666"/>
    </row>
    <row r="168" spans="1:4">
      <c r="A168" s="672">
        <v>35</v>
      </c>
      <c r="B168" s="673" t="s">
        <v>388</v>
      </c>
      <c r="C168" s="665"/>
      <c r="D168" s="666"/>
    </row>
    <row r="169" spans="1:4">
      <c r="A169" s="672">
        <v>36</v>
      </c>
      <c r="B169" s="673" t="s">
        <v>389</v>
      </c>
      <c r="C169" s="665"/>
      <c r="D169" s="666"/>
    </row>
    <row r="170" spans="1:4">
      <c r="A170" s="672">
        <v>37</v>
      </c>
      <c r="B170" s="673" t="s">
        <v>390</v>
      </c>
      <c r="C170" s="665"/>
      <c r="D170" s="666"/>
    </row>
    <row r="171" spans="1:4">
      <c r="A171" s="672">
        <v>38</v>
      </c>
      <c r="B171" s="673" t="s">
        <v>391</v>
      </c>
      <c r="C171" s="665"/>
      <c r="D171" s="666"/>
    </row>
    <row r="172" spans="1:4">
      <c r="A172" s="672">
        <v>39</v>
      </c>
      <c r="B172" s="673" t="s">
        <v>392</v>
      </c>
      <c r="C172" s="665"/>
      <c r="D172" s="666"/>
    </row>
    <row r="173" spans="1:4">
      <c r="A173" s="672">
        <v>40</v>
      </c>
      <c r="B173" s="673" t="s">
        <v>393</v>
      </c>
      <c r="C173" s="665"/>
      <c r="D173" s="666"/>
    </row>
    <row r="174" spans="1:4">
      <c r="A174" s="672">
        <v>41</v>
      </c>
      <c r="B174" s="673" t="s">
        <v>394</v>
      </c>
      <c r="C174" s="665"/>
      <c r="D174" s="666"/>
    </row>
    <row r="175" spans="1:4">
      <c r="A175" s="672">
        <v>42</v>
      </c>
      <c r="B175" s="673" t="s">
        <v>395</v>
      </c>
      <c r="C175" s="665"/>
      <c r="D175" s="666"/>
    </row>
    <row r="176" spans="1:4">
      <c r="A176" s="672">
        <v>43</v>
      </c>
      <c r="B176" s="673" t="s">
        <v>396</v>
      </c>
      <c r="C176" s="665"/>
      <c r="D176" s="666"/>
    </row>
    <row r="177" spans="1:4">
      <c r="A177" s="672">
        <v>44</v>
      </c>
      <c r="B177" s="673" t="s">
        <v>397</v>
      </c>
      <c r="C177" s="665"/>
      <c r="D177" s="666"/>
    </row>
    <row r="178" spans="1:4">
      <c r="A178" s="672">
        <v>45</v>
      </c>
      <c r="B178" s="673" t="s">
        <v>398</v>
      </c>
      <c r="C178" s="665"/>
      <c r="D178" s="666"/>
    </row>
    <row r="179" spans="1:4">
      <c r="A179" s="672">
        <v>46</v>
      </c>
      <c r="B179" s="673" t="s">
        <v>399</v>
      </c>
      <c r="C179" s="665"/>
      <c r="D179" s="666"/>
    </row>
    <row r="180" spans="1:4">
      <c r="A180" s="672">
        <v>47</v>
      </c>
      <c r="B180" s="673" t="s">
        <v>400</v>
      </c>
      <c r="C180" s="665"/>
      <c r="D180" s="666"/>
    </row>
    <row r="181" spans="1:4">
      <c r="A181" s="672">
        <v>48</v>
      </c>
      <c r="B181" s="673" t="s">
        <v>401</v>
      </c>
      <c r="C181" s="665"/>
      <c r="D181" s="666"/>
    </row>
    <row r="182" spans="1:4">
      <c r="A182" s="672">
        <v>49</v>
      </c>
      <c r="B182" s="673" t="s">
        <v>402</v>
      </c>
      <c r="C182" s="665"/>
      <c r="D182" s="666"/>
    </row>
    <row r="183" spans="1:4">
      <c r="A183" s="672">
        <v>50</v>
      </c>
      <c r="B183" s="673" t="s">
        <v>403</v>
      </c>
      <c r="C183" s="665"/>
      <c r="D183" s="666"/>
    </row>
    <row r="184" spans="1:4">
      <c r="A184" s="672">
        <v>51</v>
      </c>
      <c r="B184" s="673" t="s">
        <v>404</v>
      </c>
      <c r="C184" s="665"/>
      <c r="D184" s="666"/>
    </row>
    <row r="185" spans="1:4">
      <c r="A185" s="672">
        <v>52</v>
      </c>
      <c r="B185" s="673" t="s">
        <v>405</v>
      </c>
      <c r="C185" s="665"/>
      <c r="D185" s="666"/>
    </row>
    <row r="186" spans="1:4">
      <c r="A186" s="672">
        <v>53</v>
      </c>
      <c r="B186" s="673" t="s">
        <v>406</v>
      </c>
      <c r="C186" s="665"/>
      <c r="D186" s="666"/>
    </row>
    <row r="187" spans="1:4">
      <c r="A187" s="672">
        <v>54</v>
      </c>
      <c r="B187" s="673" t="s">
        <v>407</v>
      </c>
      <c r="C187" s="665"/>
      <c r="D187" s="666"/>
    </row>
    <row r="188" spans="1:4">
      <c r="A188" s="672">
        <v>55</v>
      </c>
      <c r="B188" s="673" t="s">
        <v>408</v>
      </c>
      <c r="C188" s="665"/>
      <c r="D188" s="666"/>
    </row>
    <row r="189" spans="1:4">
      <c r="A189" s="672">
        <v>56</v>
      </c>
      <c r="B189" s="673" t="s">
        <v>409</v>
      </c>
      <c r="C189" s="665"/>
      <c r="D189" s="666"/>
    </row>
    <row r="190" spans="1:4">
      <c r="A190" s="672">
        <v>57</v>
      </c>
      <c r="B190" s="673" t="s">
        <v>410</v>
      </c>
      <c r="C190" s="665"/>
      <c r="D190" s="666"/>
    </row>
    <row r="191" spans="1:4">
      <c r="A191" s="672">
        <v>58</v>
      </c>
      <c r="B191" s="673" t="s">
        <v>411</v>
      </c>
      <c r="C191" s="665"/>
      <c r="D191" s="666"/>
    </row>
    <row r="192" spans="1:4">
      <c r="A192" s="672">
        <v>59</v>
      </c>
      <c r="B192" s="673" t="s">
        <v>412</v>
      </c>
      <c r="C192" s="665"/>
      <c r="D192" s="666"/>
    </row>
    <row r="193" spans="1:4">
      <c r="A193" s="672">
        <v>60</v>
      </c>
      <c r="B193" s="673" t="s">
        <v>413</v>
      </c>
      <c r="C193" s="665"/>
      <c r="D193" s="666"/>
    </row>
    <row r="194" spans="1:4">
      <c r="A194" s="672">
        <v>61</v>
      </c>
      <c r="B194" s="673" t="s">
        <v>414</v>
      </c>
      <c r="C194" s="665"/>
      <c r="D194" s="666"/>
    </row>
    <row r="195" spans="1:4">
      <c r="A195" s="672">
        <v>62</v>
      </c>
      <c r="B195" s="673" t="s">
        <v>415</v>
      </c>
      <c r="C195" s="665"/>
      <c r="D195" s="666"/>
    </row>
    <row r="196" spans="1:4">
      <c r="A196" s="672">
        <v>63</v>
      </c>
      <c r="B196" s="674" t="s">
        <v>416</v>
      </c>
      <c r="C196" s="665"/>
      <c r="D196" s="666"/>
    </row>
    <row r="197" spans="1:4">
      <c r="A197" s="672">
        <v>64</v>
      </c>
      <c r="B197" s="674" t="s">
        <v>417</v>
      </c>
      <c r="C197" s="665"/>
      <c r="D197" s="666"/>
    </row>
    <row r="198" spans="1:4">
      <c r="A198" s="672">
        <v>65</v>
      </c>
      <c r="B198" s="674" t="s">
        <v>418</v>
      </c>
      <c r="C198" s="665"/>
      <c r="D198" s="666"/>
    </row>
    <row r="199" spans="1:4">
      <c r="A199" s="672">
        <v>66</v>
      </c>
      <c r="B199" s="674" t="s">
        <v>419</v>
      </c>
      <c r="C199" s="665"/>
      <c r="D199" s="666"/>
    </row>
    <row r="200" spans="1:4">
      <c r="A200" s="672">
        <v>67</v>
      </c>
      <c r="B200" s="674" t="s">
        <v>420</v>
      </c>
      <c r="C200" s="665"/>
      <c r="D200" s="666"/>
    </row>
    <row r="201" spans="1:4">
      <c r="A201" s="672">
        <v>68</v>
      </c>
      <c r="B201" s="674" t="s">
        <v>421</v>
      </c>
      <c r="C201" s="665"/>
      <c r="D201" s="666"/>
    </row>
    <row r="202" spans="1:4">
      <c r="A202" s="672">
        <v>69</v>
      </c>
      <c r="B202" s="674" t="s">
        <v>422</v>
      </c>
      <c r="C202" s="665"/>
      <c r="D202" s="666"/>
    </row>
    <row r="203" spans="1:4">
      <c r="A203" s="672">
        <v>70</v>
      </c>
      <c r="B203" s="674" t="s">
        <v>423</v>
      </c>
      <c r="C203" s="665"/>
      <c r="D203" s="666"/>
    </row>
    <row r="204" spans="1:4">
      <c r="A204" s="672">
        <v>71</v>
      </c>
      <c r="B204" s="674" t="s">
        <v>424</v>
      </c>
      <c r="C204" s="665"/>
      <c r="D204" s="666"/>
    </row>
    <row r="205" spans="1:4">
      <c r="A205" s="672">
        <v>72</v>
      </c>
      <c r="B205" s="674" t="s">
        <v>425</v>
      </c>
      <c r="C205" s="665"/>
      <c r="D205" s="666"/>
    </row>
    <row r="206" spans="1:4">
      <c r="A206" s="672">
        <v>73</v>
      </c>
      <c r="B206" s="674" t="s">
        <v>426</v>
      </c>
      <c r="C206" s="665"/>
      <c r="D206" s="666"/>
    </row>
    <row r="207" spans="1:4">
      <c r="A207" s="672">
        <v>74</v>
      </c>
      <c r="B207" s="674" t="s">
        <v>427</v>
      </c>
      <c r="C207" s="665"/>
      <c r="D207" s="666"/>
    </row>
    <row r="208" spans="1:4">
      <c r="A208" s="672">
        <v>75</v>
      </c>
      <c r="B208" s="674" t="s">
        <v>428</v>
      </c>
      <c r="C208" s="665"/>
      <c r="D208" s="666"/>
    </row>
    <row r="209" spans="1:4">
      <c r="A209" s="672">
        <v>76</v>
      </c>
      <c r="B209" s="674" t="s">
        <v>429</v>
      </c>
      <c r="C209" s="665"/>
      <c r="D209" s="666"/>
    </row>
    <row r="210" spans="1:4">
      <c r="A210" s="672">
        <v>77</v>
      </c>
      <c r="B210" s="674" t="s">
        <v>430</v>
      </c>
      <c r="C210" s="665"/>
      <c r="D210" s="666"/>
    </row>
    <row r="211" spans="1:4">
      <c r="A211" s="672">
        <v>78</v>
      </c>
      <c r="B211" s="674" t="s">
        <v>431</v>
      </c>
      <c r="C211" s="665"/>
      <c r="D211" s="666"/>
    </row>
    <row r="212" spans="1:4">
      <c r="A212" s="672">
        <v>79</v>
      </c>
      <c r="B212" s="674" t="s">
        <v>432</v>
      </c>
      <c r="C212" s="665"/>
      <c r="D212" s="666"/>
    </row>
    <row r="213" spans="1:4">
      <c r="A213" s="672">
        <v>80</v>
      </c>
      <c r="B213" s="674" t="s">
        <v>433</v>
      </c>
      <c r="C213" s="665"/>
      <c r="D213" s="666"/>
    </row>
    <row r="214" spans="1:4">
      <c r="A214" s="672">
        <v>81</v>
      </c>
      <c r="B214" s="674" t="s">
        <v>434</v>
      </c>
      <c r="C214" s="665"/>
      <c r="D214" s="666"/>
    </row>
    <row r="215" spans="1:4">
      <c r="A215" s="672">
        <v>82</v>
      </c>
      <c r="B215" s="674" t="s">
        <v>435</v>
      </c>
      <c r="C215" s="665"/>
      <c r="D215" s="666"/>
    </row>
    <row r="216" spans="1:4">
      <c r="A216" s="672">
        <v>83</v>
      </c>
      <c r="B216" s="674" t="s">
        <v>436</v>
      </c>
      <c r="C216" s="665"/>
      <c r="D216" s="666"/>
    </row>
    <row r="217" spans="1:4">
      <c r="A217" s="672">
        <v>84</v>
      </c>
      <c r="B217" s="674" t="s">
        <v>437</v>
      </c>
      <c r="C217" s="665"/>
      <c r="D217" s="666"/>
    </row>
    <row r="218" spans="1:4">
      <c r="A218" s="672">
        <v>85</v>
      </c>
      <c r="B218" s="674" t="s">
        <v>438</v>
      </c>
      <c r="C218" s="665"/>
      <c r="D218" s="666"/>
    </row>
    <row r="219" spans="1:4">
      <c r="A219" s="672">
        <v>86</v>
      </c>
      <c r="B219" s="674" t="s">
        <v>439</v>
      </c>
      <c r="C219" s="665"/>
      <c r="D219" s="666"/>
    </row>
    <row r="220" spans="1:4">
      <c r="A220" s="672">
        <v>87</v>
      </c>
      <c r="B220" s="674" t="s">
        <v>440</v>
      </c>
      <c r="C220" s="665"/>
      <c r="D220" s="666"/>
    </row>
    <row r="221" spans="1:4">
      <c r="A221" s="672">
        <v>88</v>
      </c>
      <c r="B221" s="674" t="s">
        <v>441</v>
      </c>
      <c r="C221" s="665"/>
      <c r="D221" s="666"/>
    </row>
    <row r="222" spans="1:4">
      <c r="A222" s="672">
        <v>89</v>
      </c>
      <c r="B222" s="674" t="s">
        <v>442</v>
      </c>
      <c r="C222" s="665"/>
      <c r="D222" s="666"/>
    </row>
    <row r="223" spans="1:4">
      <c r="A223" s="672">
        <v>90</v>
      </c>
      <c r="B223" s="674" t="s">
        <v>443</v>
      </c>
      <c r="C223" s="665"/>
      <c r="D223" s="666"/>
    </row>
    <row r="224" spans="1:4">
      <c r="A224" s="672">
        <v>91</v>
      </c>
      <c r="B224" s="674" t="s">
        <v>444</v>
      </c>
      <c r="C224" s="665"/>
      <c r="D224" s="666"/>
    </row>
    <row r="225" spans="1:4">
      <c r="A225" s="672">
        <v>92</v>
      </c>
      <c r="B225" s="674" t="s">
        <v>445</v>
      </c>
      <c r="C225" s="665"/>
      <c r="D225" s="666"/>
    </row>
    <row r="226" spans="1:4">
      <c r="A226" s="672">
        <v>93</v>
      </c>
      <c r="B226" s="674" t="s">
        <v>446</v>
      </c>
      <c r="C226" s="665"/>
      <c r="D226" s="666"/>
    </row>
    <row r="227" spans="1:4">
      <c r="A227" s="672">
        <v>94</v>
      </c>
      <c r="B227" s="674" t="s">
        <v>447</v>
      </c>
      <c r="C227" s="665"/>
      <c r="D227" s="666"/>
    </row>
    <row r="228" spans="1:4">
      <c r="A228" s="672">
        <v>95</v>
      </c>
      <c r="B228" s="674" t="s">
        <v>448</v>
      </c>
      <c r="C228" s="665"/>
      <c r="D228" s="666"/>
    </row>
    <row r="229" spans="1:4">
      <c r="A229" s="672">
        <v>96</v>
      </c>
      <c r="B229" s="674" t="s">
        <v>449</v>
      </c>
      <c r="C229" s="665"/>
      <c r="D229" s="666"/>
    </row>
    <row r="230" spans="1:4">
      <c r="A230" s="672">
        <v>97</v>
      </c>
      <c r="B230" s="674" t="s">
        <v>450</v>
      </c>
      <c r="C230" s="665"/>
      <c r="D230" s="666"/>
    </row>
    <row r="231" spans="1:4">
      <c r="A231" s="672">
        <v>98</v>
      </c>
      <c r="B231" s="674" t="s">
        <v>451</v>
      </c>
      <c r="C231" s="665"/>
      <c r="D231" s="666"/>
    </row>
    <row r="232" spans="1:4">
      <c r="A232" s="672">
        <v>99</v>
      </c>
      <c r="B232" s="674" t="s">
        <v>452</v>
      </c>
      <c r="C232" s="665"/>
      <c r="D232" s="666"/>
    </row>
    <row r="233" spans="1:4" ht="13.8" thickBot="1">
      <c r="A233" s="675">
        <v>100</v>
      </c>
      <c r="B233" s="676" t="s">
        <v>453</v>
      </c>
      <c r="C233" s="677"/>
      <c r="D233" s="678"/>
    </row>
  </sheetData>
  <sheetProtection selectLockedCells="1"/>
  <customSheetViews>
    <customSheetView guid="{027A88A6-1BB1-46D4-AC44-9DCFC13F5D7E}" hiddenColumns="1" state="hidden" topLeftCell="P1">
      <selection activeCell="DT28" sqref="DT28"/>
      <pageMargins left="0.75" right="0.75" top="1" bottom="1" header="0.5" footer="0.5"/>
      <pageSetup orientation="portrait" r:id="rId1"/>
      <headerFooter alignWithMargins="0"/>
    </customSheetView>
    <customSheetView guid="{889C3D82-0A24-4765-A688-A80A782F5056}" hiddenColumns="1" state="hidden" topLeftCell="P1">
      <selection activeCell="DT28" sqref="DT28"/>
      <pageMargins left="0.75" right="0.75" top="1" bottom="1" header="0.5" footer="0.5"/>
      <pageSetup orientation="portrait" r:id="rId2"/>
      <headerFooter alignWithMargins="0"/>
    </customSheetView>
    <customSheetView guid="{A58DB4DF-40C7-4BEB-B85E-6BD6F54941CF}" hiddenColumns="1" state="hidden" topLeftCell="P1">
      <selection activeCell="DT28" sqref="DT28"/>
      <pageMargins left="0.75" right="0.75" top="1" bottom="1" header="0.5" footer="0.5"/>
      <pageSetup orientation="portrait" r:id="rId3"/>
      <headerFooter alignWithMargins="0"/>
    </customSheetView>
    <customSheetView guid="{99CA2F10-F926-46DC-8609-4EAE5B9F3585}" hiddenColumns="1" state="hidden" topLeftCell="P1">
      <selection activeCell="DT28" sqref="DT28"/>
      <pageMargins left="0.75" right="0.75" top="1" bottom="1" header="0.5" footer="0.5"/>
      <pageSetup orientation="portrait" r:id="rId4"/>
      <headerFooter alignWithMargins="0"/>
    </customSheetView>
    <customSheetView guid="{CCA37BAE-906F-43D5-9FD9-B13563E4B9D7}" hiddenColumns="1" state="hidden" topLeftCell="P1">
      <selection activeCell="DT28" sqref="DT28"/>
      <pageMargins left="0.75" right="0.75" top="1" bottom="1" header="0.5" footer="0.5"/>
      <pageSetup orientation="portrait" r:id="rId5"/>
      <headerFooter alignWithMargins="0"/>
    </customSheetView>
    <customSheetView guid="{18EA11B4-BD82-47BF-99FA-7AB19BF74D0B}" hiddenColumns="1" state="hidden" topLeftCell="P1">
      <selection activeCell="DT28" sqref="DT28"/>
      <pageMargins left="0.75" right="0.75" top="1" bottom="1" header="0.5" footer="0.5"/>
      <pageSetup orientation="portrait" r:id="rId6"/>
      <headerFooter alignWithMargins="0"/>
    </customSheetView>
    <customSheetView guid="{915C64AD-BD67-44F0-9117-5B9D998BA799}" hiddenColumns="1" state="hidden" topLeftCell="P1">
      <selection activeCell="DT28" sqref="DT28"/>
      <pageMargins left="0.75" right="0.75" top="1" bottom="1" header="0.5" footer="0.5"/>
      <pageSetup orientation="portrait" r:id="rId7"/>
      <headerFooter alignWithMargins="0"/>
    </customSheetView>
    <customSheetView guid="{DACD165C-CB59-4178-94BC-16705741C7B8}" hiddenColumns="1" state="hidden" topLeftCell="P1">
      <selection activeCell="DT28" sqref="DT28"/>
      <pageMargins left="0.75" right="0.75" top="1" bottom="1" header="0.5" footer="0.5"/>
      <pageSetup orientation="portrait" r:id="rId8"/>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09375" defaultRowHeight="15.6"/>
  <cols>
    <col min="1" max="1" width="9.109375" style="62"/>
    <col min="2" max="2" width="9.109375" style="63"/>
    <col min="3" max="3" width="83" style="63" customWidth="1"/>
    <col min="4" max="4" width="75.5546875" style="75" customWidth="1"/>
    <col min="5" max="16384" width="9.109375" style="61"/>
  </cols>
  <sheetData>
    <row r="1" spans="1:11" ht="45" customHeight="1">
      <c r="A1" s="794" t="s">
        <v>337</v>
      </c>
      <c r="B1" s="794"/>
      <c r="C1" s="794"/>
      <c r="D1" s="59"/>
      <c r="E1" s="60"/>
      <c r="F1" s="60"/>
      <c r="G1" s="60"/>
      <c r="H1" s="60"/>
      <c r="I1" s="60"/>
      <c r="J1" s="60"/>
      <c r="K1" s="60"/>
    </row>
    <row r="2" spans="1:11" ht="18" customHeight="1">
      <c r="C2" s="64"/>
      <c r="D2" s="33"/>
      <c r="E2" s="65"/>
      <c r="F2" s="65"/>
      <c r="G2" s="65"/>
      <c r="H2" s="65"/>
      <c r="I2" s="65"/>
      <c r="J2" s="65"/>
      <c r="K2" s="65"/>
    </row>
    <row r="3" spans="1:11" ht="18" customHeight="1">
      <c r="A3" s="66" t="s">
        <v>53</v>
      </c>
      <c r="B3" s="64" t="s">
        <v>54</v>
      </c>
      <c r="C3" s="64"/>
      <c r="D3" s="67"/>
      <c r="E3" s="68"/>
      <c r="F3" s="68"/>
      <c r="G3" s="68"/>
      <c r="H3" s="68"/>
      <c r="I3" s="68"/>
      <c r="J3" s="68"/>
      <c r="K3" s="68"/>
    </row>
    <row r="4" spans="1:11" ht="18" customHeight="1">
      <c r="B4" s="69" t="s">
        <v>55</v>
      </c>
      <c r="C4" s="70" t="s">
        <v>56</v>
      </c>
      <c r="D4" s="67"/>
      <c r="E4" s="68"/>
      <c r="F4" s="68"/>
      <c r="G4" s="68"/>
      <c r="H4" s="68"/>
      <c r="I4" s="68"/>
      <c r="J4" s="68"/>
      <c r="K4" s="68"/>
    </row>
    <row r="5" spans="1:11" ht="38.1" customHeight="1">
      <c r="B5" s="69" t="s">
        <v>57</v>
      </c>
      <c r="C5" s="70" t="s">
        <v>58</v>
      </c>
      <c r="D5" s="67"/>
      <c r="E5" s="68"/>
      <c r="F5" s="68"/>
      <c r="G5" s="68"/>
      <c r="H5" s="68"/>
      <c r="I5" s="68"/>
      <c r="J5" s="68"/>
      <c r="K5" s="68"/>
    </row>
    <row r="6" spans="1:11" ht="18" customHeight="1">
      <c r="B6" s="69" t="s">
        <v>59</v>
      </c>
      <c r="C6" s="70" t="s">
        <v>60</v>
      </c>
      <c r="D6" s="67"/>
      <c r="E6" s="68"/>
      <c r="F6" s="68"/>
      <c r="G6" s="68"/>
      <c r="H6" s="68"/>
      <c r="I6" s="68"/>
      <c r="J6" s="68"/>
      <c r="K6" s="68"/>
    </row>
    <row r="7" spans="1:11" ht="18" customHeight="1">
      <c r="B7" s="69" t="s">
        <v>61</v>
      </c>
      <c r="C7" s="70" t="s">
        <v>62</v>
      </c>
      <c r="D7" s="67"/>
      <c r="E7" s="68"/>
      <c r="F7" s="68"/>
      <c r="G7" s="68"/>
      <c r="H7" s="68"/>
      <c r="I7" s="68"/>
      <c r="J7" s="68"/>
      <c r="K7" s="68"/>
    </row>
    <row r="8" spans="1:11" ht="18" customHeight="1">
      <c r="B8" s="69" t="s">
        <v>63</v>
      </c>
      <c r="C8" s="70" t="s">
        <v>64</v>
      </c>
      <c r="D8" s="67"/>
      <c r="E8" s="68"/>
      <c r="F8" s="68"/>
      <c r="G8" s="68"/>
      <c r="H8" s="68"/>
      <c r="I8" s="68"/>
      <c r="J8" s="68"/>
      <c r="K8" s="68"/>
    </row>
    <row r="9" spans="1:11" ht="18" customHeight="1">
      <c r="B9" s="69" t="s">
        <v>65</v>
      </c>
      <c r="C9" s="70" t="s">
        <v>66</v>
      </c>
      <c r="D9" s="67"/>
      <c r="E9" s="68"/>
      <c r="F9" s="68"/>
      <c r="G9" s="68"/>
      <c r="H9" s="68"/>
      <c r="I9" s="68"/>
      <c r="J9" s="68"/>
      <c r="K9" s="68"/>
    </row>
    <row r="10" spans="1:11" ht="18" customHeight="1">
      <c r="B10" s="69"/>
      <c r="C10" s="70"/>
      <c r="D10" s="67"/>
      <c r="E10" s="68"/>
      <c r="F10" s="68"/>
      <c r="G10" s="68"/>
      <c r="H10" s="68"/>
      <c r="I10" s="68"/>
      <c r="J10" s="68"/>
      <c r="K10" s="68"/>
    </row>
    <row r="11" spans="1:11" ht="18" customHeight="1">
      <c r="A11" s="66" t="s">
        <v>67</v>
      </c>
      <c r="B11" s="64" t="s">
        <v>68</v>
      </c>
      <c r="C11" s="64"/>
      <c r="D11" s="67"/>
      <c r="E11" s="68"/>
      <c r="F11" s="68"/>
      <c r="G11" s="68"/>
      <c r="H11" s="68"/>
      <c r="I11" s="68"/>
      <c r="J11" s="68"/>
      <c r="K11" s="68"/>
    </row>
    <row r="12" spans="1:11" ht="18" customHeight="1">
      <c r="B12" s="792" t="s">
        <v>69</v>
      </c>
      <c r="C12" s="792"/>
      <c r="D12" s="71"/>
      <c r="E12" s="68"/>
      <c r="F12" s="68"/>
      <c r="G12" s="68"/>
      <c r="H12" s="68"/>
      <c r="I12" s="68"/>
      <c r="J12" s="68"/>
      <c r="K12" s="68"/>
    </row>
    <row r="13" spans="1:11" ht="18" customHeight="1">
      <c r="B13" s="72"/>
      <c r="C13" s="70" t="s">
        <v>70</v>
      </c>
      <c r="D13" s="67"/>
      <c r="E13" s="68"/>
      <c r="F13" s="68"/>
      <c r="G13" s="68"/>
      <c r="H13" s="68"/>
      <c r="I13" s="68"/>
      <c r="J13" s="68"/>
      <c r="K13" s="68"/>
    </row>
    <row r="14" spans="1:11" ht="18" customHeight="1">
      <c r="B14" s="792" t="s">
        <v>71</v>
      </c>
      <c r="C14" s="792"/>
      <c r="D14" s="71"/>
      <c r="E14" s="68"/>
      <c r="F14" s="68"/>
      <c r="G14" s="68"/>
      <c r="H14" s="68"/>
      <c r="I14" s="68"/>
      <c r="J14" s="68"/>
      <c r="K14" s="68"/>
    </row>
    <row r="15" spans="1:11" ht="38.1" customHeight="1">
      <c r="B15" s="73" t="s">
        <v>72</v>
      </c>
      <c r="C15" s="70" t="s">
        <v>73</v>
      </c>
      <c r="D15" s="67"/>
      <c r="E15" s="68"/>
      <c r="F15" s="68"/>
      <c r="G15" s="68"/>
      <c r="H15" s="68"/>
      <c r="I15" s="68"/>
      <c r="J15" s="68"/>
      <c r="K15" s="68"/>
    </row>
    <row r="16" spans="1:11" ht="36" customHeight="1">
      <c r="B16" s="73" t="s">
        <v>72</v>
      </c>
      <c r="C16" s="70" t="s">
        <v>74</v>
      </c>
      <c r="D16" s="67"/>
      <c r="E16" s="68"/>
      <c r="F16" s="68"/>
      <c r="G16" s="68"/>
      <c r="H16" s="68"/>
      <c r="I16" s="68"/>
      <c r="J16" s="68"/>
      <c r="K16" s="68"/>
    </row>
    <row r="17" spans="2:11" ht="42" customHeight="1">
      <c r="B17" s="73" t="s">
        <v>72</v>
      </c>
      <c r="C17" s="70" t="s">
        <v>75</v>
      </c>
      <c r="D17" s="67"/>
      <c r="E17" s="68"/>
      <c r="F17" s="68"/>
      <c r="G17" s="68"/>
      <c r="H17" s="68"/>
      <c r="I17" s="68"/>
      <c r="J17" s="68"/>
      <c r="K17" s="68"/>
    </row>
    <row r="18" spans="2:11" ht="18" customHeight="1">
      <c r="B18" s="73" t="s">
        <v>72</v>
      </c>
      <c r="C18" s="70" t="s">
        <v>76</v>
      </c>
      <c r="D18" s="67"/>
      <c r="E18" s="68"/>
      <c r="F18" s="68"/>
      <c r="G18" s="68"/>
      <c r="H18" s="68"/>
      <c r="I18" s="68"/>
      <c r="J18" s="68"/>
      <c r="K18" s="68"/>
    </row>
    <row r="19" spans="2:11" ht="18" customHeight="1">
      <c r="B19" s="73" t="s">
        <v>72</v>
      </c>
      <c r="C19" s="74" t="s">
        <v>77</v>
      </c>
      <c r="D19" s="67"/>
      <c r="E19" s="68"/>
      <c r="F19" s="68"/>
      <c r="G19" s="68"/>
      <c r="H19" s="68"/>
      <c r="I19" s="68"/>
      <c r="J19" s="68"/>
      <c r="K19" s="68"/>
    </row>
    <row r="20" spans="2:11" ht="18" customHeight="1">
      <c r="B20" s="73" t="s">
        <v>72</v>
      </c>
      <c r="C20" s="70" t="s">
        <v>78</v>
      </c>
      <c r="D20" s="67"/>
      <c r="E20" s="68"/>
      <c r="F20" s="68"/>
      <c r="G20" s="68"/>
      <c r="H20" s="68"/>
      <c r="I20" s="68"/>
      <c r="J20" s="68"/>
      <c r="K20" s="68"/>
    </row>
    <row r="21" spans="2:11" ht="18" customHeight="1">
      <c r="B21" s="792" t="s">
        <v>79</v>
      </c>
      <c r="C21" s="792"/>
      <c r="D21" s="71"/>
      <c r="E21" s="68"/>
      <c r="F21" s="68"/>
      <c r="G21" s="68"/>
      <c r="H21" s="68"/>
      <c r="I21" s="68"/>
      <c r="J21" s="68"/>
      <c r="K21" s="68"/>
    </row>
    <row r="22" spans="2:11" ht="54" customHeight="1">
      <c r="B22" s="73" t="s">
        <v>72</v>
      </c>
      <c r="C22" s="70" t="s">
        <v>80</v>
      </c>
      <c r="D22" s="67"/>
      <c r="E22" s="68"/>
      <c r="F22" s="68"/>
      <c r="G22" s="68"/>
      <c r="H22" s="68"/>
      <c r="I22" s="68"/>
      <c r="J22" s="68"/>
      <c r="K22" s="68"/>
    </row>
    <row r="23" spans="2:11" ht="54" customHeight="1">
      <c r="B23" s="73" t="s">
        <v>72</v>
      </c>
      <c r="C23" s="70" t="s">
        <v>81</v>
      </c>
      <c r="D23" s="67"/>
      <c r="E23" s="68"/>
      <c r="F23" s="68"/>
      <c r="G23" s="68"/>
      <c r="H23" s="68"/>
      <c r="I23" s="68"/>
      <c r="J23" s="68"/>
      <c r="K23" s="68"/>
    </row>
    <row r="24" spans="2:11" ht="57.6" customHeight="1">
      <c r="B24" s="73" t="s">
        <v>72</v>
      </c>
      <c r="C24" s="70" t="s">
        <v>82</v>
      </c>
      <c r="D24" s="67"/>
      <c r="E24" s="68"/>
      <c r="F24" s="68"/>
      <c r="G24" s="68"/>
      <c r="H24" s="68"/>
      <c r="I24" s="68"/>
      <c r="J24" s="68"/>
      <c r="K24" s="68"/>
    </row>
    <row r="25" spans="2:11" ht="18" customHeight="1">
      <c r="B25" s="73" t="s">
        <v>72</v>
      </c>
      <c r="C25" s="70" t="s">
        <v>83</v>
      </c>
      <c r="D25" s="67"/>
      <c r="E25" s="68"/>
      <c r="F25" s="68"/>
      <c r="G25" s="68"/>
      <c r="H25" s="68"/>
      <c r="I25" s="68"/>
      <c r="J25" s="68"/>
      <c r="K25" s="68"/>
    </row>
    <row r="26" spans="2:11" ht="38.1" customHeight="1">
      <c r="B26" s="73" t="s">
        <v>72</v>
      </c>
      <c r="C26" s="70" t="s">
        <v>84</v>
      </c>
      <c r="D26" s="67"/>
      <c r="E26" s="68"/>
      <c r="F26" s="68"/>
      <c r="G26" s="68"/>
      <c r="H26" s="68"/>
      <c r="I26" s="68"/>
      <c r="J26" s="68"/>
      <c r="K26" s="68"/>
    </row>
    <row r="27" spans="2:11" ht="18" customHeight="1">
      <c r="B27" s="792" t="s">
        <v>85</v>
      </c>
      <c r="C27" s="792"/>
      <c r="D27" s="71"/>
      <c r="E27" s="68"/>
      <c r="F27" s="68"/>
      <c r="G27" s="68"/>
      <c r="H27" s="68"/>
      <c r="I27" s="68"/>
      <c r="J27" s="68"/>
      <c r="K27" s="68"/>
    </row>
    <row r="28" spans="2:11" ht="54" customHeight="1">
      <c r="B28" s="73" t="s">
        <v>72</v>
      </c>
      <c r="C28" s="70" t="s">
        <v>80</v>
      </c>
      <c r="D28" s="67"/>
      <c r="E28" s="68"/>
      <c r="F28" s="68"/>
      <c r="G28" s="68"/>
      <c r="H28" s="68"/>
      <c r="I28" s="68"/>
      <c r="J28" s="68"/>
      <c r="K28" s="68"/>
    </row>
    <row r="29" spans="2:11" ht="18" customHeight="1">
      <c r="B29" s="73" t="s">
        <v>72</v>
      </c>
      <c r="C29" s="70" t="s">
        <v>83</v>
      </c>
      <c r="D29" s="67"/>
      <c r="E29" s="68"/>
      <c r="F29" s="68"/>
      <c r="G29" s="68"/>
      <c r="H29" s="68"/>
      <c r="I29" s="68"/>
      <c r="J29" s="68"/>
      <c r="K29" s="68"/>
    </row>
    <row r="30" spans="2:11" ht="18" customHeight="1">
      <c r="B30" s="792" t="s">
        <v>86</v>
      </c>
      <c r="C30" s="792"/>
      <c r="D30" s="71"/>
    </row>
    <row r="31" spans="2:11" ht="54" customHeight="1">
      <c r="B31" s="73" t="s">
        <v>72</v>
      </c>
      <c r="C31" s="70" t="s">
        <v>80</v>
      </c>
      <c r="D31" s="67"/>
      <c r="E31" s="68"/>
      <c r="F31" s="68"/>
      <c r="G31" s="68"/>
      <c r="H31" s="68"/>
      <c r="I31" s="68"/>
      <c r="J31" s="68"/>
      <c r="K31" s="68"/>
    </row>
    <row r="32" spans="2:11" ht="18" customHeight="1">
      <c r="B32" s="73" t="s">
        <v>72</v>
      </c>
      <c r="C32" s="70" t="s">
        <v>83</v>
      </c>
      <c r="D32" s="67"/>
    </row>
    <row r="33" spans="2:11" ht="18" customHeight="1">
      <c r="B33" s="792" t="s">
        <v>87</v>
      </c>
      <c r="C33" s="792"/>
      <c r="D33" s="71"/>
    </row>
    <row r="34" spans="2:11" ht="18" customHeight="1">
      <c r="B34" s="73" t="s">
        <v>72</v>
      </c>
      <c r="C34" s="70" t="s">
        <v>88</v>
      </c>
      <c r="D34" s="67"/>
    </row>
    <row r="35" spans="2:11" ht="18" customHeight="1">
      <c r="B35" s="792" t="s">
        <v>89</v>
      </c>
      <c r="C35" s="792"/>
      <c r="D35" s="71"/>
    </row>
    <row r="36" spans="2:11" ht="66.599999999999994" customHeight="1">
      <c r="B36" s="73" t="s">
        <v>72</v>
      </c>
      <c r="C36" s="70" t="s">
        <v>90</v>
      </c>
      <c r="D36" s="67"/>
      <c r="E36" s="68"/>
      <c r="F36" s="68"/>
      <c r="G36" s="68"/>
      <c r="H36" s="68"/>
      <c r="I36" s="68"/>
      <c r="J36" s="68"/>
      <c r="K36" s="68"/>
    </row>
    <row r="37" spans="2:11" ht="146.1" customHeight="1">
      <c r="B37" s="73" t="s">
        <v>72</v>
      </c>
      <c r="C37" s="70" t="s">
        <v>91</v>
      </c>
      <c r="D37" s="67"/>
      <c r="E37" s="68"/>
      <c r="F37" s="68"/>
      <c r="G37" s="68"/>
      <c r="H37" s="68"/>
      <c r="I37" s="68"/>
      <c r="J37" s="68"/>
      <c r="K37" s="68"/>
    </row>
    <row r="38" spans="2:11" ht="164.1" customHeight="1">
      <c r="B38" s="73" t="s">
        <v>72</v>
      </c>
      <c r="C38" s="70" t="s">
        <v>92</v>
      </c>
      <c r="D38" s="67"/>
      <c r="E38" s="68"/>
      <c r="F38" s="68"/>
      <c r="G38" s="68"/>
      <c r="H38" s="68"/>
      <c r="I38" s="68"/>
      <c r="J38" s="68"/>
      <c r="K38" s="68"/>
    </row>
    <row r="39" spans="2:11" ht="75.900000000000006" customHeight="1">
      <c r="B39" s="73" t="s">
        <v>72</v>
      </c>
      <c r="C39" s="70" t="s">
        <v>93</v>
      </c>
      <c r="D39" s="67"/>
      <c r="E39" s="68"/>
      <c r="F39" s="68"/>
      <c r="G39" s="68"/>
      <c r="H39" s="68"/>
      <c r="I39" s="68"/>
      <c r="J39" s="68"/>
      <c r="K39" s="68"/>
    </row>
    <row r="40" spans="2:11" ht="38.1" customHeight="1">
      <c r="B40" s="73" t="s">
        <v>72</v>
      </c>
      <c r="C40" s="70" t="s">
        <v>94</v>
      </c>
    </row>
    <row r="41" spans="2:11" ht="18" customHeight="1">
      <c r="B41" s="792" t="s">
        <v>95</v>
      </c>
      <c r="C41" s="792"/>
    </row>
    <row r="42" spans="2:11" ht="38.1" customHeight="1">
      <c r="B42" s="73" t="s">
        <v>72</v>
      </c>
      <c r="C42" s="70" t="s">
        <v>96</v>
      </c>
    </row>
    <row r="43" spans="2:11" ht="18" customHeight="1">
      <c r="B43" s="73" t="s">
        <v>72</v>
      </c>
      <c r="C43" s="76" t="s">
        <v>97</v>
      </c>
    </row>
    <row r="44" spans="2:11" ht="18" customHeight="1">
      <c r="B44" s="792" t="s">
        <v>98</v>
      </c>
      <c r="C44" s="792"/>
    </row>
    <row r="45" spans="2:11" ht="38.1" customHeight="1">
      <c r="B45" s="73" t="s">
        <v>72</v>
      </c>
      <c r="C45" s="70" t="s">
        <v>99</v>
      </c>
    </row>
    <row r="46" spans="2:11" ht="18" customHeight="1">
      <c r="B46" s="73" t="s">
        <v>72</v>
      </c>
      <c r="C46" s="76" t="s">
        <v>97</v>
      </c>
    </row>
    <row r="47" spans="2:11" ht="18" customHeight="1">
      <c r="B47" s="792" t="s">
        <v>100</v>
      </c>
      <c r="C47" s="792" t="s">
        <v>101</v>
      </c>
    </row>
    <row r="48" spans="2:11" ht="48" customHeight="1">
      <c r="B48" s="73" t="s">
        <v>72</v>
      </c>
      <c r="C48" s="70" t="s">
        <v>102</v>
      </c>
    </row>
    <row r="49" spans="1:11" ht="18" customHeight="1">
      <c r="B49" s="73" t="s">
        <v>72</v>
      </c>
      <c r="C49" s="76" t="s">
        <v>97</v>
      </c>
    </row>
    <row r="50" spans="1:11" ht="18" customHeight="1">
      <c r="B50" s="792" t="s">
        <v>103</v>
      </c>
      <c r="C50" s="792"/>
    </row>
    <row r="51" spans="1:11" ht="38.1" customHeight="1">
      <c r="B51" s="73" t="s">
        <v>72</v>
      </c>
      <c r="C51" s="70" t="s">
        <v>104</v>
      </c>
    </row>
    <row r="52" spans="1:11" ht="38.1" customHeight="1">
      <c r="B52" s="73" t="s">
        <v>72</v>
      </c>
      <c r="C52" s="70" t="s">
        <v>105</v>
      </c>
    </row>
    <row r="53" spans="1:11" ht="18" customHeight="1">
      <c r="B53" s="792" t="s">
        <v>106</v>
      </c>
      <c r="C53" s="792"/>
    </row>
    <row r="54" spans="1:11" ht="18" customHeight="1">
      <c r="B54" s="73" t="s">
        <v>72</v>
      </c>
      <c r="C54" s="77" t="s">
        <v>107</v>
      </c>
    </row>
    <row r="55" spans="1:11" ht="18" customHeight="1">
      <c r="B55" s="73" t="s">
        <v>72</v>
      </c>
      <c r="C55" s="77" t="s">
        <v>108</v>
      </c>
    </row>
    <row r="56" spans="1:11" ht="18" customHeight="1">
      <c r="B56" s="792" t="s">
        <v>109</v>
      </c>
      <c r="C56" s="792"/>
    </row>
    <row r="57" spans="1:11" ht="18" customHeight="1">
      <c r="B57" s="73" t="s">
        <v>72</v>
      </c>
      <c r="C57" s="70" t="s">
        <v>110</v>
      </c>
      <c r="D57" s="67"/>
      <c r="E57" s="68"/>
      <c r="F57" s="68"/>
      <c r="G57" s="68"/>
      <c r="H57" s="68"/>
      <c r="I57" s="68"/>
      <c r="J57" s="68"/>
      <c r="K57" s="68"/>
    </row>
    <row r="58" spans="1:11" ht="18" customHeight="1">
      <c r="B58" s="73" t="s">
        <v>72</v>
      </c>
      <c r="C58" s="70" t="s">
        <v>111</v>
      </c>
      <c r="D58" s="67"/>
      <c r="E58" s="68"/>
      <c r="F58" s="68"/>
      <c r="G58" s="68"/>
      <c r="H58" s="68"/>
      <c r="I58" s="68"/>
      <c r="J58" s="68"/>
      <c r="K58" s="68"/>
    </row>
    <row r="59" spans="1:11" ht="36" customHeight="1">
      <c r="B59" s="73" t="s">
        <v>72</v>
      </c>
      <c r="C59" s="70" t="s">
        <v>112</v>
      </c>
      <c r="D59" s="67"/>
      <c r="E59" s="68"/>
      <c r="F59" s="68"/>
      <c r="G59" s="68"/>
      <c r="H59" s="68"/>
      <c r="I59" s="68"/>
      <c r="J59" s="68"/>
      <c r="K59" s="68"/>
    </row>
    <row r="60" spans="1:11" ht="18" customHeight="1">
      <c r="B60" s="73" t="s">
        <v>72</v>
      </c>
      <c r="C60" s="70" t="s">
        <v>113</v>
      </c>
      <c r="D60" s="67"/>
      <c r="E60" s="68"/>
      <c r="F60" s="68"/>
      <c r="G60" s="68"/>
      <c r="H60" s="68"/>
      <c r="I60" s="68"/>
      <c r="J60" s="68"/>
      <c r="K60" s="68"/>
    </row>
    <row r="61" spans="1:11" ht="18" customHeight="1">
      <c r="A61" s="63"/>
      <c r="C61" s="78"/>
    </row>
    <row r="62" spans="1:11" ht="18" customHeight="1">
      <c r="A62" s="793"/>
      <c r="B62" s="793"/>
      <c r="C62" s="793"/>
      <c r="D62" s="79"/>
    </row>
    <row r="63" spans="1:11" ht="18" customHeight="1">
      <c r="A63" s="790" t="s">
        <v>114</v>
      </c>
      <c r="B63" s="790"/>
      <c r="C63" s="790"/>
      <c r="D63" s="79"/>
    </row>
    <row r="64" spans="1:11" ht="36" customHeight="1">
      <c r="A64" s="791" t="s">
        <v>115</v>
      </c>
      <c r="B64" s="791"/>
      <c r="C64" s="791"/>
    </row>
    <row r="65" spans="2:3" ht="18" customHeight="1">
      <c r="B65" s="80"/>
      <c r="C65" s="80"/>
    </row>
    <row r="66" spans="2:3" ht="18" customHeight="1">
      <c r="C66" s="77"/>
    </row>
    <row r="67" spans="2:3" ht="18" customHeight="1">
      <c r="C67" s="78"/>
    </row>
    <row r="68" spans="2:3" ht="18" customHeight="1">
      <c r="C68" s="77"/>
    </row>
    <row r="69" spans="2:3" ht="18" customHeight="1">
      <c r="B69" s="78"/>
      <c r="C69" s="78"/>
    </row>
    <row r="70" spans="2:3" ht="18" customHeight="1">
      <c r="B70" s="78"/>
      <c r="C70" s="78"/>
    </row>
    <row r="71" spans="2:3" ht="18" customHeight="1">
      <c r="B71" s="78"/>
      <c r="C71" s="78"/>
    </row>
    <row r="72" spans="2:3" ht="18" customHeight="1">
      <c r="B72" s="78"/>
      <c r="C72" s="78"/>
    </row>
    <row r="73" spans="2:3" ht="18" customHeight="1">
      <c r="B73" s="78"/>
      <c r="C73" s="78"/>
    </row>
    <row r="74" spans="2:3" ht="18" customHeight="1">
      <c r="B74" s="78"/>
      <c r="C74" s="7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027A88A6-1BB1-46D4-AC44-9DCFC13F5D7E}"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DACD165C-CB59-4178-94BC-16705741C7B8}"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3"/>
  <headerFooter alignWithMargins="0">
    <oddFooter>&amp;RPage &amp;P of &amp;N</oddFooter>
  </headerFooter>
  <rowBreaks count="1" manualBreakCount="1">
    <brk id="29" max="2" man="1"/>
  </rowBreaks>
  <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B24"/>
  <sheetViews>
    <sheetView showGridLines="0" view="pageBreakPreview" zoomScale="115" zoomScaleSheetLayoutView="115" workbookViewId="0">
      <selection activeCell="E22" sqref="E22"/>
    </sheetView>
  </sheetViews>
  <sheetFormatPr defaultColWidth="9.109375" defaultRowHeight="15.6"/>
  <cols>
    <col min="1" max="1" width="33" style="555" customWidth="1"/>
    <col min="2" max="2" width="11.6640625" style="555" customWidth="1"/>
    <col min="3" max="4" width="6.44140625" style="555" customWidth="1"/>
    <col min="5" max="5" width="6.44140625" style="558" customWidth="1"/>
    <col min="6" max="6" width="39" style="558" customWidth="1"/>
    <col min="7" max="7" width="11.88671875" style="558" hidden="1" customWidth="1"/>
    <col min="8" max="9" width="11.88671875" style="558" customWidth="1"/>
    <col min="10" max="10" width="11.88671875" style="558" hidden="1" customWidth="1"/>
    <col min="11" max="24" width="11.88671875" style="558" customWidth="1"/>
    <col min="25" max="25" width="9.109375" style="558" customWidth="1"/>
    <col min="26" max="26" width="15.33203125" style="558" customWidth="1"/>
    <col min="27" max="16384" width="9.109375" style="558"/>
  </cols>
  <sheetData>
    <row r="1" spans="1:28" s="555" customFormat="1" ht="131.4" customHeight="1">
      <c r="A1" s="798" t="str">
        <f>Cover!$B$2</f>
        <v>Transmission Line Tower Package-TW01 including Design &amp; Testing of towers, Design of foundation, Supply of HTLS conductor, Composite long rod insulators, Earthwire/OPGW, Hardware Fittings, Accessories for Conductor &amp; Earthwire for M/C portion of (i) 400 kV D/C (Twin HTLS) Navasari (New) (South Gujarat)-Kala line and (ii) 400 kV D/C (Twin HTLS) Navasari (New) (South Gujarat)-Magarwada line and for D/C portion of (i) 400 kV D/C (twin HTLS) Navasari (New) (South Gujarat)-Kala line (From M/c line common point near Magarwada SS to Kala SS) associated with Transmission Network Expansion in Gujarat to increase its ATC from ISTS: Part B.</v>
      </c>
      <c r="B1" s="798"/>
      <c r="C1" s="798"/>
      <c r="D1" s="798"/>
      <c r="E1" s="798"/>
      <c r="F1" s="798"/>
      <c r="G1" s="556"/>
      <c r="H1" s="556"/>
      <c r="I1" s="556"/>
      <c r="J1" s="556"/>
      <c r="K1" s="556"/>
      <c r="L1" s="556"/>
      <c r="M1" s="556"/>
      <c r="N1" s="556"/>
      <c r="O1" s="556"/>
      <c r="P1" s="556"/>
      <c r="Q1" s="556"/>
      <c r="R1" s="556"/>
      <c r="S1" s="556"/>
      <c r="T1" s="556"/>
      <c r="U1" s="556"/>
      <c r="V1" s="556"/>
      <c r="W1" s="556"/>
      <c r="X1" s="556"/>
      <c r="Z1" s="557"/>
      <c r="AA1" s="557"/>
      <c r="AB1" s="557"/>
    </row>
    <row r="2" spans="1:28" ht="16.5" customHeight="1">
      <c r="A2" s="799" t="str">
        <f>Cover!B3</f>
        <v>Specification No. : 5002002268/TOWER/DOM/A00 - CC CS -1</v>
      </c>
      <c r="B2" s="799"/>
      <c r="C2" s="799"/>
      <c r="D2" s="799"/>
      <c r="E2" s="799"/>
      <c r="F2" s="799"/>
      <c r="G2" s="555"/>
      <c r="H2" s="555"/>
      <c r="I2" s="555"/>
      <c r="J2" s="555"/>
      <c r="K2" s="555"/>
      <c r="L2" s="555"/>
      <c r="M2" s="555"/>
      <c r="N2" s="555"/>
      <c r="O2" s="555"/>
      <c r="P2" s="555"/>
      <c r="Q2" s="555"/>
      <c r="R2" s="555"/>
      <c r="S2" s="555"/>
      <c r="T2" s="555"/>
      <c r="U2" s="555"/>
      <c r="V2" s="555"/>
      <c r="W2" s="555"/>
      <c r="X2" s="555"/>
      <c r="Z2" s="558" t="s">
        <v>116</v>
      </c>
      <c r="AA2" s="559">
        <v>1</v>
      </c>
      <c r="AB2" s="560"/>
    </row>
    <row r="3" spans="1:28" ht="12" customHeight="1">
      <c r="A3" s="561"/>
      <c r="B3" s="561"/>
      <c r="C3" s="561"/>
      <c r="D3" s="561"/>
      <c r="E3" s="555"/>
      <c r="F3" s="555"/>
      <c r="G3" s="555"/>
      <c r="H3" s="555"/>
      <c r="I3" s="555"/>
      <c r="J3" s="555"/>
      <c r="K3" s="555"/>
      <c r="L3" s="555"/>
      <c r="M3" s="555"/>
      <c r="N3" s="555"/>
      <c r="O3" s="555"/>
      <c r="P3" s="555"/>
      <c r="Q3" s="555"/>
      <c r="R3" s="555"/>
      <c r="S3" s="555"/>
      <c r="T3" s="555"/>
      <c r="U3" s="555"/>
      <c r="V3" s="555"/>
      <c r="W3" s="555"/>
      <c r="X3" s="555"/>
      <c r="Z3" s="558" t="s">
        <v>117</v>
      </c>
      <c r="AA3" s="559" t="s">
        <v>118</v>
      </c>
      <c r="AB3" s="560"/>
    </row>
    <row r="4" spans="1:28" ht="20.100000000000001" customHeight="1">
      <c r="A4" s="800" t="s">
        <v>119</v>
      </c>
      <c r="B4" s="800"/>
      <c r="C4" s="800"/>
      <c r="D4" s="800"/>
      <c r="E4" s="800"/>
      <c r="F4" s="800"/>
      <c r="G4" s="555"/>
      <c r="H4" s="555"/>
      <c r="I4" s="555"/>
      <c r="J4" s="555"/>
      <c r="K4" s="555"/>
      <c r="L4" s="555"/>
      <c r="M4" s="555"/>
      <c r="N4" s="555"/>
      <c r="O4" s="555"/>
      <c r="P4" s="555"/>
      <c r="Q4" s="555"/>
      <c r="R4" s="555"/>
      <c r="S4" s="555"/>
      <c r="T4" s="555"/>
      <c r="U4" s="555"/>
      <c r="V4" s="555"/>
      <c r="W4" s="555"/>
      <c r="X4" s="555"/>
      <c r="AA4" s="559"/>
      <c r="AB4" s="560"/>
    </row>
    <row r="5" spans="1:28" ht="12" customHeight="1">
      <c r="A5" s="562"/>
      <c r="B5" s="562"/>
      <c r="E5" s="555"/>
      <c r="F5" s="555"/>
      <c r="G5" s="555"/>
      <c r="H5" s="555"/>
      <c r="I5" s="555"/>
      <c r="J5" s="555"/>
      <c r="K5" s="555"/>
      <c r="L5" s="555"/>
      <c r="M5" s="555"/>
      <c r="N5" s="555"/>
      <c r="O5" s="555"/>
      <c r="P5" s="555"/>
      <c r="Q5" s="555"/>
      <c r="R5" s="555"/>
      <c r="S5" s="555"/>
      <c r="T5" s="555"/>
      <c r="U5" s="555"/>
      <c r="V5" s="555"/>
      <c r="W5" s="555"/>
      <c r="X5" s="555"/>
      <c r="Z5" s="560"/>
      <c r="AA5" s="560"/>
      <c r="AB5" s="560"/>
    </row>
    <row r="6" spans="1:28" s="555" customFormat="1" ht="50.25" customHeight="1">
      <c r="A6" s="805" t="s">
        <v>340</v>
      </c>
      <c r="B6" s="805"/>
      <c r="C6" s="801" t="s">
        <v>116</v>
      </c>
      <c r="D6" s="801"/>
      <c r="E6" s="801"/>
      <c r="F6" s="801"/>
      <c r="G6" s="563"/>
      <c r="H6" s="563"/>
      <c r="I6" s="563"/>
      <c r="J6" s="584">
        <f>IF(C6="Sole Bidder", 1,2)</f>
        <v>1</v>
      </c>
      <c r="K6" s="563"/>
      <c r="L6" s="563"/>
      <c r="M6" s="563"/>
      <c r="N6" s="563"/>
      <c r="O6" s="563"/>
      <c r="P6" s="563"/>
      <c r="Q6" s="563"/>
      <c r="R6" s="563"/>
      <c r="T6" s="563"/>
      <c r="U6" s="563"/>
      <c r="V6" s="563"/>
      <c r="W6" s="563"/>
      <c r="X6" s="563"/>
      <c r="Z6" s="564">
        <f>IF(C6= "Sole Bidder", 0, C7)</f>
        <v>0</v>
      </c>
      <c r="AA6" s="557"/>
      <c r="AB6" s="557"/>
    </row>
    <row r="7" spans="1:28" ht="50.1" customHeight="1">
      <c r="A7" s="565" t="str">
        <f>IF(C6= "JV (Joint Venture)", "Total Nos. of  Partners in the JV [excluding the Lead Partner]", "")</f>
        <v/>
      </c>
      <c r="B7" s="566"/>
      <c r="C7" s="802"/>
      <c r="D7" s="803"/>
      <c r="E7" s="803"/>
      <c r="F7" s="804"/>
      <c r="Z7" s="560"/>
      <c r="AA7" s="560"/>
      <c r="AB7" s="560"/>
    </row>
    <row r="8" spans="1:28" ht="19.5" customHeight="1">
      <c r="A8" s="567"/>
      <c r="B8" s="567"/>
      <c r="C8" s="563"/>
    </row>
    <row r="9" spans="1:28" ht="20.100000000000001" customHeight="1">
      <c r="A9" s="568" t="str">
        <f>IF(C6= "Sole Bidder", "Name of Sole Bidder", "Name of Lead Partner")</f>
        <v>Name of Sole Bidder</v>
      </c>
      <c r="B9" s="569"/>
      <c r="C9" s="795"/>
      <c r="D9" s="796"/>
      <c r="E9" s="796"/>
      <c r="F9" s="797"/>
    </row>
    <row r="10" spans="1:28" ht="20.100000000000001" customHeight="1">
      <c r="A10" s="570" t="str">
        <f>IF(C6= "Sole Bidder", "Address of Sole Bidder", "Address of Lead Partner")</f>
        <v>Address of Sole Bidder</v>
      </c>
      <c r="B10" s="571"/>
      <c r="C10" s="795"/>
      <c r="D10" s="796"/>
      <c r="E10" s="796"/>
      <c r="F10" s="797"/>
    </row>
    <row r="11" spans="1:28" ht="20.100000000000001" customHeight="1">
      <c r="A11" s="572"/>
      <c r="B11" s="573"/>
      <c r="C11" s="795"/>
      <c r="D11" s="796"/>
      <c r="E11" s="796"/>
      <c r="F11" s="797"/>
    </row>
    <row r="12" spans="1:28" ht="20.100000000000001" customHeight="1">
      <c r="A12" s="574"/>
      <c r="B12" s="575"/>
      <c r="C12" s="795"/>
      <c r="D12" s="796"/>
      <c r="E12" s="796"/>
      <c r="F12" s="797"/>
    </row>
    <row r="13" spans="1:28" ht="21.75" customHeight="1"/>
    <row r="14" spans="1:28" ht="20.100000000000001" hidden="1" customHeight="1">
      <c r="A14" s="568" t="s">
        <v>121</v>
      </c>
      <c r="B14" s="569"/>
      <c r="C14" s="795" t="s">
        <v>120</v>
      </c>
      <c r="D14" s="796"/>
      <c r="E14" s="796"/>
      <c r="F14" s="797"/>
    </row>
    <row r="15" spans="1:28" ht="20.100000000000001" hidden="1" customHeight="1">
      <c r="A15" s="570" t="s">
        <v>122</v>
      </c>
      <c r="B15" s="571"/>
      <c r="C15" s="795" t="s">
        <v>120</v>
      </c>
      <c r="D15" s="796"/>
      <c r="E15" s="796"/>
      <c r="F15" s="797"/>
    </row>
    <row r="16" spans="1:28" ht="20.100000000000001" hidden="1" customHeight="1">
      <c r="A16" s="572"/>
      <c r="B16" s="573"/>
      <c r="C16" s="795" t="s">
        <v>120</v>
      </c>
      <c r="D16" s="796"/>
      <c r="E16" s="796"/>
      <c r="F16" s="797"/>
    </row>
    <row r="17" spans="1:7" ht="20.100000000000001" hidden="1" customHeight="1">
      <c r="A17" s="574"/>
      <c r="B17" s="575"/>
      <c r="C17" s="795" t="s">
        <v>120</v>
      </c>
      <c r="D17" s="796"/>
      <c r="E17" s="796"/>
      <c r="F17" s="797"/>
    </row>
    <row r="18" spans="1:7" ht="20.100000000000001" customHeight="1">
      <c r="A18" s="576"/>
      <c r="B18" s="576"/>
    </row>
    <row r="19" spans="1:7" ht="21" customHeight="1">
      <c r="A19" s="577" t="s">
        <v>123</v>
      </c>
      <c r="B19" s="578"/>
      <c r="C19" s="808"/>
      <c r="D19" s="809"/>
      <c r="E19" s="809"/>
      <c r="F19" s="810"/>
    </row>
    <row r="20" spans="1:7" ht="21" customHeight="1">
      <c r="A20" s="577" t="s">
        <v>124</v>
      </c>
      <c r="B20" s="578"/>
      <c r="C20" s="795"/>
      <c r="D20" s="806"/>
      <c r="E20" s="806"/>
      <c r="F20" s="807"/>
    </row>
    <row r="21" spans="1:7" ht="21" customHeight="1">
      <c r="A21" s="579"/>
      <c r="B21" s="579"/>
      <c r="C21" s="580"/>
    </row>
    <row r="22" spans="1:7" s="555" customFormat="1" ht="21" customHeight="1">
      <c r="A22" s="577" t="s">
        <v>125</v>
      </c>
      <c r="B22" s="578"/>
      <c r="C22" s="581"/>
      <c r="D22" s="583"/>
      <c r="E22" s="581"/>
      <c r="F22" s="582" t="str">
        <f>IF(C22&gt;G22, "Invalid Date !", "")</f>
        <v/>
      </c>
      <c r="G22" s="557">
        <f>IF(D22="Feb",28,IF(OR(D22="Apr", D22="Jun", D22="Sep", D22="Nov"),30,31))</f>
        <v>31</v>
      </c>
    </row>
    <row r="23" spans="1:7" ht="21" customHeight="1">
      <c r="A23" s="577" t="s">
        <v>126</v>
      </c>
      <c r="B23" s="578"/>
      <c r="C23" s="795"/>
      <c r="D23" s="806"/>
      <c r="E23" s="806"/>
      <c r="F23" s="807"/>
    </row>
    <row r="24" spans="1:7">
      <c r="D24" s="558"/>
    </row>
  </sheetData>
  <sheetProtection password="CC6F" sheet="1" formatColumns="0" formatRows="0" selectLockedCells="1"/>
  <customSheetViews>
    <customSheetView guid="{027A88A6-1BB1-46D4-AC44-9DCFC13F5D7E}" scale="115" showGridLines="0" printArea="1" hiddenRows="1" hiddenColumns="1" view="pageBreakPreview">
      <selection activeCell="E22" sqref="E22"/>
      <pageMargins left="0.75" right="0.75" top="0.69" bottom="0.7" header="0.4" footer="0.37"/>
      <pageSetup scale="86" orientation="portrait" r:id="rId1"/>
      <headerFooter alignWithMargins="0"/>
    </customSheetView>
    <customSheetView guid="{889C3D82-0A24-4765-A688-A80A782F5056}" scale="115" showGridLines="0" printArea="1" hiddenRows="1" hiddenColumns="1" view="pageBreakPreview">
      <selection activeCell="C6" sqref="C6:F6"/>
      <pageMargins left="0.75" right="0.75" top="0.69" bottom="0.7" header="0.4" footer="0.37"/>
      <pageSetup scale="86" orientation="portrait" r:id="rId2"/>
      <headerFooter alignWithMargins="0"/>
    </customSheetView>
    <customSheetView guid="{A58DB4DF-40C7-4BEB-B85E-6BD6F54941CF}"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4"/>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5"/>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6"/>
      <headerFooter alignWithMargins="0"/>
    </customSheetView>
    <customSheetView guid="{63D51328-7CBC-4A1E-B96D-BAE91416501B}" showGridLines="0" printArea="1" hiddenRows="1" view="pageBreakPreview">
      <selection activeCell="D24" sqref="D24"/>
      <pageMargins left="0.75" right="0.75" top="0.69" bottom="0.7" header="0.4" footer="0.37"/>
      <pageSetup scale="86" orientation="portrait" r:id="rId7"/>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8"/>
      <headerFooter alignWithMargins="0"/>
    </customSheetView>
    <customSheetView guid="{CCA37BAE-906F-43D5-9FD9-B13563E4B9D7}" showGridLines="0" printArea="1" hiddenRows="1" hiddenColumns="1" view="pageBreakPreview">
      <selection activeCell="F27" sqref="F27"/>
      <pageMargins left="0.75" right="0.75" top="0.69" bottom="0.7" header="0.4" footer="0.37"/>
      <pageSetup scale="86" orientation="portrait" r:id="rId9"/>
      <headerFooter alignWithMargins="0"/>
    </customSheetView>
    <customSheetView guid="{18EA11B4-BD82-47BF-99FA-7AB19BF74D0B}" showGridLines="0" printArea="1" hiddenRows="1" hiddenColumns="1" view="pageBreakPreview" topLeftCell="A7">
      <selection activeCell="D7" sqref="D7:G7"/>
      <pageMargins left="0.75" right="0.75" top="0.69" bottom="0.7" header="0.4" footer="0.37"/>
      <pageSetup scale="86" orientation="portrait" r:id="rId10"/>
      <headerFooter alignWithMargins="0"/>
    </customSheetView>
    <customSheetView guid="{915C64AD-BD67-44F0-9117-5B9D998BA799}" showGridLines="0" printArea="1" hiddenRows="1" hiddenColumns="1" view="pageBreakPreview">
      <selection activeCell="D6" sqref="D6:G6"/>
      <pageMargins left="0.75" right="0.75" top="0.69" bottom="0.7" header="0.4" footer="0.37"/>
      <pageSetup scale="86" orientation="portrait" r:id="rId11"/>
      <headerFooter alignWithMargins="0"/>
    </customSheetView>
    <customSheetView guid="{DACD165C-CB59-4178-94BC-16705741C7B8}" scale="115" showGridLines="0" printArea="1" hiddenRows="1" hiddenColumns="1" view="pageBreakPreview">
      <selection activeCell="C6" sqref="C6:F6"/>
      <pageMargins left="0.75" right="0.75" top="0.69" bottom="0.7" header="0.4" footer="0.37"/>
      <pageSetup scale="86" orientation="portrait" r:id="rId12"/>
      <headerFooter alignWithMargins="0"/>
    </customSheetView>
  </customSheetViews>
  <mergeCells count="17">
    <mergeCell ref="C23:F23"/>
    <mergeCell ref="C17:F17"/>
    <mergeCell ref="C20:F20"/>
    <mergeCell ref="C16:F16"/>
    <mergeCell ref="C11:F11"/>
    <mergeCell ref="C12:F12"/>
    <mergeCell ref="C14:F14"/>
    <mergeCell ref="C15:F15"/>
    <mergeCell ref="C19:F19"/>
    <mergeCell ref="C9:F9"/>
    <mergeCell ref="C10:F10"/>
    <mergeCell ref="A1:F1"/>
    <mergeCell ref="A2:F2"/>
    <mergeCell ref="A4:F4"/>
    <mergeCell ref="C6:F6"/>
    <mergeCell ref="C7:F7"/>
    <mergeCell ref="A6:B6"/>
  </mergeCells>
  <conditionalFormatting sqref="A14:B17">
    <cfRule type="expression" dxfId="19" priority="3" stopIfTrue="1">
      <formula>$Z$6&lt;2</formula>
    </cfRule>
  </conditionalFormatting>
  <conditionalFormatting sqref="A7:F7">
    <cfRule type="expression" dxfId="18" priority="5" stopIfTrue="1">
      <formula>$C$6="Sole Bidder"</formula>
    </cfRule>
  </conditionalFormatting>
  <conditionalFormatting sqref="C14:F17">
    <cfRule type="expression" dxfId="17" priority="1" stopIfTrue="1">
      <formula>$Z$6&lt;2</formula>
    </cfRule>
  </conditionalFormatting>
  <dataValidations count="5">
    <dataValidation type="list" allowBlank="1" showInputMessage="1" showErrorMessage="1" sqref="E22" xr:uid="{00000000-0002-0000-0300-000000000000}">
      <formula1>"2021,2022"</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$AA$3</formula1>
    </dataValidation>
    <dataValidation type="list" allowBlank="1" showInputMessage="1" showErrorMessage="1" sqref="C6:F6" xr:uid="{00000000-0002-0000-0300-000004000000}">
      <formula1>$Z$2</formula1>
    </dataValidation>
  </dataValidations>
  <pageMargins left="0.75" right="0.75" top="0.69" bottom="0.7" header="0.4" footer="0.37"/>
  <pageSetup scale="86" orientation="portrait" r:id="rId13"/>
  <headerFooter alignWithMargins="0"/>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253"/>
  <sheetViews>
    <sheetView view="pageBreakPreview" topLeftCell="A193" zoomScale="60" zoomScaleNormal="92" workbookViewId="0">
      <selection activeCell="G212" sqref="G212"/>
    </sheetView>
  </sheetViews>
  <sheetFormatPr defaultColWidth="9.109375" defaultRowHeight="15.6"/>
  <cols>
    <col min="1" max="1" width="4.6640625" style="470" customWidth="1"/>
    <col min="2" max="2" width="18.6640625" style="470" customWidth="1"/>
    <col min="3" max="3" width="8.5546875" style="470" customWidth="1"/>
    <col min="4" max="4" width="29.5546875" style="718" customWidth="1"/>
    <col min="5" max="5" width="23.33203125" style="470" customWidth="1"/>
    <col min="6" max="6" width="13" style="470" customWidth="1"/>
    <col min="7" max="7" width="21.88671875" style="470" customWidth="1"/>
    <col min="8" max="8" width="12.44140625" style="534" customWidth="1"/>
    <col min="9" max="9" width="20.6640625" style="470" customWidth="1"/>
    <col min="10" max="10" width="119.5546875" style="718" customWidth="1"/>
    <col min="11" max="11" width="7.109375" style="470" customWidth="1"/>
    <col min="12" max="12" width="9" style="470" customWidth="1"/>
    <col min="13" max="13" width="16.6640625" style="470" customWidth="1"/>
    <col min="14" max="14" width="21.33203125" style="470" customWidth="1"/>
    <col min="15" max="15" width="14" style="470" hidden="1" customWidth="1"/>
    <col min="16" max="16" width="14.88671875" style="470" hidden="1" customWidth="1"/>
    <col min="17" max="17" width="13" style="470" hidden="1" customWidth="1"/>
    <col min="18" max="18" width="20.109375" style="470" hidden="1" customWidth="1"/>
    <col min="19" max="19" width="16.109375" style="470" hidden="1" customWidth="1"/>
    <col min="20" max="20" width="15" style="470" hidden="1" customWidth="1"/>
    <col min="21" max="23" width="9.109375" style="470" customWidth="1"/>
    <col min="24" max="37" width="9.109375" style="470" hidden="1" customWidth="1"/>
    <col min="38" max="38" width="0.33203125" style="470" customWidth="1"/>
    <col min="39" max="44" width="9.109375" style="470" customWidth="1"/>
    <col min="45" max="16384" width="9.109375" style="470"/>
  </cols>
  <sheetData>
    <row r="1" spans="1:256" ht="22.5" customHeight="1">
      <c r="A1" s="731" t="str">
        <f>Basic!B5</f>
        <v>Specification No. : 5002002268/TOWER/DOM/A00 - CC CS -1</v>
      </c>
      <c r="B1" s="6"/>
      <c r="C1" s="6"/>
      <c r="D1" s="417"/>
      <c r="E1" s="6"/>
      <c r="F1" s="6"/>
      <c r="G1" s="6"/>
      <c r="H1" s="6"/>
      <c r="I1" s="6"/>
      <c r="J1" s="732"/>
      <c r="K1" s="6"/>
      <c r="L1" s="6"/>
      <c r="M1" s="6"/>
      <c r="N1" s="6" t="s">
        <v>464</v>
      </c>
    </row>
    <row r="2" spans="1:256">
      <c r="A2" s="4"/>
      <c r="B2" s="4"/>
      <c r="C2" s="4"/>
      <c r="D2" s="347"/>
      <c r="E2" s="4"/>
      <c r="F2" s="4"/>
      <c r="G2" s="4"/>
      <c r="H2" s="4"/>
      <c r="I2" s="4"/>
      <c r="J2" s="347"/>
      <c r="K2" s="4"/>
      <c r="L2" s="4"/>
      <c r="M2" s="4"/>
      <c r="N2" s="4"/>
    </row>
    <row r="3" spans="1:256" ht="88.5" customHeight="1">
      <c r="A3" s="811" t="str">
        <f>Cover!$B$2</f>
        <v>Transmission Line Tower Package-TW01 including Design &amp; Testing of towers, Design of foundation, Supply of HTLS conductor, Composite long rod insulators, Earthwire/OPGW, Hardware Fittings, Accessories for Conductor &amp; Earthwire for M/C portion of (i) 400 kV D/C (Twin HTLS) Navasari (New) (South Gujarat)-Kala line and (ii) 400 kV D/C (Twin HTLS) Navasari (New) (South Gujarat)-Magarwada line and for D/C portion of (i) 400 kV D/C (twin HTLS) Navasari (New) (South Gujarat)-Kala line (From M/c line common point near Magarwada SS to Kala SS) associated with Transmission Network Expansion in Gujarat to increase its ATC from ISTS: Part B.</v>
      </c>
      <c r="B3" s="811"/>
      <c r="C3" s="811"/>
      <c r="D3" s="811"/>
      <c r="E3" s="811"/>
      <c r="F3" s="811"/>
      <c r="G3" s="811"/>
      <c r="H3" s="811"/>
      <c r="I3" s="811"/>
      <c r="J3" s="811"/>
      <c r="K3" s="811"/>
      <c r="L3" s="811"/>
      <c r="M3" s="811"/>
      <c r="N3" s="811"/>
    </row>
    <row r="4" spans="1:256">
      <c r="A4" s="812" t="s">
        <v>0</v>
      </c>
      <c r="B4" s="812"/>
      <c r="C4" s="812"/>
      <c r="D4" s="812"/>
      <c r="E4" s="812"/>
      <c r="F4" s="812"/>
      <c r="G4" s="812"/>
      <c r="H4" s="812"/>
      <c r="I4" s="812"/>
      <c r="J4" s="812"/>
      <c r="K4" s="812"/>
      <c r="L4" s="812"/>
      <c r="M4" s="812"/>
      <c r="N4" s="812"/>
    </row>
    <row r="5" spans="1:256" s="586" customFormat="1" ht="27" customHeight="1">
      <c r="A5" s="585"/>
      <c r="B5" s="585"/>
      <c r="C5" s="585"/>
      <c r="D5" s="585"/>
      <c r="E5" s="585"/>
      <c r="F5" s="585"/>
      <c r="G5" s="585"/>
      <c r="H5" s="585"/>
      <c r="I5" s="585"/>
      <c r="J5" s="585"/>
      <c r="K5" s="585"/>
      <c r="L5" s="585"/>
      <c r="M5" s="585"/>
      <c r="N5" s="585"/>
    </row>
    <row r="6" spans="1:256" ht="23.25" customHeight="1">
      <c r="A6" s="813" t="s">
        <v>339</v>
      </c>
      <c r="B6" s="813"/>
      <c r="C6" s="4"/>
      <c r="D6" s="347"/>
      <c r="E6" s="4"/>
      <c r="F6" s="4"/>
      <c r="G6" s="4"/>
      <c r="H6" s="4"/>
      <c r="I6" s="4"/>
      <c r="J6" s="347"/>
      <c r="K6" s="4"/>
      <c r="L6" s="4"/>
      <c r="M6" s="4"/>
      <c r="N6" s="4"/>
    </row>
    <row r="7" spans="1:256" ht="24" customHeight="1">
      <c r="A7" s="818">
        <f>IF(Z7=1,Z8,"JOINT VENTURE OF "&amp;Z8&amp;" &amp; "&amp;Z9)</f>
        <v>0</v>
      </c>
      <c r="B7" s="818"/>
      <c r="C7" s="818"/>
      <c r="D7" s="818"/>
      <c r="E7" s="818"/>
      <c r="F7" s="818"/>
      <c r="G7" s="818"/>
      <c r="H7" s="818"/>
      <c r="I7" s="818"/>
      <c r="J7" s="402"/>
      <c r="K7" s="451" t="s">
        <v>1</v>
      </c>
      <c r="L7" s="401"/>
      <c r="N7" s="4"/>
      <c r="Z7" s="534">
        <f>'Names of Bidder'!J6</f>
        <v>1</v>
      </c>
    </row>
    <row r="8" spans="1:256" ht="24" customHeight="1">
      <c r="A8" s="814" t="str">
        <f>"Bidder’s Name and Address  (" &amp; MID('Names of Bidder'!A9,9, 20) &amp; ") :"</f>
        <v>Bidder’s Name and Address  (Sole Bidder) :</v>
      </c>
      <c r="B8" s="814"/>
      <c r="C8" s="814"/>
      <c r="D8" s="814"/>
      <c r="E8" s="814"/>
      <c r="F8" s="814"/>
      <c r="G8" s="814"/>
      <c r="H8" s="541"/>
      <c r="I8" s="541"/>
      <c r="J8" s="541"/>
      <c r="K8" s="452" t="s">
        <v>2</v>
      </c>
      <c r="L8" s="541"/>
      <c r="N8" s="4"/>
      <c r="U8" s="531"/>
      <c r="Z8" s="820">
        <f>'Names of Bidder'!C9</f>
        <v>0</v>
      </c>
      <c r="AA8" s="820"/>
      <c r="AB8" s="820"/>
      <c r="AC8" s="820"/>
      <c r="AD8" s="820"/>
      <c r="AE8" s="820"/>
      <c r="AF8" s="820"/>
      <c r="AG8" s="820"/>
      <c r="AH8" s="820"/>
      <c r="AI8" s="820"/>
      <c r="AJ8" s="820"/>
      <c r="AK8" s="820"/>
      <c r="AL8" s="820"/>
    </row>
    <row r="9" spans="1:256" ht="24" customHeight="1">
      <c r="A9" s="457" t="s">
        <v>12</v>
      </c>
      <c r="B9" s="403"/>
      <c r="C9" s="817" t="str">
        <f>IF('Names of Bidder'!C9=0, "", 'Names of Bidder'!C9)</f>
        <v/>
      </c>
      <c r="D9" s="817"/>
      <c r="E9" s="817"/>
      <c r="F9" s="817"/>
      <c r="G9" s="817"/>
      <c r="H9" s="440"/>
      <c r="I9" s="404"/>
      <c r="J9" s="405"/>
      <c r="K9" s="452" t="s">
        <v>3</v>
      </c>
      <c r="N9" s="4"/>
      <c r="U9" s="531"/>
      <c r="Z9" s="820" t="e">
        <f>'Names of Bidder'!#REF!</f>
        <v>#REF!</v>
      </c>
      <c r="AA9" s="820"/>
      <c r="AB9" s="820"/>
      <c r="AC9" s="820"/>
      <c r="AD9" s="820"/>
      <c r="AE9" s="820"/>
      <c r="AF9" s="820"/>
      <c r="AG9" s="820"/>
      <c r="AH9" s="820"/>
      <c r="AI9" s="820"/>
      <c r="AJ9" s="820"/>
      <c r="AK9" s="820"/>
      <c r="AL9" s="820"/>
    </row>
    <row r="10" spans="1:256" ht="24" customHeight="1">
      <c r="A10" s="457" t="s">
        <v>11</v>
      </c>
      <c r="B10" s="403"/>
      <c r="C10" s="816" t="str">
        <f>IF('Names of Bidder'!C10=0, "", 'Names of Bidder'!C10)</f>
        <v/>
      </c>
      <c r="D10" s="816"/>
      <c r="E10" s="816"/>
      <c r="F10" s="816"/>
      <c r="G10" s="816"/>
      <c r="H10" s="440"/>
      <c r="I10" s="404"/>
      <c r="J10" s="405"/>
      <c r="K10" s="452" t="s">
        <v>4</v>
      </c>
      <c r="N10" s="4"/>
      <c r="Z10" s="820" t="e">
        <f>"JOINT VENTURE OF "&amp;Z8&amp;" &amp; "&amp;Z9</f>
        <v>#REF!</v>
      </c>
      <c r="AA10" s="820"/>
      <c r="AB10" s="820"/>
      <c r="AC10" s="820"/>
      <c r="AD10" s="820"/>
      <c r="AE10" s="820"/>
      <c r="AF10" s="820"/>
      <c r="AG10" s="820"/>
      <c r="AH10" s="820"/>
      <c r="AI10" s="820"/>
      <c r="AJ10" s="820"/>
      <c r="AK10" s="820"/>
      <c r="AL10" s="820"/>
    </row>
    <row r="11" spans="1:256" ht="24" customHeight="1">
      <c r="A11" s="404"/>
      <c r="B11" s="404"/>
      <c r="C11" s="816" t="str">
        <f>IF('Names of Bidder'!C11=0, "", 'Names of Bidder'!C11)</f>
        <v/>
      </c>
      <c r="D11" s="816"/>
      <c r="E11" s="816"/>
      <c r="F11" s="816"/>
      <c r="G11" s="816"/>
      <c r="H11" s="440"/>
      <c r="I11" s="404"/>
      <c r="J11" s="405"/>
      <c r="K11" s="452" t="s">
        <v>5</v>
      </c>
      <c r="N11" s="4"/>
    </row>
    <row r="12" spans="1:256" ht="24" customHeight="1">
      <c r="A12" s="404"/>
      <c r="B12" s="404"/>
      <c r="C12" s="816" t="str">
        <f>IF('Names of Bidder'!C12=0, "", 'Names of Bidder'!C12)</f>
        <v/>
      </c>
      <c r="D12" s="816"/>
      <c r="E12" s="816"/>
      <c r="F12" s="816"/>
      <c r="G12" s="816"/>
      <c r="H12" s="440"/>
      <c r="I12" s="404"/>
      <c r="J12" s="405"/>
      <c r="K12" s="452" t="s">
        <v>6</v>
      </c>
      <c r="N12" s="4"/>
    </row>
    <row r="13" spans="1:256" s="532" customFormat="1" ht="26.25" customHeight="1">
      <c r="A13" s="819" t="s">
        <v>299</v>
      </c>
      <c r="B13" s="819"/>
      <c r="C13" s="819"/>
      <c r="D13" s="819"/>
      <c r="E13" s="819"/>
      <c r="F13" s="819"/>
      <c r="G13" s="819"/>
      <c r="H13" s="819"/>
      <c r="I13" s="819"/>
      <c r="J13" s="819"/>
      <c r="K13" s="819"/>
      <c r="L13" s="819"/>
      <c r="M13" s="819"/>
      <c r="N13" s="819"/>
    </row>
    <row r="14" spans="1:256" ht="15.75" customHeight="1">
      <c r="A14" s="4"/>
      <c r="B14" s="4"/>
      <c r="C14" s="4"/>
      <c r="D14" s="347"/>
      <c r="E14" s="4"/>
      <c r="F14" s="4"/>
      <c r="G14" s="4"/>
      <c r="H14" s="4"/>
      <c r="I14" s="4"/>
      <c r="J14" s="347"/>
      <c r="K14" s="815" t="s">
        <v>344</v>
      </c>
      <c r="L14" s="815"/>
      <c r="M14" s="815"/>
      <c r="N14" s="815"/>
    </row>
    <row r="15" spans="1:256" ht="122.25" customHeight="1">
      <c r="A15" s="386" t="s">
        <v>7</v>
      </c>
      <c r="B15" s="386" t="s">
        <v>260</v>
      </c>
      <c r="C15" s="386" t="s">
        <v>272</v>
      </c>
      <c r="D15" s="386" t="s">
        <v>274</v>
      </c>
      <c r="E15" s="386" t="s">
        <v>13</v>
      </c>
      <c r="F15" s="386" t="s">
        <v>300</v>
      </c>
      <c r="G15" s="438" t="s">
        <v>303</v>
      </c>
      <c r="H15" s="386" t="s">
        <v>306</v>
      </c>
      <c r="I15" s="439" t="s">
        <v>304</v>
      </c>
      <c r="J15" s="386" t="s">
        <v>8</v>
      </c>
      <c r="K15" s="16" t="s">
        <v>9</v>
      </c>
      <c r="L15" s="16" t="s">
        <v>10</v>
      </c>
      <c r="M15" s="386" t="s">
        <v>343</v>
      </c>
      <c r="N15" s="386" t="s">
        <v>342</v>
      </c>
    </row>
    <row r="16" spans="1:256" s="599" customFormat="1" ht="16.2">
      <c r="A16" s="595">
        <v>1</v>
      </c>
      <c r="B16" s="595">
        <v>2</v>
      </c>
      <c r="C16" s="595">
        <v>3</v>
      </c>
      <c r="D16" s="596">
        <v>4</v>
      </c>
      <c r="E16" s="595">
        <v>5</v>
      </c>
      <c r="F16" s="595">
        <v>6</v>
      </c>
      <c r="G16" s="597">
        <v>7</v>
      </c>
      <c r="H16" s="595">
        <v>8</v>
      </c>
      <c r="I16" s="598">
        <v>9</v>
      </c>
      <c r="J16" s="596">
        <v>10</v>
      </c>
      <c r="K16" s="595">
        <v>11</v>
      </c>
      <c r="L16" s="595">
        <v>12</v>
      </c>
      <c r="M16" s="595">
        <v>13</v>
      </c>
      <c r="N16" s="595" t="s">
        <v>341</v>
      </c>
      <c r="IV16" s="599">
        <f>SUM(A16:IU16)</f>
        <v>91</v>
      </c>
    </row>
    <row r="17" spans="1:20" s="599" customFormat="1" ht="16.2">
      <c r="A17" s="745"/>
      <c r="B17" s="829" t="s">
        <v>534</v>
      </c>
      <c r="C17" s="830"/>
      <c r="D17" s="831"/>
      <c r="E17" s="746"/>
      <c r="F17" s="746"/>
      <c r="G17" s="747"/>
      <c r="H17" s="746"/>
      <c r="I17" s="748"/>
      <c r="J17" s="749"/>
      <c r="K17" s="746"/>
      <c r="L17" s="746"/>
      <c r="M17" s="745"/>
      <c r="N17" s="746"/>
    </row>
    <row r="18" spans="1:20" ht="62.4">
      <c r="A18" s="528">
        <v>1</v>
      </c>
      <c r="B18" s="538">
        <v>7000016865</v>
      </c>
      <c r="C18" s="538">
        <v>10</v>
      </c>
      <c r="D18" s="538" t="s">
        <v>535</v>
      </c>
      <c r="E18" s="538">
        <v>1000059510</v>
      </c>
      <c r="F18" s="538">
        <v>73082011</v>
      </c>
      <c r="G18" s="529"/>
      <c r="H18" s="538">
        <v>18</v>
      </c>
      <c r="I18" s="527"/>
      <c r="J18" s="530" t="s">
        <v>546</v>
      </c>
      <c r="K18" s="538" t="s">
        <v>476</v>
      </c>
      <c r="L18" s="538">
        <v>28</v>
      </c>
      <c r="M18" s="742"/>
      <c r="N18" s="540" t="str">
        <f>IF(M18=0, "INCLUDED", IF(ISERROR(M18*L18), M18, M18*L18))</f>
        <v>INCLUDED</v>
      </c>
      <c r="O18" s="623">
        <f>IF(N18="Included",0,N18)</f>
        <v>0</v>
      </c>
      <c r="P18" s="623">
        <f>IF( I18="",H18*(IF(N18="Included",0,N18))/100,I18*(IF(N18="Included",0,N18)))</f>
        <v>0</v>
      </c>
      <c r="Q18" s="628">
        <f>Discount!$H$36</f>
        <v>0</v>
      </c>
      <c r="R18" s="628">
        <f>Q18*O18</f>
        <v>0</v>
      </c>
      <c r="S18" s="628">
        <f>IF(I18="",H18*R18/100,I18*R18)</f>
        <v>0</v>
      </c>
      <c r="T18" s="739">
        <f>M18*L18</f>
        <v>0</v>
      </c>
    </row>
    <row r="19" spans="1:20" ht="62.4">
      <c r="A19" s="454">
        <v>2</v>
      </c>
      <c r="B19" s="538">
        <v>7000016865</v>
      </c>
      <c r="C19" s="538">
        <v>20</v>
      </c>
      <c r="D19" s="538" t="s">
        <v>535</v>
      </c>
      <c r="E19" s="538">
        <v>1000059511</v>
      </c>
      <c r="F19" s="538">
        <v>73082011</v>
      </c>
      <c r="G19" s="529"/>
      <c r="H19" s="538">
        <v>18</v>
      </c>
      <c r="I19" s="527"/>
      <c r="J19" s="530" t="s">
        <v>547</v>
      </c>
      <c r="K19" s="538" t="s">
        <v>476</v>
      </c>
      <c r="L19" s="538">
        <v>4</v>
      </c>
      <c r="M19" s="742"/>
      <c r="N19" s="540" t="str">
        <f t="shared" ref="N19:N57" si="0">IF(M19=0, "INCLUDED", IF(ISERROR(M19*L19), M19, M19*L19))</f>
        <v>INCLUDED</v>
      </c>
      <c r="O19" s="623">
        <f>IF(N19="Included",0,N19)</f>
        <v>0</v>
      </c>
      <c r="P19" s="623">
        <f>IF( I19="",H19*(IF(N19="Included",0,N19))/100,I19*(IF(N19="Included",0,N19)))</f>
        <v>0</v>
      </c>
      <c r="Q19" s="623">
        <f>Discount!$H$36</f>
        <v>0</v>
      </c>
      <c r="R19" s="628">
        <f>Q19*O19</f>
        <v>0</v>
      </c>
      <c r="S19" s="628">
        <f>IF(I19="",H19*R19/100,I19*R19)</f>
        <v>0</v>
      </c>
      <c r="T19" s="739">
        <f t="shared" ref="T19:T157" si="1">M19*L19</f>
        <v>0</v>
      </c>
    </row>
    <row r="20" spans="1:20" ht="62.4">
      <c r="A20" s="528">
        <v>3</v>
      </c>
      <c r="B20" s="538">
        <v>7000016865</v>
      </c>
      <c r="C20" s="538">
        <v>30</v>
      </c>
      <c r="D20" s="538" t="s">
        <v>535</v>
      </c>
      <c r="E20" s="538">
        <v>1000059512</v>
      </c>
      <c r="F20" s="538">
        <v>73082011</v>
      </c>
      <c r="G20" s="529"/>
      <c r="H20" s="538">
        <v>18</v>
      </c>
      <c r="I20" s="527"/>
      <c r="J20" s="530" t="s">
        <v>548</v>
      </c>
      <c r="K20" s="538" t="s">
        <v>476</v>
      </c>
      <c r="L20" s="538">
        <v>12</v>
      </c>
      <c r="M20" s="742"/>
      <c r="N20" s="540" t="str">
        <f t="shared" si="0"/>
        <v>INCLUDED</v>
      </c>
      <c r="O20" s="623">
        <f>IF(N20="Included",0,N20)</f>
        <v>0</v>
      </c>
      <c r="P20" s="623">
        <f>IF( I20="",H20*(IF(N20="Included",0,N20))/100,I20*(IF(N20="Included",0,N20)))</f>
        <v>0</v>
      </c>
      <c r="Q20" s="623">
        <f>Discount!$H$36</f>
        <v>0</v>
      </c>
      <c r="R20" s="628">
        <f>Q20*O20</f>
        <v>0</v>
      </c>
      <c r="S20" s="628">
        <f>IF(I20="",H20*R20/100,I20*R20)</f>
        <v>0</v>
      </c>
      <c r="T20" s="739">
        <f t="shared" si="1"/>
        <v>0</v>
      </c>
    </row>
    <row r="21" spans="1:20" ht="62.4">
      <c r="A21" s="454">
        <v>4</v>
      </c>
      <c r="B21" s="538">
        <v>7000016865</v>
      </c>
      <c r="C21" s="538">
        <v>40</v>
      </c>
      <c r="D21" s="538" t="s">
        <v>535</v>
      </c>
      <c r="E21" s="538">
        <v>1000059513</v>
      </c>
      <c r="F21" s="538">
        <v>73082011</v>
      </c>
      <c r="G21" s="529"/>
      <c r="H21" s="538">
        <v>18</v>
      </c>
      <c r="I21" s="527"/>
      <c r="J21" s="530" t="s">
        <v>549</v>
      </c>
      <c r="K21" s="538" t="s">
        <v>476</v>
      </c>
      <c r="L21" s="538">
        <v>48</v>
      </c>
      <c r="M21" s="742"/>
      <c r="N21" s="540" t="str">
        <f t="shared" si="0"/>
        <v>INCLUDED</v>
      </c>
      <c r="O21" s="623">
        <f>IF(N21="Included",0,N21)</f>
        <v>0</v>
      </c>
      <c r="P21" s="623">
        <f>IF( I21="",H21*(IF(N21="Included",0,N21))/100,I21*(IF(N21="Included",0,N21)))</f>
        <v>0</v>
      </c>
      <c r="Q21" s="623">
        <f>Discount!$H$36</f>
        <v>0</v>
      </c>
      <c r="R21" s="628">
        <f>Q21*O21</f>
        <v>0</v>
      </c>
      <c r="S21" s="628">
        <f>IF(I21="",H21*R21/100,I21*R21)</f>
        <v>0</v>
      </c>
      <c r="T21" s="739">
        <f t="shared" si="1"/>
        <v>0</v>
      </c>
    </row>
    <row r="22" spans="1:20" ht="62.4">
      <c r="A22" s="528">
        <v>5</v>
      </c>
      <c r="B22" s="538">
        <v>7000016865</v>
      </c>
      <c r="C22" s="538">
        <v>50</v>
      </c>
      <c r="D22" s="538" t="s">
        <v>535</v>
      </c>
      <c r="E22" s="538">
        <v>1000059519</v>
      </c>
      <c r="F22" s="538">
        <v>73082011</v>
      </c>
      <c r="G22" s="529"/>
      <c r="H22" s="538">
        <v>18</v>
      </c>
      <c r="I22" s="527"/>
      <c r="J22" s="530" t="s">
        <v>550</v>
      </c>
      <c r="K22" s="538" t="s">
        <v>476</v>
      </c>
      <c r="L22" s="538">
        <v>1</v>
      </c>
      <c r="M22" s="742"/>
      <c r="N22" s="540" t="str">
        <f t="shared" si="0"/>
        <v>INCLUDED</v>
      </c>
      <c r="O22" s="623">
        <f t="shared" ref="O22:O57" si="2">IF(N22="Included",0,N22)</f>
        <v>0</v>
      </c>
      <c r="P22" s="623">
        <f t="shared" ref="P22:P57" si="3">IF( I22="",H22*(IF(N22="Included",0,N22))/100,I22*(IF(N22="Included",0,N22)))</f>
        <v>0</v>
      </c>
      <c r="Q22" s="623">
        <f>Discount!$H$36</f>
        <v>0</v>
      </c>
      <c r="R22" s="628">
        <f t="shared" ref="R22:R57" si="4">Q22*O22</f>
        <v>0</v>
      </c>
      <c r="S22" s="628">
        <f t="shared" ref="S22:S57" si="5">IF(I22="",H22*R22/100,I22*R22)</f>
        <v>0</v>
      </c>
      <c r="T22" s="739">
        <f t="shared" si="1"/>
        <v>0</v>
      </c>
    </row>
    <row r="23" spans="1:20" ht="62.4">
      <c r="A23" s="454">
        <v>6</v>
      </c>
      <c r="B23" s="538">
        <v>7000016865</v>
      </c>
      <c r="C23" s="538">
        <v>60</v>
      </c>
      <c r="D23" s="538" t="s">
        <v>535</v>
      </c>
      <c r="E23" s="538">
        <v>1000059520</v>
      </c>
      <c r="F23" s="538">
        <v>73082011</v>
      </c>
      <c r="G23" s="529"/>
      <c r="H23" s="538">
        <v>18</v>
      </c>
      <c r="I23" s="527"/>
      <c r="J23" s="530" t="s">
        <v>551</v>
      </c>
      <c r="K23" s="538" t="s">
        <v>476</v>
      </c>
      <c r="L23" s="538">
        <v>3</v>
      </c>
      <c r="M23" s="742"/>
      <c r="N23" s="540" t="str">
        <f t="shared" si="0"/>
        <v>INCLUDED</v>
      </c>
      <c r="O23" s="623">
        <f t="shared" si="2"/>
        <v>0</v>
      </c>
      <c r="P23" s="623">
        <f t="shared" si="3"/>
        <v>0</v>
      </c>
      <c r="Q23" s="623">
        <f>Discount!$H$36</f>
        <v>0</v>
      </c>
      <c r="R23" s="628">
        <f t="shared" si="4"/>
        <v>0</v>
      </c>
      <c r="S23" s="628">
        <f t="shared" si="5"/>
        <v>0</v>
      </c>
      <c r="T23" s="739">
        <f t="shared" si="1"/>
        <v>0</v>
      </c>
    </row>
    <row r="24" spans="1:20" ht="62.4">
      <c r="A24" s="528">
        <v>7</v>
      </c>
      <c r="B24" s="538">
        <v>7000016865</v>
      </c>
      <c r="C24" s="538">
        <v>70</v>
      </c>
      <c r="D24" s="538" t="s">
        <v>535</v>
      </c>
      <c r="E24" s="538">
        <v>1000059528</v>
      </c>
      <c r="F24" s="538">
        <v>73082011</v>
      </c>
      <c r="G24" s="529"/>
      <c r="H24" s="538">
        <v>18</v>
      </c>
      <c r="I24" s="527"/>
      <c r="J24" s="530" t="s">
        <v>552</v>
      </c>
      <c r="K24" s="538" t="s">
        <v>476</v>
      </c>
      <c r="L24" s="538">
        <v>4</v>
      </c>
      <c r="M24" s="742"/>
      <c r="N24" s="540" t="str">
        <f t="shared" si="0"/>
        <v>INCLUDED</v>
      </c>
      <c r="O24" s="623">
        <f t="shared" si="2"/>
        <v>0</v>
      </c>
      <c r="P24" s="623">
        <f t="shared" si="3"/>
        <v>0</v>
      </c>
      <c r="Q24" s="623">
        <f>Discount!$H$36</f>
        <v>0</v>
      </c>
      <c r="R24" s="628">
        <f t="shared" si="4"/>
        <v>0</v>
      </c>
      <c r="S24" s="628">
        <f t="shared" si="5"/>
        <v>0</v>
      </c>
      <c r="T24" s="739">
        <f t="shared" si="1"/>
        <v>0</v>
      </c>
    </row>
    <row r="25" spans="1:20" ht="62.4">
      <c r="A25" s="454">
        <v>8</v>
      </c>
      <c r="B25" s="538">
        <v>7000016865</v>
      </c>
      <c r="C25" s="538">
        <v>80</v>
      </c>
      <c r="D25" s="538" t="s">
        <v>535</v>
      </c>
      <c r="E25" s="538">
        <v>1000059529</v>
      </c>
      <c r="F25" s="538">
        <v>73082011</v>
      </c>
      <c r="G25" s="529"/>
      <c r="H25" s="538">
        <v>18</v>
      </c>
      <c r="I25" s="527"/>
      <c r="J25" s="530" t="s">
        <v>553</v>
      </c>
      <c r="K25" s="538" t="s">
        <v>476</v>
      </c>
      <c r="L25" s="538">
        <v>2</v>
      </c>
      <c r="M25" s="742"/>
      <c r="N25" s="540" t="str">
        <f t="shared" si="0"/>
        <v>INCLUDED</v>
      </c>
      <c r="O25" s="623">
        <f t="shared" si="2"/>
        <v>0</v>
      </c>
      <c r="P25" s="623">
        <f t="shared" si="3"/>
        <v>0</v>
      </c>
      <c r="Q25" s="623">
        <f>Discount!$H$36</f>
        <v>0</v>
      </c>
      <c r="R25" s="628">
        <f t="shared" si="4"/>
        <v>0</v>
      </c>
      <c r="S25" s="628">
        <f t="shared" si="5"/>
        <v>0</v>
      </c>
      <c r="T25" s="739">
        <f t="shared" si="1"/>
        <v>0</v>
      </c>
    </row>
    <row r="26" spans="1:20" ht="62.4">
      <c r="A26" s="528">
        <v>9</v>
      </c>
      <c r="B26" s="538">
        <v>7000016865</v>
      </c>
      <c r="C26" s="538">
        <v>90</v>
      </c>
      <c r="D26" s="538" t="s">
        <v>535</v>
      </c>
      <c r="E26" s="538">
        <v>1000059538</v>
      </c>
      <c r="F26" s="538">
        <v>73082011</v>
      </c>
      <c r="G26" s="529"/>
      <c r="H26" s="538">
        <v>18</v>
      </c>
      <c r="I26" s="527"/>
      <c r="J26" s="530" t="s">
        <v>554</v>
      </c>
      <c r="K26" s="538" t="s">
        <v>476</v>
      </c>
      <c r="L26" s="538">
        <v>4</v>
      </c>
      <c r="M26" s="742"/>
      <c r="N26" s="540" t="str">
        <f t="shared" si="0"/>
        <v>INCLUDED</v>
      </c>
      <c r="O26" s="623">
        <f t="shared" si="2"/>
        <v>0</v>
      </c>
      <c r="P26" s="623">
        <f t="shared" si="3"/>
        <v>0</v>
      </c>
      <c r="Q26" s="623">
        <f>Discount!$H$36</f>
        <v>0</v>
      </c>
      <c r="R26" s="628">
        <f t="shared" si="4"/>
        <v>0</v>
      </c>
      <c r="S26" s="628">
        <f t="shared" si="5"/>
        <v>0</v>
      </c>
      <c r="T26" s="739">
        <f t="shared" si="1"/>
        <v>0</v>
      </c>
    </row>
    <row r="27" spans="1:20" ht="62.4">
      <c r="A27" s="454">
        <v>10</v>
      </c>
      <c r="B27" s="538">
        <v>7000016865</v>
      </c>
      <c r="C27" s="538">
        <v>100</v>
      </c>
      <c r="D27" s="538" t="s">
        <v>535</v>
      </c>
      <c r="E27" s="538">
        <v>1000059539</v>
      </c>
      <c r="F27" s="538">
        <v>73082011</v>
      </c>
      <c r="G27" s="529"/>
      <c r="H27" s="538">
        <v>18</v>
      </c>
      <c r="I27" s="527"/>
      <c r="J27" s="530" t="s">
        <v>555</v>
      </c>
      <c r="K27" s="538" t="s">
        <v>476</v>
      </c>
      <c r="L27" s="538">
        <v>1</v>
      </c>
      <c r="M27" s="742"/>
      <c r="N27" s="540" t="str">
        <f t="shared" si="0"/>
        <v>INCLUDED</v>
      </c>
      <c r="O27" s="623">
        <f t="shared" si="2"/>
        <v>0</v>
      </c>
      <c r="P27" s="623">
        <f t="shared" si="3"/>
        <v>0</v>
      </c>
      <c r="Q27" s="623">
        <f>Discount!$H$36</f>
        <v>0</v>
      </c>
      <c r="R27" s="628">
        <f t="shared" si="4"/>
        <v>0</v>
      </c>
      <c r="S27" s="628">
        <f t="shared" si="5"/>
        <v>0</v>
      </c>
      <c r="T27" s="739">
        <f t="shared" si="1"/>
        <v>0</v>
      </c>
    </row>
    <row r="28" spans="1:20" ht="62.4">
      <c r="A28" s="528">
        <v>11</v>
      </c>
      <c r="B28" s="538">
        <v>7000016865</v>
      </c>
      <c r="C28" s="538">
        <v>110</v>
      </c>
      <c r="D28" s="538" t="s">
        <v>535</v>
      </c>
      <c r="E28" s="538">
        <v>1000059549</v>
      </c>
      <c r="F28" s="538">
        <v>73082011</v>
      </c>
      <c r="G28" s="529"/>
      <c r="H28" s="538">
        <v>18</v>
      </c>
      <c r="I28" s="527"/>
      <c r="J28" s="530" t="s">
        <v>556</v>
      </c>
      <c r="K28" s="538" t="s">
        <v>476</v>
      </c>
      <c r="L28" s="538">
        <v>3</v>
      </c>
      <c r="M28" s="742"/>
      <c r="N28" s="540" t="str">
        <f t="shared" si="0"/>
        <v>INCLUDED</v>
      </c>
      <c r="O28" s="623">
        <f t="shared" si="2"/>
        <v>0</v>
      </c>
      <c r="P28" s="623">
        <f t="shared" si="3"/>
        <v>0</v>
      </c>
      <c r="Q28" s="623">
        <f>Discount!$H$36</f>
        <v>0</v>
      </c>
      <c r="R28" s="628">
        <f t="shared" si="4"/>
        <v>0</v>
      </c>
      <c r="S28" s="628">
        <f t="shared" si="5"/>
        <v>0</v>
      </c>
      <c r="T28" s="739">
        <f t="shared" si="1"/>
        <v>0</v>
      </c>
    </row>
    <row r="29" spans="1:20" ht="62.4">
      <c r="A29" s="454">
        <v>12</v>
      </c>
      <c r="B29" s="538">
        <v>7000016865</v>
      </c>
      <c r="C29" s="538">
        <v>120</v>
      </c>
      <c r="D29" s="538" t="s">
        <v>535</v>
      </c>
      <c r="E29" s="538">
        <v>1000059544</v>
      </c>
      <c r="F29" s="538">
        <v>73082011</v>
      </c>
      <c r="G29" s="529"/>
      <c r="H29" s="538">
        <v>18</v>
      </c>
      <c r="I29" s="527"/>
      <c r="J29" s="530" t="s">
        <v>557</v>
      </c>
      <c r="K29" s="538" t="s">
        <v>476</v>
      </c>
      <c r="L29" s="538">
        <v>2</v>
      </c>
      <c r="M29" s="742"/>
      <c r="N29" s="540" t="str">
        <f t="shared" si="0"/>
        <v>INCLUDED</v>
      </c>
      <c r="O29" s="623">
        <f t="shared" si="2"/>
        <v>0</v>
      </c>
      <c r="P29" s="623">
        <f t="shared" si="3"/>
        <v>0</v>
      </c>
      <c r="Q29" s="623">
        <f>Discount!$H$36</f>
        <v>0</v>
      </c>
      <c r="R29" s="628">
        <f t="shared" si="4"/>
        <v>0</v>
      </c>
      <c r="S29" s="628">
        <f t="shared" si="5"/>
        <v>0</v>
      </c>
      <c r="T29" s="739">
        <f t="shared" si="1"/>
        <v>0</v>
      </c>
    </row>
    <row r="30" spans="1:20" ht="62.4">
      <c r="A30" s="528">
        <v>13</v>
      </c>
      <c r="B30" s="538">
        <v>7000016865</v>
      </c>
      <c r="C30" s="538">
        <v>130</v>
      </c>
      <c r="D30" s="538" t="s">
        <v>535</v>
      </c>
      <c r="E30" s="538">
        <v>1000059571</v>
      </c>
      <c r="F30" s="538">
        <v>73082011</v>
      </c>
      <c r="G30" s="529"/>
      <c r="H30" s="538">
        <v>18</v>
      </c>
      <c r="I30" s="527"/>
      <c r="J30" s="530" t="s">
        <v>558</v>
      </c>
      <c r="K30" s="538" t="s">
        <v>476</v>
      </c>
      <c r="L30" s="538">
        <v>42</v>
      </c>
      <c r="M30" s="742"/>
      <c r="N30" s="540" t="str">
        <f t="shared" si="0"/>
        <v>INCLUDED</v>
      </c>
      <c r="O30" s="623">
        <f t="shared" si="2"/>
        <v>0</v>
      </c>
      <c r="P30" s="623">
        <f t="shared" si="3"/>
        <v>0</v>
      </c>
      <c r="Q30" s="623">
        <f>Discount!$H$36</f>
        <v>0</v>
      </c>
      <c r="R30" s="628">
        <f t="shared" si="4"/>
        <v>0</v>
      </c>
      <c r="S30" s="628">
        <f t="shared" si="5"/>
        <v>0</v>
      </c>
      <c r="T30" s="739">
        <f t="shared" si="1"/>
        <v>0</v>
      </c>
    </row>
    <row r="31" spans="1:20" ht="62.4">
      <c r="A31" s="454">
        <v>14</v>
      </c>
      <c r="B31" s="538">
        <v>7000016865</v>
      </c>
      <c r="C31" s="538">
        <v>140</v>
      </c>
      <c r="D31" s="538" t="s">
        <v>535</v>
      </c>
      <c r="E31" s="538">
        <v>1000059574</v>
      </c>
      <c r="F31" s="538">
        <v>73082011</v>
      </c>
      <c r="G31" s="529"/>
      <c r="H31" s="538">
        <v>18</v>
      </c>
      <c r="I31" s="527"/>
      <c r="J31" s="530" t="s">
        <v>559</v>
      </c>
      <c r="K31" s="538" t="s">
        <v>476</v>
      </c>
      <c r="L31" s="538">
        <v>4</v>
      </c>
      <c r="M31" s="742"/>
      <c r="N31" s="540" t="str">
        <f t="shared" si="0"/>
        <v>INCLUDED</v>
      </c>
      <c r="O31" s="623">
        <f t="shared" si="2"/>
        <v>0</v>
      </c>
      <c r="P31" s="623">
        <f t="shared" si="3"/>
        <v>0</v>
      </c>
      <c r="Q31" s="623">
        <f>Discount!$H$36</f>
        <v>0</v>
      </c>
      <c r="R31" s="628">
        <f t="shared" si="4"/>
        <v>0</v>
      </c>
      <c r="S31" s="628">
        <f t="shared" si="5"/>
        <v>0</v>
      </c>
      <c r="T31" s="739">
        <f t="shared" si="1"/>
        <v>0</v>
      </c>
    </row>
    <row r="32" spans="1:20" ht="62.4">
      <c r="A32" s="528">
        <v>15</v>
      </c>
      <c r="B32" s="538">
        <v>7000016865</v>
      </c>
      <c r="C32" s="538">
        <v>150</v>
      </c>
      <c r="D32" s="538" t="s">
        <v>535</v>
      </c>
      <c r="E32" s="538">
        <v>1000059577</v>
      </c>
      <c r="F32" s="538">
        <v>73082011</v>
      </c>
      <c r="G32" s="529"/>
      <c r="H32" s="538">
        <v>18</v>
      </c>
      <c r="I32" s="527"/>
      <c r="J32" s="530" t="s">
        <v>560</v>
      </c>
      <c r="K32" s="538" t="s">
        <v>476</v>
      </c>
      <c r="L32" s="538">
        <v>4</v>
      </c>
      <c r="M32" s="742"/>
      <c r="N32" s="540" t="str">
        <f t="shared" si="0"/>
        <v>INCLUDED</v>
      </c>
      <c r="O32" s="623">
        <f t="shared" si="2"/>
        <v>0</v>
      </c>
      <c r="P32" s="623">
        <f t="shared" si="3"/>
        <v>0</v>
      </c>
      <c r="Q32" s="623">
        <f>Discount!$H$36</f>
        <v>0</v>
      </c>
      <c r="R32" s="628">
        <f t="shared" si="4"/>
        <v>0</v>
      </c>
      <c r="S32" s="628">
        <f t="shared" si="5"/>
        <v>0</v>
      </c>
      <c r="T32" s="739">
        <f t="shared" si="1"/>
        <v>0</v>
      </c>
    </row>
    <row r="33" spans="1:20" ht="62.4">
      <c r="A33" s="454">
        <v>16</v>
      </c>
      <c r="B33" s="538">
        <v>7000016865</v>
      </c>
      <c r="C33" s="538">
        <v>160</v>
      </c>
      <c r="D33" s="538" t="s">
        <v>535</v>
      </c>
      <c r="E33" s="538">
        <v>1000059581</v>
      </c>
      <c r="F33" s="538">
        <v>73082011</v>
      </c>
      <c r="G33" s="529"/>
      <c r="H33" s="538">
        <v>18</v>
      </c>
      <c r="I33" s="527"/>
      <c r="J33" s="530" t="s">
        <v>561</v>
      </c>
      <c r="K33" s="538" t="s">
        <v>476</v>
      </c>
      <c r="L33" s="538">
        <v>3</v>
      </c>
      <c r="M33" s="742"/>
      <c r="N33" s="540" t="str">
        <f t="shared" si="0"/>
        <v>INCLUDED</v>
      </c>
      <c r="O33" s="623">
        <f t="shared" si="2"/>
        <v>0</v>
      </c>
      <c r="P33" s="623">
        <f t="shared" si="3"/>
        <v>0</v>
      </c>
      <c r="Q33" s="623">
        <f>Discount!$H$36</f>
        <v>0</v>
      </c>
      <c r="R33" s="628">
        <f t="shared" si="4"/>
        <v>0</v>
      </c>
      <c r="S33" s="628">
        <f t="shared" si="5"/>
        <v>0</v>
      </c>
      <c r="T33" s="739">
        <f t="shared" si="1"/>
        <v>0</v>
      </c>
    </row>
    <row r="34" spans="1:20" ht="62.4">
      <c r="A34" s="528">
        <v>17</v>
      </c>
      <c r="B34" s="538">
        <v>7000016865</v>
      </c>
      <c r="C34" s="538">
        <v>170</v>
      </c>
      <c r="D34" s="538" t="s">
        <v>535</v>
      </c>
      <c r="E34" s="538">
        <v>1000059585</v>
      </c>
      <c r="F34" s="538">
        <v>73082011</v>
      </c>
      <c r="G34" s="529"/>
      <c r="H34" s="538">
        <v>18</v>
      </c>
      <c r="I34" s="527"/>
      <c r="J34" s="530" t="s">
        <v>562</v>
      </c>
      <c r="K34" s="538" t="s">
        <v>476</v>
      </c>
      <c r="L34" s="538">
        <v>3</v>
      </c>
      <c r="M34" s="742"/>
      <c r="N34" s="540" t="str">
        <f t="shared" si="0"/>
        <v>INCLUDED</v>
      </c>
      <c r="O34" s="623">
        <f t="shared" si="2"/>
        <v>0</v>
      </c>
      <c r="P34" s="623">
        <f t="shared" si="3"/>
        <v>0</v>
      </c>
      <c r="Q34" s="623">
        <f>Discount!$H$36</f>
        <v>0</v>
      </c>
      <c r="R34" s="628">
        <f t="shared" si="4"/>
        <v>0</v>
      </c>
      <c r="S34" s="628">
        <f t="shared" si="5"/>
        <v>0</v>
      </c>
      <c r="T34" s="739">
        <f t="shared" si="1"/>
        <v>0</v>
      </c>
    </row>
    <row r="35" spans="1:20" ht="62.4">
      <c r="A35" s="454">
        <v>18</v>
      </c>
      <c r="B35" s="538">
        <v>7000016865</v>
      </c>
      <c r="C35" s="538">
        <v>180</v>
      </c>
      <c r="D35" s="538" t="s">
        <v>535</v>
      </c>
      <c r="E35" s="538">
        <v>1000059583</v>
      </c>
      <c r="F35" s="538">
        <v>73082011</v>
      </c>
      <c r="G35" s="529"/>
      <c r="H35" s="538">
        <v>18</v>
      </c>
      <c r="I35" s="527"/>
      <c r="J35" s="530" t="s">
        <v>563</v>
      </c>
      <c r="K35" s="538" t="s">
        <v>476</v>
      </c>
      <c r="L35" s="538">
        <v>2</v>
      </c>
      <c r="M35" s="742"/>
      <c r="N35" s="540" t="str">
        <f t="shared" si="0"/>
        <v>INCLUDED</v>
      </c>
      <c r="O35" s="623">
        <f t="shared" si="2"/>
        <v>0</v>
      </c>
      <c r="P35" s="623">
        <f t="shared" si="3"/>
        <v>0</v>
      </c>
      <c r="Q35" s="623">
        <f>Discount!$H$36</f>
        <v>0</v>
      </c>
      <c r="R35" s="628">
        <f t="shared" si="4"/>
        <v>0</v>
      </c>
      <c r="S35" s="628">
        <f t="shared" si="5"/>
        <v>0</v>
      </c>
      <c r="T35" s="739">
        <f t="shared" si="1"/>
        <v>0</v>
      </c>
    </row>
    <row r="36" spans="1:20" ht="62.4">
      <c r="A36" s="528">
        <v>19</v>
      </c>
      <c r="B36" s="538">
        <v>7000016865</v>
      </c>
      <c r="C36" s="538">
        <v>190</v>
      </c>
      <c r="D36" s="538" t="s">
        <v>535</v>
      </c>
      <c r="E36" s="538">
        <v>1000061529</v>
      </c>
      <c r="F36" s="538">
        <v>73082011</v>
      </c>
      <c r="G36" s="529"/>
      <c r="H36" s="538">
        <v>18</v>
      </c>
      <c r="I36" s="527"/>
      <c r="J36" s="530" t="s">
        <v>564</v>
      </c>
      <c r="K36" s="538" t="s">
        <v>476</v>
      </c>
      <c r="L36" s="538">
        <v>50</v>
      </c>
      <c r="M36" s="742"/>
      <c r="N36" s="540" t="str">
        <f t="shared" si="0"/>
        <v>INCLUDED</v>
      </c>
      <c r="O36" s="623">
        <f t="shared" si="2"/>
        <v>0</v>
      </c>
      <c r="P36" s="623">
        <f t="shared" si="3"/>
        <v>0</v>
      </c>
      <c r="Q36" s="623">
        <f>Discount!$H$36</f>
        <v>0</v>
      </c>
      <c r="R36" s="628">
        <f t="shared" si="4"/>
        <v>0</v>
      </c>
      <c r="S36" s="628">
        <f t="shared" si="5"/>
        <v>0</v>
      </c>
      <c r="T36" s="739">
        <f t="shared" si="1"/>
        <v>0</v>
      </c>
    </row>
    <row r="37" spans="1:20" ht="62.4">
      <c r="A37" s="454">
        <v>20</v>
      </c>
      <c r="B37" s="538">
        <v>7000016865</v>
      </c>
      <c r="C37" s="538">
        <v>200</v>
      </c>
      <c r="D37" s="538" t="s">
        <v>535</v>
      </c>
      <c r="E37" s="538">
        <v>1000061530</v>
      </c>
      <c r="F37" s="538">
        <v>73082011</v>
      </c>
      <c r="G37" s="529"/>
      <c r="H37" s="538">
        <v>18</v>
      </c>
      <c r="I37" s="527"/>
      <c r="J37" s="530" t="s">
        <v>565</v>
      </c>
      <c r="K37" s="538" t="s">
        <v>476</v>
      </c>
      <c r="L37" s="538">
        <v>2</v>
      </c>
      <c r="M37" s="742"/>
      <c r="N37" s="540" t="str">
        <f t="shared" si="0"/>
        <v>INCLUDED</v>
      </c>
      <c r="O37" s="623">
        <f t="shared" si="2"/>
        <v>0</v>
      </c>
      <c r="P37" s="623">
        <f t="shared" si="3"/>
        <v>0</v>
      </c>
      <c r="Q37" s="623">
        <f>Discount!$H$36</f>
        <v>0</v>
      </c>
      <c r="R37" s="628">
        <f t="shared" si="4"/>
        <v>0</v>
      </c>
      <c r="S37" s="628">
        <f t="shared" si="5"/>
        <v>0</v>
      </c>
      <c r="T37" s="739">
        <f t="shared" si="1"/>
        <v>0</v>
      </c>
    </row>
    <row r="38" spans="1:20" ht="62.4">
      <c r="A38" s="528">
        <v>21</v>
      </c>
      <c r="B38" s="538">
        <v>7000016865</v>
      </c>
      <c r="C38" s="538">
        <v>210</v>
      </c>
      <c r="D38" s="538" t="s">
        <v>535</v>
      </c>
      <c r="E38" s="538">
        <v>1000061531</v>
      </c>
      <c r="F38" s="538">
        <v>73082011</v>
      </c>
      <c r="G38" s="529"/>
      <c r="H38" s="538">
        <v>18</v>
      </c>
      <c r="I38" s="527"/>
      <c r="J38" s="530" t="s">
        <v>566</v>
      </c>
      <c r="K38" s="538" t="s">
        <v>476</v>
      </c>
      <c r="L38" s="538">
        <v>2</v>
      </c>
      <c r="M38" s="742"/>
      <c r="N38" s="540" t="str">
        <f t="shared" si="0"/>
        <v>INCLUDED</v>
      </c>
      <c r="O38" s="623">
        <f t="shared" si="2"/>
        <v>0</v>
      </c>
      <c r="P38" s="623">
        <f t="shared" si="3"/>
        <v>0</v>
      </c>
      <c r="Q38" s="623">
        <f>Discount!$H$36</f>
        <v>0</v>
      </c>
      <c r="R38" s="628">
        <f t="shared" si="4"/>
        <v>0</v>
      </c>
      <c r="S38" s="628">
        <f t="shared" si="5"/>
        <v>0</v>
      </c>
      <c r="T38" s="739">
        <f t="shared" si="1"/>
        <v>0</v>
      </c>
    </row>
    <row r="39" spans="1:20" ht="62.4">
      <c r="A39" s="454">
        <v>22</v>
      </c>
      <c r="B39" s="538">
        <v>7000016865</v>
      </c>
      <c r="C39" s="538">
        <v>220</v>
      </c>
      <c r="D39" s="538" t="s">
        <v>535</v>
      </c>
      <c r="E39" s="538">
        <v>1000059513</v>
      </c>
      <c r="F39" s="538">
        <v>73082011</v>
      </c>
      <c r="G39" s="529"/>
      <c r="H39" s="538">
        <v>18</v>
      </c>
      <c r="I39" s="527"/>
      <c r="J39" s="530" t="s">
        <v>549</v>
      </c>
      <c r="K39" s="538" t="s">
        <v>476</v>
      </c>
      <c r="L39" s="538">
        <v>1</v>
      </c>
      <c r="M39" s="742"/>
      <c r="N39" s="540" t="str">
        <f t="shared" si="0"/>
        <v>INCLUDED</v>
      </c>
      <c r="O39" s="623">
        <f t="shared" si="2"/>
        <v>0</v>
      </c>
      <c r="P39" s="623">
        <f t="shared" si="3"/>
        <v>0</v>
      </c>
      <c r="Q39" s="623">
        <f>Discount!$H$36</f>
        <v>0</v>
      </c>
      <c r="R39" s="628">
        <f t="shared" si="4"/>
        <v>0</v>
      </c>
      <c r="S39" s="628">
        <f t="shared" si="5"/>
        <v>0</v>
      </c>
      <c r="T39" s="739">
        <f t="shared" si="1"/>
        <v>0</v>
      </c>
    </row>
    <row r="40" spans="1:20" ht="62.4">
      <c r="A40" s="528">
        <v>23</v>
      </c>
      <c r="B40" s="538">
        <v>7000016865</v>
      </c>
      <c r="C40" s="538">
        <v>230</v>
      </c>
      <c r="D40" s="538" t="s">
        <v>535</v>
      </c>
      <c r="E40" s="538">
        <v>1000059571</v>
      </c>
      <c r="F40" s="538">
        <v>73082011</v>
      </c>
      <c r="G40" s="529"/>
      <c r="H40" s="538">
        <v>18</v>
      </c>
      <c r="I40" s="527"/>
      <c r="J40" s="530" t="s">
        <v>558</v>
      </c>
      <c r="K40" s="538" t="s">
        <v>476</v>
      </c>
      <c r="L40" s="538">
        <v>1</v>
      </c>
      <c r="M40" s="742"/>
      <c r="N40" s="540" t="str">
        <f t="shared" si="0"/>
        <v>INCLUDED</v>
      </c>
      <c r="O40" s="623">
        <f t="shared" si="2"/>
        <v>0</v>
      </c>
      <c r="P40" s="623">
        <f t="shared" si="3"/>
        <v>0</v>
      </c>
      <c r="Q40" s="623">
        <f>Discount!$H$36</f>
        <v>0</v>
      </c>
      <c r="R40" s="628">
        <f t="shared" si="4"/>
        <v>0</v>
      </c>
      <c r="S40" s="628">
        <f t="shared" si="5"/>
        <v>0</v>
      </c>
      <c r="T40" s="739">
        <f t="shared" si="1"/>
        <v>0</v>
      </c>
    </row>
    <row r="41" spans="1:20">
      <c r="A41" s="454">
        <v>24</v>
      </c>
      <c r="B41" s="538">
        <v>7000016865</v>
      </c>
      <c r="C41" s="538">
        <v>240</v>
      </c>
      <c r="D41" s="538" t="s">
        <v>536</v>
      </c>
      <c r="E41" s="538">
        <v>1000036834</v>
      </c>
      <c r="F41" s="538">
        <v>76149000</v>
      </c>
      <c r="G41" s="529"/>
      <c r="H41" s="538">
        <v>18</v>
      </c>
      <c r="I41" s="527"/>
      <c r="J41" s="530" t="s">
        <v>567</v>
      </c>
      <c r="K41" s="538" t="s">
        <v>484</v>
      </c>
      <c r="L41" s="538">
        <v>1049.28</v>
      </c>
      <c r="M41" s="742"/>
      <c r="N41" s="540" t="str">
        <f t="shared" si="0"/>
        <v>INCLUDED</v>
      </c>
      <c r="O41" s="623">
        <f t="shared" si="2"/>
        <v>0</v>
      </c>
      <c r="P41" s="623">
        <f t="shared" si="3"/>
        <v>0</v>
      </c>
      <c r="Q41" s="623">
        <f>Discount!$H$36</f>
        <v>0</v>
      </c>
      <c r="R41" s="628">
        <f t="shared" si="4"/>
        <v>0</v>
      </c>
      <c r="S41" s="628">
        <f t="shared" si="5"/>
        <v>0</v>
      </c>
      <c r="T41" s="739">
        <f t="shared" si="1"/>
        <v>0</v>
      </c>
    </row>
    <row r="42" spans="1:20">
      <c r="A42" s="528">
        <v>25</v>
      </c>
      <c r="B42" s="538">
        <v>7000016865</v>
      </c>
      <c r="C42" s="538">
        <v>250</v>
      </c>
      <c r="D42" s="538" t="s">
        <v>536</v>
      </c>
      <c r="E42" s="538">
        <v>1000036834</v>
      </c>
      <c r="F42" s="538">
        <v>76149000</v>
      </c>
      <c r="G42" s="529"/>
      <c r="H42" s="538">
        <v>18</v>
      </c>
      <c r="I42" s="527"/>
      <c r="J42" s="530" t="s">
        <v>567</v>
      </c>
      <c r="K42" s="538" t="s">
        <v>484</v>
      </c>
      <c r="L42" s="538">
        <v>40</v>
      </c>
      <c r="M42" s="742"/>
      <c r="N42" s="540" t="str">
        <f t="shared" si="0"/>
        <v>INCLUDED</v>
      </c>
      <c r="O42" s="623">
        <f t="shared" si="2"/>
        <v>0</v>
      </c>
      <c r="P42" s="623">
        <f t="shared" si="3"/>
        <v>0</v>
      </c>
      <c r="Q42" s="623">
        <f>Discount!$H$36</f>
        <v>0</v>
      </c>
      <c r="R42" s="628">
        <f t="shared" si="4"/>
        <v>0</v>
      </c>
      <c r="S42" s="628">
        <f t="shared" si="5"/>
        <v>0</v>
      </c>
      <c r="T42" s="739">
        <f t="shared" si="1"/>
        <v>0</v>
      </c>
    </row>
    <row r="43" spans="1:20">
      <c r="A43" s="454">
        <v>26</v>
      </c>
      <c r="B43" s="538">
        <v>7000016865</v>
      </c>
      <c r="C43" s="538">
        <v>260</v>
      </c>
      <c r="D43" s="538" t="s">
        <v>537</v>
      </c>
      <c r="E43" s="538">
        <v>1000009325</v>
      </c>
      <c r="F43" s="538">
        <v>85469090</v>
      </c>
      <c r="G43" s="529"/>
      <c r="H43" s="538">
        <v>18</v>
      </c>
      <c r="I43" s="527"/>
      <c r="J43" s="530" t="s">
        <v>568</v>
      </c>
      <c r="K43" s="538" t="s">
        <v>476</v>
      </c>
      <c r="L43" s="538">
        <v>1164</v>
      </c>
      <c r="M43" s="742"/>
      <c r="N43" s="540" t="str">
        <f t="shared" si="0"/>
        <v>INCLUDED</v>
      </c>
      <c r="O43" s="623">
        <f t="shared" si="2"/>
        <v>0</v>
      </c>
      <c r="P43" s="623">
        <f t="shared" si="3"/>
        <v>0</v>
      </c>
      <c r="Q43" s="623">
        <f>Discount!$H$36</f>
        <v>0</v>
      </c>
      <c r="R43" s="628">
        <f t="shared" si="4"/>
        <v>0</v>
      </c>
      <c r="S43" s="628">
        <f t="shared" si="5"/>
        <v>0</v>
      </c>
      <c r="T43" s="739">
        <f t="shared" si="1"/>
        <v>0</v>
      </c>
    </row>
    <row r="44" spans="1:20">
      <c r="A44" s="528">
        <v>27</v>
      </c>
      <c r="B44" s="538">
        <v>7000016865</v>
      </c>
      <c r="C44" s="538">
        <v>270</v>
      </c>
      <c r="D44" s="538" t="s">
        <v>537</v>
      </c>
      <c r="E44" s="538">
        <v>1000009325</v>
      </c>
      <c r="F44" s="538">
        <v>85469090</v>
      </c>
      <c r="G44" s="529"/>
      <c r="H44" s="538">
        <v>18</v>
      </c>
      <c r="I44" s="527"/>
      <c r="J44" s="530" t="s">
        <v>568</v>
      </c>
      <c r="K44" s="538" t="s">
        <v>476</v>
      </c>
      <c r="L44" s="538">
        <v>117</v>
      </c>
      <c r="M44" s="742"/>
      <c r="N44" s="540" t="str">
        <f t="shared" si="0"/>
        <v>INCLUDED</v>
      </c>
      <c r="O44" s="623">
        <f t="shared" si="2"/>
        <v>0</v>
      </c>
      <c r="P44" s="623">
        <f t="shared" si="3"/>
        <v>0</v>
      </c>
      <c r="Q44" s="623">
        <f>Discount!$H$36</f>
        <v>0</v>
      </c>
      <c r="R44" s="628">
        <f t="shared" si="4"/>
        <v>0</v>
      </c>
      <c r="S44" s="628">
        <f t="shared" si="5"/>
        <v>0</v>
      </c>
      <c r="T44" s="739">
        <f t="shared" si="1"/>
        <v>0</v>
      </c>
    </row>
    <row r="45" spans="1:20">
      <c r="A45" s="454">
        <v>28</v>
      </c>
      <c r="B45" s="538">
        <v>7000016865</v>
      </c>
      <c r="C45" s="538">
        <v>280</v>
      </c>
      <c r="D45" s="538" t="s">
        <v>537</v>
      </c>
      <c r="E45" s="538">
        <v>1000009328</v>
      </c>
      <c r="F45" s="538">
        <v>85469090</v>
      </c>
      <c r="G45" s="529"/>
      <c r="H45" s="538">
        <v>18</v>
      </c>
      <c r="I45" s="527"/>
      <c r="J45" s="530" t="s">
        <v>569</v>
      </c>
      <c r="K45" s="538" t="s">
        <v>476</v>
      </c>
      <c r="L45" s="538">
        <v>984</v>
      </c>
      <c r="M45" s="742"/>
      <c r="N45" s="540" t="str">
        <f t="shared" si="0"/>
        <v>INCLUDED</v>
      </c>
      <c r="O45" s="623">
        <f t="shared" si="2"/>
        <v>0</v>
      </c>
      <c r="P45" s="623">
        <f t="shared" si="3"/>
        <v>0</v>
      </c>
      <c r="Q45" s="623">
        <f>Discount!$H$36</f>
        <v>0</v>
      </c>
      <c r="R45" s="628">
        <f t="shared" si="4"/>
        <v>0</v>
      </c>
      <c r="S45" s="628">
        <f t="shared" si="5"/>
        <v>0</v>
      </c>
      <c r="T45" s="739">
        <f t="shared" si="1"/>
        <v>0</v>
      </c>
    </row>
    <row r="46" spans="1:20">
      <c r="A46" s="528">
        <v>29</v>
      </c>
      <c r="B46" s="538">
        <v>7000016865</v>
      </c>
      <c r="C46" s="538">
        <v>290</v>
      </c>
      <c r="D46" s="538" t="s">
        <v>537</v>
      </c>
      <c r="E46" s="538">
        <v>1000009328</v>
      </c>
      <c r="F46" s="538">
        <v>85469090</v>
      </c>
      <c r="G46" s="529"/>
      <c r="H46" s="538">
        <v>18</v>
      </c>
      <c r="I46" s="527"/>
      <c r="J46" s="530" t="s">
        <v>569</v>
      </c>
      <c r="K46" s="538" t="s">
        <v>476</v>
      </c>
      <c r="L46" s="538">
        <v>99</v>
      </c>
      <c r="M46" s="742"/>
      <c r="N46" s="540" t="str">
        <f t="shared" si="0"/>
        <v>INCLUDED</v>
      </c>
      <c r="O46" s="623">
        <f t="shared" si="2"/>
        <v>0</v>
      </c>
      <c r="P46" s="623">
        <f t="shared" si="3"/>
        <v>0</v>
      </c>
      <c r="Q46" s="623">
        <f>Discount!$H$36</f>
        <v>0</v>
      </c>
      <c r="R46" s="628">
        <f t="shared" si="4"/>
        <v>0</v>
      </c>
      <c r="S46" s="628">
        <f t="shared" si="5"/>
        <v>0</v>
      </c>
      <c r="T46" s="739">
        <f t="shared" si="1"/>
        <v>0</v>
      </c>
    </row>
    <row r="47" spans="1:20">
      <c r="A47" s="454">
        <v>30</v>
      </c>
      <c r="B47" s="538">
        <v>7000016865</v>
      </c>
      <c r="C47" s="538">
        <v>300</v>
      </c>
      <c r="D47" s="538" t="s">
        <v>538</v>
      </c>
      <c r="E47" s="538">
        <v>1000019805</v>
      </c>
      <c r="F47" s="538">
        <v>73082011</v>
      </c>
      <c r="G47" s="529"/>
      <c r="H47" s="538">
        <v>18</v>
      </c>
      <c r="I47" s="527"/>
      <c r="J47" s="530" t="s">
        <v>570</v>
      </c>
      <c r="K47" s="538" t="s">
        <v>481</v>
      </c>
      <c r="L47" s="538">
        <v>1104</v>
      </c>
      <c r="M47" s="742"/>
      <c r="N47" s="540" t="str">
        <f t="shared" si="0"/>
        <v>INCLUDED</v>
      </c>
      <c r="O47" s="623">
        <f t="shared" si="2"/>
        <v>0</v>
      </c>
      <c r="P47" s="623">
        <f t="shared" si="3"/>
        <v>0</v>
      </c>
      <c r="Q47" s="623">
        <f>Discount!$H$36</f>
        <v>0</v>
      </c>
      <c r="R47" s="628">
        <f t="shared" si="4"/>
        <v>0</v>
      </c>
      <c r="S47" s="628">
        <f t="shared" si="5"/>
        <v>0</v>
      </c>
      <c r="T47" s="739">
        <f t="shared" si="1"/>
        <v>0</v>
      </c>
    </row>
    <row r="48" spans="1:20">
      <c r="A48" s="528">
        <v>31</v>
      </c>
      <c r="B48" s="538">
        <v>7000016865</v>
      </c>
      <c r="C48" s="538">
        <v>310</v>
      </c>
      <c r="D48" s="538" t="s">
        <v>538</v>
      </c>
      <c r="E48" s="538">
        <v>1000019805</v>
      </c>
      <c r="F48" s="538">
        <v>73082011</v>
      </c>
      <c r="G48" s="529"/>
      <c r="H48" s="538">
        <v>18</v>
      </c>
      <c r="I48" s="527"/>
      <c r="J48" s="530" t="s">
        <v>570</v>
      </c>
      <c r="K48" s="538" t="s">
        <v>481</v>
      </c>
      <c r="L48" s="538">
        <v>23</v>
      </c>
      <c r="M48" s="742"/>
      <c r="N48" s="540" t="str">
        <f t="shared" si="0"/>
        <v>INCLUDED</v>
      </c>
      <c r="O48" s="623">
        <f t="shared" si="2"/>
        <v>0</v>
      </c>
      <c r="P48" s="623">
        <f t="shared" si="3"/>
        <v>0</v>
      </c>
      <c r="Q48" s="623">
        <f>Discount!$H$36</f>
        <v>0</v>
      </c>
      <c r="R48" s="628">
        <f t="shared" si="4"/>
        <v>0</v>
      </c>
      <c r="S48" s="628">
        <f t="shared" si="5"/>
        <v>0</v>
      </c>
      <c r="T48" s="739">
        <f t="shared" si="1"/>
        <v>0</v>
      </c>
    </row>
    <row r="49" spans="1:20">
      <c r="A49" s="454">
        <v>32</v>
      </c>
      <c r="B49" s="538">
        <v>7000016865</v>
      </c>
      <c r="C49" s="538">
        <v>320</v>
      </c>
      <c r="D49" s="538" t="s">
        <v>538</v>
      </c>
      <c r="E49" s="538">
        <v>1000010803</v>
      </c>
      <c r="F49" s="538">
        <v>73082011</v>
      </c>
      <c r="G49" s="529"/>
      <c r="H49" s="538">
        <v>18</v>
      </c>
      <c r="I49" s="527"/>
      <c r="J49" s="530" t="s">
        <v>571</v>
      </c>
      <c r="K49" s="538" t="s">
        <v>481</v>
      </c>
      <c r="L49" s="538">
        <v>492</v>
      </c>
      <c r="M49" s="742"/>
      <c r="N49" s="540" t="str">
        <f t="shared" si="0"/>
        <v>INCLUDED</v>
      </c>
      <c r="O49" s="623">
        <f t="shared" si="2"/>
        <v>0</v>
      </c>
      <c r="P49" s="623">
        <f t="shared" si="3"/>
        <v>0</v>
      </c>
      <c r="Q49" s="623">
        <f>Discount!$H$36</f>
        <v>0</v>
      </c>
      <c r="R49" s="628">
        <f t="shared" si="4"/>
        <v>0</v>
      </c>
      <c r="S49" s="628">
        <f t="shared" si="5"/>
        <v>0</v>
      </c>
      <c r="T49" s="739">
        <f t="shared" si="1"/>
        <v>0</v>
      </c>
    </row>
    <row r="50" spans="1:20">
      <c r="A50" s="528">
        <v>33</v>
      </c>
      <c r="B50" s="538">
        <v>7000016865</v>
      </c>
      <c r="C50" s="538">
        <v>330</v>
      </c>
      <c r="D50" s="538" t="s">
        <v>538</v>
      </c>
      <c r="E50" s="538">
        <v>1000010803</v>
      </c>
      <c r="F50" s="538">
        <v>73082011</v>
      </c>
      <c r="G50" s="529"/>
      <c r="H50" s="538">
        <v>18</v>
      </c>
      <c r="I50" s="527"/>
      <c r="J50" s="530" t="s">
        <v>571</v>
      </c>
      <c r="K50" s="538" t="s">
        <v>481</v>
      </c>
      <c r="L50" s="538">
        <v>10</v>
      </c>
      <c r="M50" s="742"/>
      <c r="N50" s="540" t="str">
        <f t="shared" si="0"/>
        <v>INCLUDED</v>
      </c>
      <c r="O50" s="623">
        <f t="shared" si="2"/>
        <v>0</v>
      </c>
      <c r="P50" s="623">
        <f t="shared" si="3"/>
        <v>0</v>
      </c>
      <c r="Q50" s="623">
        <f>Discount!$H$36</f>
        <v>0</v>
      </c>
      <c r="R50" s="628">
        <f t="shared" si="4"/>
        <v>0</v>
      </c>
      <c r="S50" s="628">
        <f t="shared" si="5"/>
        <v>0</v>
      </c>
      <c r="T50" s="739">
        <f t="shared" si="1"/>
        <v>0</v>
      </c>
    </row>
    <row r="51" spans="1:20">
      <c r="A51" s="454">
        <v>34</v>
      </c>
      <c r="B51" s="538">
        <v>7000016865</v>
      </c>
      <c r="C51" s="538">
        <v>340</v>
      </c>
      <c r="D51" s="538" t="s">
        <v>538</v>
      </c>
      <c r="E51" s="538">
        <v>1000019783</v>
      </c>
      <c r="F51" s="538">
        <v>73082011</v>
      </c>
      <c r="G51" s="529"/>
      <c r="H51" s="538">
        <v>18</v>
      </c>
      <c r="I51" s="527"/>
      <c r="J51" s="530" t="s">
        <v>572</v>
      </c>
      <c r="K51" s="538" t="s">
        <v>481</v>
      </c>
      <c r="L51" s="538">
        <v>60</v>
      </c>
      <c r="M51" s="742"/>
      <c r="N51" s="540" t="str">
        <f t="shared" si="0"/>
        <v>INCLUDED</v>
      </c>
      <c r="O51" s="623">
        <f t="shared" si="2"/>
        <v>0</v>
      </c>
      <c r="P51" s="623">
        <f t="shared" si="3"/>
        <v>0</v>
      </c>
      <c r="Q51" s="623">
        <f>Discount!$H$36</f>
        <v>0</v>
      </c>
      <c r="R51" s="628">
        <f t="shared" si="4"/>
        <v>0</v>
      </c>
      <c r="S51" s="628">
        <f t="shared" si="5"/>
        <v>0</v>
      </c>
      <c r="T51" s="739">
        <f t="shared" si="1"/>
        <v>0</v>
      </c>
    </row>
    <row r="52" spans="1:20">
      <c r="A52" s="528">
        <v>35</v>
      </c>
      <c r="B52" s="538">
        <v>7000016865</v>
      </c>
      <c r="C52" s="538">
        <v>350</v>
      </c>
      <c r="D52" s="538" t="s">
        <v>538</v>
      </c>
      <c r="E52" s="538">
        <v>1000019783</v>
      </c>
      <c r="F52" s="538">
        <v>73082011</v>
      </c>
      <c r="G52" s="529"/>
      <c r="H52" s="538">
        <v>18</v>
      </c>
      <c r="I52" s="527"/>
      <c r="J52" s="530" t="s">
        <v>572</v>
      </c>
      <c r="K52" s="538" t="s">
        <v>481</v>
      </c>
      <c r="L52" s="538">
        <v>2</v>
      </c>
      <c r="M52" s="742"/>
      <c r="N52" s="540" t="str">
        <f t="shared" si="0"/>
        <v>INCLUDED</v>
      </c>
      <c r="O52" s="623">
        <f t="shared" si="2"/>
        <v>0</v>
      </c>
      <c r="P52" s="623">
        <f t="shared" si="3"/>
        <v>0</v>
      </c>
      <c r="Q52" s="623">
        <f>Discount!$H$36</f>
        <v>0</v>
      </c>
      <c r="R52" s="628">
        <f t="shared" si="4"/>
        <v>0</v>
      </c>
      <c r="S52" s="628">
        <f t="shared" si="5"/>
        <v>0</v>
      </c>
      <c r="T52" s="739">
        <f t="shared" si="1"/>
        <v>0</v>
      </c>
    </row>
    <row r="53" spans="1:20" ht="46.8">
      <c r="A53" s="454">
        <v>36</v>
      </c>
      <c r="B53" s="538">
        <v>7000016865</v>
      </c>
      <c r="C53" s="538">
        <v>360</v>
      </c>
      <c r="D53" s="538" t="s">
        <v>538</v>
      </c>
      <c r="E53" s="538">
        <v>1000036855</v>
      </c>
      <c r="F53" s="538">
        <v>73082011</v>
      </c>
      <c r="G53" s="529"/>
      <c r="H53" s="538">
        <v>18</v>
      </c>
      <c r="I53" s="527"/>
      <c r="J53" s="530" t="s">
        <v>573</v>
      </c>
      <c r="K53" s="538" t="s">
        <v>476</v>
      </c>
      <c r="L53" s="538">
        <v>2208</v>
      </c>
      <c r="M53" s="742"/>
      <c r="N53" s="540" t="str">
        <f t="shared" si="0"/>
        <v>INCLUDED</v>
      </c>
      <c r="O53" s="623">
        <f t="shared" si="2"/>
        <v>0</v>
      </c>
      <c r="P53" s="623">
        <f t="shared" si="3"/>
        <v>0</v>
      </c>
      <c r="Q53" s="623">
        <f>Discount!$H$36</f>
        <v>0</v>
      </c>
      <c r="R53" s="628">
        <f t="shared" si="4"/>
        <v>0</v>
      </c>
      <c r="S53" s="628">
        <f t="shared" si="5"/>
        <v>0</v>
      </c>
      <c r="T53" s="739">
        <f t="shared" si="1"/>
        <v>0</v>
      </c>
    </row>
    <row r="54" spans="1:20" ht="46.8">
      <c r="A54" s="528">
        <v>37</v>
      </c>
      <c r="B54" s="538">
        <v>7000016865</v>
      </c>
      <c r="C54" s="538">
        <v>370</v>
      </c>
      <c r="D54" s="538" t="s">
        <v>538</v>
      </c>
      <c r="E54" s="538">
        <v>1000036855</v>
      </c>
      <c r="F54" s="538">
        <v>73082011</v>
      </c>
      <c r="G54" s="529"/>
      <c r="H54" s="538">
        <v>18</v>
      </c>
      <c r="I54" s="527"/>
      <c r="J54" s="530" t="s">
        <v>573</v>
      </c>
      <c r="K54" s="538" t="s">
        <v>476</v>
      </c>
      <c r="L54" s="538">
        <v>240</v>
      </c>
      <c r="M54" s="742"/>
      <c r="N54" s="540" t="str">
        <f t="shared" si="0"/>
        <v>INCLUDED</v>
      </c>
      <c r="O54" s="623">
        <f t="shared" si="2"/>
        <v>0</v>
      </c>
      <c r="P54" s="623">
        <f t="shared" si="3"/>
        <v>0</v>
      </c>
      <c r="Q54" s="623">
        <f>Discount!$H$36</f>
        <v>0</v>
      </c>
      <c r="R54" s="628">
        <f t="shared" si="4"/>
        <v>0</v>
      </c>
      <c r="S54" s="628">
        <f t="shared" si="5"/>
        <v>0</v>
      </c>
      <c r="T54" s="739">
        <f t="shared" si="1"/>
        <v>0</v>
      </c>
    </row>
    <row r="55" spans="1:20">
      <c r="A55" s="454">
        <v>38</v>
      </c>
      <c r="B55" s="538">
        <v>7000016865</v>
      </c>
      <c r="C55" s="538">
        <v>380</v>
      </c>
      <c r="D55" s="538" t="s">
        <v>538</v>
      </c>
      <c r="E55" s="538">
        <v>1000036825</v>
      </c>
      <c r="F55" s="538">
        <v>73082011</v>
      </c>
      <c r="G55" s="529"/>
      <c r="H55" s="538">
        <v>18</v>
      </c>
      <c r="I55" s="527"/>
      <c r="J55" s="530" t="s">
        <v>574</v>
      </c>
      <c r="K55" s="538" t="s">
        <v>476</v>
      </c>
      <c r="L55" s="538">
        <v>984</v>
      </c>
      <c r="M55" s="742"/>
      <c r="N55" s="540" t="str">
        <f t="shared" si="0"/>
        <v>INCLUDED</v>
      </c>
      <c r="O55" s="623">
        <f t="shared" si="2"/>
        <v>0</v>
      </c>
      <c r="P55" s="623">
        <f>IF( I55="",H55*(IF(N55="Included",0,N55))/100,I55*(IF(N55="Included",0,N55)))</f>
        <v>0</v>
      </c>
      <c r="Q55" s="623">
        <f>Discount!$H$36</f>
        <v>0</v>
      </c>
      <c r="R55" s="628">
        <f t="shared" si="4"/>
        <v>0</v>
      </c>
      <c r="S55" s="628">
        <f t="shared" si="5"/>
        <v>0</v>
      </c>
      <c r="T55" s="739">
        <f t="shared" si="1"/>
        <v>0</v>
      </c>
    </row>
    <row r="56" spans="1:20">
      <c r="A56" s="528">
        <v>39</v>
      </c>
      <c r="B56" s="538">
        <v>7000016865</v>
      </c>
      <c r="C56" s="538">
        <v>390</v>
      </c>
      <c r="D56" s="538" t="s">
        <v>538</v>
      </c>
      <c r="E56" s="538">
        <v>1000036825</v>
      </c>
      <c r="F56" s="538">
        <v>73082011</v>
      </c>
      <c r="G56" s="529"/>
      <c r="H56" s="538">
        <v>18</v>
      </c>
      <c r="I56" s="527"/>
      <c r="J56" s="530" t="s">
        <v>574</v>
      </c>
      <c r="K56" s="538" t="s">
        <v>476</v>
      </c>
      <c r="L56" s="538">
        <v>192</v>
      </c>
      <c r="M56" s="742"/>
      <c r="N56" s="540" t="str">
        <f t="shared" si="0"/>
        <v>INCLUDED</v>
      </c>
      <c r="O56" s="623">
        <f t="shared" si="2"/>
        <v>0</v>
      </c>
      <c r="P56" s="623">
        <f>IF( I56="",H56*(IF(N56="Included",0,N56))/100,I56*(IF(N56="Included",0,N56)))</f>
        <v>0</v>
      </c>
      <c r="Q56" s="623">
        <f>Discount!$H$36</f>
        <v>0</v>
      </c>
      <c r="R56" s="628">
        <f t="shared" si="4"/>
        <v>0</v>
      </c>
      <c r="S56" s="628">
        <f t="shared" si="5"/>
        <v>0</v>
      </c>
      <c r="T56" s="739">
        <f t="shared" si="1"/>
        <v>0</v>
      </c>
    </row>
    <row r="57" spans="1:20" ht="31.2">
      <c r="A57" s="454">
        <v>40</v>
      </c>
      <c r="B57" s="538">
        <v>7000016865</v>
      </c>
      <c r="C57" s="538">
        <v>400</v>
      </c>
      <c r="D57" s="538" t="s">
        <v>538</v>
      </c>
      <c r="E57" s="538">
        <v>1000036856</v>
      </c>
      <c r="F57" s="538">
        <v>73082011</v>
      </c>
      <c r="G57" s="529"/>
      <c r="H57" s="538">
        <v>18</v>
      </c>
      <c r="I57" s="527"/>
      <c r="J57" s="530" t="s">
        <v>575</v>
      </c>
      <c r="K57" s="538" t="s">
        <v>476</v>
      </c>
      <c r="L57" s="538">
        <v>120</v>
      </c>
      <c r="M57" s="742"/>
      <c r="N57" s="540" t="str">
        <f t="shared" si="0"/>
        <v>INCLUDED</v>
      </c>
      <c r="O57" s="623">
        <f t="shared" si="2"/>
        <v>0</v>
      </c>
      <c r="P57" s="623">
        <f t="shared" si="3"/>
        <v>0</v>
      </c>
      <c r="Q57" s="623">
        <f>Discount!$H$36</f>
        <v>0</v>
      </c>
      <c r="R57" s="628">
        <f t="shared" si="4"/>
        <v>0</v>
      </c>
      <c r="S57" s="628">
        <f t="shared" si="5"/>
        <v>0</v>
      </c>
      <c r="T57" s="739">
        <f t="shared" si="1"/>
        <v>0</v>
      </c>
    </row>
    <row r="58" spans="1:20" ht="31.2">
      <c r="A58" s="528">
        <v>41</v>
      </c>
      <c r="B58" s="538">
        <v>7000016865</v>
      </c>
      <c r="C58" s="538">
        <v>410</v>
      </c>
      <c r="D58" s="538" t="s">
        <v>538</v>
      </c>
      <c r="E58" s="538">
        <v>1000036856</v>
      </c>
      <c r="F58" s="538">
        <v>73082011</v>
      </c>
      <c r="G58" s="529"/>
      <c r="H58" s="538">
        <v>18</v>
      </c>
      <c r="I58" s="527"/>
      <c r="J58" s="530" t="s">
        <v>575</v>
      </c>
      <c r="K58" s="538" t="s">
        <v>476</v>
      </c>
      <c r="L58" s="538">
        <v>24</v>
      </c>
      <c r="M58" s="742"/>
      <c r="N58" s="540" t="str">
        <f t="shared" ref="N58:N209" si="6">IF(M58=0, "INCLUDED", IF(ISERROR(M58*L58), M58, M58*L58))</f>
        <v>INCLUDED</v>
      </c>
      <c r="O58" s="623">
        <f t="shared" ref="O58:O147" si="7">IF(N58="Included",0,N58)</f>
        <v>0</v>
      </c>
      <c r="P58" s="623">
        <f t="shared" ref="P58:P147" si="8">IF( I58="",H58*(IF(N58="Included",0,N58))/100,I58*(IF(N58="Included",0,N58)))</f>
        <v>0</v>
      </c>
      <c r="Q58" s="623">
        <f>Discount!$H$36</f>
        <v>0</v>
      </c>
      <c r="R58" s="628">
        <f t="shared" ref="R58:R147" si="9">Q58*O58</f>
        <v>0</v>
      </c>
      <c r="S58" s="628">
        <f t="shared" ref="S58:S147" si="10">IF(I58="",H58*R58/100,I58*R58)</f>
        <v>0</v>
      </c>
      <c r="T58" s="739">
        <f t="shared" si="1"/>
        <v>0</v>
      </c>
    </row>
    <row r="59" spans="1:20">
      <c r="A59" s="454">
        <v>42</v>
      </c>
      <c r="B59" s="538">
        <v>7000016865</v>
      </c>
      <c r="C59" s="538">
        <v>420</v>
      </c>
      <c r="D59" s="538" t="s">
        <v>539</v>
      </c>
      <c r="E59" s="538">
        <v>1000036839</v>
      </c>
      <c r="F59" s="538">
        <v>76169990</v>
      </c>
      <c r="G59" s="529"/>
      <c r="H59" s="538">
        <v>18</v>
      </c>
      <c r="I59" s="527"/>
      <c r="J59" s="530" t="s">
        <v>576</v>
      </c>
      <c r="K59" s="538" t="s">
        <v>476</v>
      </c>
      <c r="L59" s="538">
        <v>550</v>
      </c>
      <c r="M59" s="742"/>
      <c r="N59" s="540" t="str">
        <f t="shared" si="6"/>
        <v>INCLUDED</v>
      </c>
      <c r="O59" s="623">
        <f t="shared" si="7"/>
        <v>0</v>
      </c>
      <c r="P59" s="623">
        <f t="shared" si="8"/>
        <v>0</v>
      </c>
      <c r="Q59" s="623">
        <f>Discount!$H$36</f>
        <v>0</v>
      </c>
      <c r="R59" s="628">
        <f t="shared" si="9"/>
        <v>0</v>
      </c>
      <c r="S59" s="628">
        <f t="shared" si="10"/>
        <v>0</v>
      </c>
      <c r="T59" s="739">
        <f t="shared" si="1"/>
        <v>0</v>
      </c>
    </row>
    <row r="60" spans="1:20">
      <c r="A60" s="528">
        <v>43</v>
      </c>
      <c r="B60" s="538">
        <v>7000016865</v>
      </c>
      <c r="C60" s="538">
        <v>430</v>
      </c>
      <c r="D60" s="538" t="s">
        <v>539</v>
      </c>
      <c r="E60" s="538">
        <v>1000036839</v>
      </c>
      <c r="F60" s="538">
        <v>76169990</v>
      </c>
      <c r="G60" s="529"/>
      <c r="H60" s="538">
        <v>18</v>
      </c>
      <c r="I60" s="527"/>
      <c r="J60" s="530" t="s">
        <v>576</v>
      </c>
      <c r="K60" s="538" t="s">
        <v>476</v>
      </c>
      <c r="L60" s="538">
        <v>50</v>
      </c>
      <c r="M60" s="742"/>
      <c r="N60" s="540" t="str">
        <f t="shared" ref="N60:N135" si="11">IF(M60=0, "INCLUDED", IF(ISERROR(M60*L60), M60, M60*L60))</f>
        <v>INCLUDED</v>
      </c>
      <c r="O60" s="623">
        <f t="shared" ref="O60:O135" si="12">IF(N60="Included",0,N60)</f>
        <v>0</v>
      </c>
      <c r="P60" s="623">
        <f t="shared" ref="P60:P135" si="13">IF( I60="",H60*(IF(N60="Included",0,N60))/100,I60*(IF(N60="Included",0,N60)))</f>
        <v>0</v>
      </c>
      <c r="Q60" s="623">
        <f>Discount!$H$36</f>
        <v>0</v>
      </c>
      <c r="R60" s="628">
        <f t="shared" ref="R60:R135" si="14">Q60*O60</f>
        <v>0</v>
      </c>
      <c r="S60" s="628">
        <f t="shared" ref="S60:S135" si="15">IF(I60="",H60*R60/100,I60*R60)</f>
        <v>0</v>
      </c>
      <c r="T60" s="739">
        <f t="shared" ref="T60:T135" si="16">M60*L60</f>
        <v>0</v>
      </c>
    </row>
    <row r="61" spans="1:20">
      <c r="A61" s="454">
        <v>44</v>
      </c>
      <c r="B61" s="538">
        <v>7000016865</v>
      </c>
      <c r="C61" s="538">
        <v>440</v>
      </c>
      <c r="D61" s="538" t="s">
        <v>539</v>
      </c>
      <c r="E61" s="538">
        <v>1000036851</v>
      </c>
      <c r="F61" s="538">
        <v>76169990</v>
      </c>
      <c r="G61" s="529"/>
      <c r="H61" s="538">
        <v>18</v>
      </c>
      <c r="I61" s="527"/>
      <c r="J61" s="530" t="s">
        <v>577</v>
      </c>
      <c r="K61" s="538" t="s">
        <v>476</v>
      </c>
      <c r="L61" s="538">
        <v>184</v>
      </c>
      <c r="M61" s="742"/>
      <c r="N61" s="540" t="str">
        <f t="shared" si="11"/>
        <v>INCLUDED</v>
      </c>
      <c r="O61" s="623">
        <f t="shared" si="12"/>
        <v>0</v>
      </c>
      <c r="P61" s="623">
        <f t="shared" si="13"/>
        <v>0</v>
      </c>
      <c r="Q61" s="623">
        <f>Discount!$H$36</f>
        <v>0</v>
      </c>
      <c r="R61" s="628">
        <f t="shared" si="14"/>
        <v>0</v>
      </c>
      <c r="S61" s="628">
        <f t="shared" si="15"/>
        <v>0</v>
      </c>
      <c r="T61" s="739">
        <f t="shared" si="16"/>
        <v>0</v>
      </c>
    </row>
    <row r="62" spans="1:20">
      <c r="A62" s="528">
        <v>45</v>
      </c>
      <c r="B62" s="538">
        <v>7000016865</v>
      </c>
      <c r="C62" s="538">
        <v>450</v>
      </c>
      <c r="D62" s="538" t="s">
        <v>539</v>
      </c>
      <c r="E62" s="538">
        <v>1000036851</v>
      </c>
      <c r="F62" s="538">
        <v>76169990</v>
      </c>
      <c r="G62" s="529"/>
      <c r="H62" s="538">
        <v>18</v>
      </c>
      <c r="I62" s="527"/>
      <c r="J62" s="530" t="s">
        <v>577</v>
      </c>
      <c r="K62" s="538" t="s">
        <v>476</v>
      </c>
      <c r="L62" s="538">
        <v>50</v>
      </c>
      <c r="M62" s="742"/>
      <c r="N62" s="540" t="str">
        <f t="shared" si="11"/>
        <v>INCLUDED</v>
      </c>
      <c r="O62" s="623">
        <f t="shared" si="12"/>
        <v>0</v>
      </c>
      <c r="P62" s="623">
        <f t="shared" si="13"/>
        <v>0</v>
      </c>
      <c r="Q62" s="623">
        <f>Discount!$H$36</f>
        <v>0</v>
      </c>
      <c r="R62" s="628">
        <f t="shared" si="14"/>
        <v>0</v>
      </c>
      <c r="S62" s="628">
        <f t="shared" si="15"/>
        <v>0</v>
      </c>
      <c r="T62" s="739">
        <f t="shared" si="16"/>
        <v>0</v>
      </c>
    </row>
    <row r="63" spans="1:20">
      <c r="A63" s="454">
        <v>46</v>
      </c>
      <c r="B63" s="538">
        <v>7000016865</v>
      </c>
      <c r="C63" s="538">
        <v>460</v>
      </c>
      <c r="D63" s="538" t="s">
        <v>539</v>
      </c>
      <c r="E63" s="538">
        <v>1000036854</v>
      </c>
      <c r="F63" s="538">
        <v>76169990</v>
      </c>
      <c r="G63" s="529"/>
      <c r="H63" s="538">
        <v>18</v>
      </c>
      <c r="I63" s="527"/>
      <c r="J63" s="530" t="s">
        <v>578</v>
      </c>
      <c r="K63" s="538" t="s">
        <v>476</v>
      </c>
      <c r="L63" s="538">
        <v>9408</v>
      </c>
      <c r="M63" s="742"/>
      <c r="N63" s="540" t="str">
        <f t="shared" si="11"/>
        <v>INCLUDED</v>
      </c>
      <c r="O63" s="623">
        <f t="shared" si="12"/>
        <v>0</v>
      </c>
      <c r="P63" s="623">
        <f t="shared" si="13"/>
        <v>0</v>
      </c>
      <c r="Q63" s="623">
        <f>Discount!$H$36</f>
        <v>0</v>
      </c>
      <c r="R63" s="628">
        <f t="shared" si="14"/>
        <v>0</v>
      </c>
      <c r="S63" s="628">
        <f t="shared" si="15"/>
        <v>0</v>
      </c>
      <c r="T63" s="739">
        <f t="shared" si="16"/>
        <v>0</v>
      </c>
    </row>
    <row r="64" spans="1:20">
      <c r="A64" s="528">
        <v>47</v>
      </c>
      <c r="B64" s="538">
        <v>7000016865</v>
      </c>
      <c r="C64" s="538">
        <v>470</v>
      </c>
      <c r="D64" s="538" t="s">
        <v>539</v>
      </c>
      <c r="E64" s="538">
        <v>1000036854</v>
      </c>
      <c r="F64" s="538">
        <v>76169990</v>
      </c>
      <c r="G64" s="529"/>
      <c r="H64" s="538">
        <v>18</v>
      </c>
      <c r="I64" s="527"/>
      <c r="J64" s="530" t="s">
        <v>578</v>
      </c>
      <c r="K64" s="538" t="s">
        <v>476</v>
      </c>
      <c r="L64" s="538">
        <v>1008</v>
      </c>
      <c r="M64" s="742"/>
      <c r="N64" s="540" t="str">
        <f t="shared" si="11"/>
        <v>INCLUDED</v>
      </c>
      <c r="O64" s="623">
        <f t="shared" si="12"/>
        <v>0</v>
      </c>
      <c r="P64" s="623">
        <f t="shared" si="13"/>
        <v>0</v>
      </c>
      <c r="Q64" s="623">
        <f>Discount!$H$36</f>
        <v>0</v>
      </c>
      <c r="R64" s="628">
        <f t="shared" si="14"/>
        <v>0</v>
      </c>
      <c r="S64" s="628">
        <f t="shared" si="15"/>
        <v>0</v>
      </c>
      <c r="T64" s="739">
        <f t="shared" si="16"/>
        <v>0</v>
      </c>
    </row>
    <row r="65" spans="1:20">
      <c r="A65" s="454">
        <v>48</v>
      </c>
      <c r="B65" s="538">
        <v>7000016865</v>
      </c>
      <c r="C65" s="538">
        <v>480</v>
      </c>
      <c r="D65" s="538" t="s">
        <v>539</v>
      </c>
      <c r="E65" s="538">
        <v>1000036852</v>
      </c>
      <c r="F65" s="538">
        <v>76169990</v>
      </c>
      <c r="G65" s="529"/>
      <c r="H65" s="538">
        <v>18</v>
      </c>
      <c r="I65" s="527"/>
      <c r="J65" s="530" t="s">
        <v>579</v>
      </c>
      <c r="K65" s="538" t="s">
        <v>476</v>
      </c>
      <c r="L65" s="538">
        <v>720</v>
      </c>
      <c r="M65" s="742"/>
      <c r="N65" s="540" t="str">
        <f t="shared" si="11"/>
        <v>INCLUDED</v>
      </c>
      <c r="O65" s="623">
        <f t="shared" si="12"/>
        <v>0</v>
      </c>
      <c r="P65" s="623">
        <f t="shared" si="13"/>
        <v>0</v>
      </c>
      <c r="Q65" s="623">
        <f>Discount!$H$36</f>
        <v>0</v>
      </c>
      <c r="R65" s="628">
        <f t="shared" si="14"/>
        <v>0</v>
      </c>
      <c r="S65" s="628">
        <f t="shared" si="15"/>
        <v>0</v>
      </c>
      <c r="T65" s="739">
        <f t="shared" si="16"/>
        <v>0</v>
      </c>
    </row>
    <row r="66" spans="1:20">
      <c r="A66" s="528">
        <v>49</v>
      </c>
      <c r="B66" s="538">
        <v>7000016865</v>
      </c>
      <c r="C66" s="538">
        <v>490</v>
      </c>
      <c r="D66" s="538" t="s">
        <v>539</v>
      </c>
      <c r="E66" s="538">
        <v>1000036852</v>
      </c>
      <c r="F66" s="538">
        <v>76169990</v>
      </c>
      <c r="G66" s="529"/>
      <c r="H66" s="538">
        <v>18</v>
      </c>
      <c r="I66" s="527"/>
      <c r="J66" s="530" t="s">
        <v>579</v>
      </c>
      <c r="K66" s="538" t="s">
        <v>476</v>
      </c>
      <c r="L66" s="538">
        <v>72</v>
      </c>
      <c r="M66" s="742"/>
      <c r="N66" s="540" t="str">
        <f t="shared" si="11"/>
        <v>INCLUDED</v>
      </c>
      <c r="O66" s="623">
        <f t="shared" si="12"/>
        <v>0</v>
      </c>
      <c r="P66" s="623">
        <f t="shared" si="13"/>
        <v>0</v>
      </c>
      <c r="Q66" s="623">
        <f>Discount!$H$36</f>
        <v>0</v>
      </c>
      <c r="R66" s="628">
        <f t="shared" si="14"/>
        <v>0</v>
      </c>
      <c r="S66" s="628">
        <f t="shared" si="15"/>
        <v>0</v>
      </c>
      <c r="T66" s="739">
        <f t="shared" si="16"/>
        <v>0</v>
      </c>
    </row>
    <row r="67" spans="1:20">
      <c r="A67" s="454">
        <v>50</v>
      </c>
      <c r="B67" s="538">
        <v>7000016865</v>
      </c>
      <c r="C67" s="538">
        <v>500</v>
      </c>
      <c r="D67" s="538" t="s">
        <v>540</v>
      </c>
      <c r="E67" s="538">
        <v>1000017587</v>
      </c>
      <c r="F67" s="538">
        <v>73082011</v>
      </c>
      <c r="G67" s="529"/>
      <c r="H67" s="538">
        <v>18</v>
      </c>
      <c r="I67" s="527"/>
      <c r="J67" s="530" t="s">
        <v>475</v>
      </c>
      <c r="K67" s="538" t="s">
        <v>476</v>
      </c>
      <c r="L67" s="538">
        <v>106</v>
      </c>
      <c r="M67" s="742"/>
      <c r="N67" s="540" t="str">
        <f t="shared" si="11"/>
        <v>INCLUDED</v>
      </c>
      <c r="O67" s="623">
        <f t="shared" si="12"/>
        <v>0</v>
      </c>
      <c r="P67" s="623">
        <f t="shared" si="13"/>
        <v>0</v>
      </c>
      <c r="Q67" s="623">
        <f>Discount!$H$36</f>
        <v>0</v>
      </c>
      <c r="R67" s="628">
        <f t="shared" si="14"/>
        <v>0</v>
      </c>
      <c r="S67" s="628">
        <f t="shared" si="15"/>
        <v>0</v>
      </c>
      <c r="T67" s="739">
        <f t="shared" si="16"/>
        <v>0</v>
      </c>
    </row>
    <row r="68" spans="1:20">
      <c r="A68" s="528">
        <v>51</v>
      </c>
      <c r="B68" s="538">
        <v>7000016865</v>
      </c>
      <c r="C68" s="538">
        <v>510</v>
      </c>
      <c r="D68" s="538" t="s">
        <v>540</v>
      </c>
      <c r="E68" s="538">
        <v>1000045873</v>
      </c>
      <c r="F68" s="538">
        <v>73082011</v>
      </c>
      <c r="G68" s="529"/>
      <c r="H68" s="538">
        <v>18</v>
      </c>
      <c r="I68" s="527"/>
      <c r="J68" s="530" t="s">
        <v>580</v>
      </c>
      <c r="K68" s="538" t="s">
        <v>476</v>
      </c>
      <c r="L68" s="538">
        <v>2</v>
      </c>
      <c r="M68" s="742"/>
      <c r="N68" s="540" t="str">
        <f t="shared" si="11"/>
        <v>INCLUDED</v>
      </c>
      <c r="O68" s="623">
        <f t="shared" si="12"/>
        <v>0</v>
      </c>
      <c r="P68" s="623">
        <f t="shared" si="13"/>
        <v>0</v>
      </c>
      <c r="Q68" s="623">
        <f>Discount!$H$36</f>
        <v>0</v>
      </c>
      <c r="R68" s="628">
        <f t="shared" si="14"/>
        <v>0</v>
      </c>
      <c r="S68" s="628">
        <f t="shared" si="15"/>
        <v>0</v>
      </c>
      <c r="T68" s="739">
        <f t="shared" si="16"/>
        <v>0</v>
      </c>
    </row>
    <row r="69" spans="1:20">
      <c r="A69" s="454">
        <v>52</v>
      </c>
      <c r="B69" s="538">
        <v>7000016865</v>
      </c>
      <c r="C69" s="538">
        <v>520</v>
      </c>
      <c r="D69" s="538" t="s">
        <v>540</v>
      </c>
      <c r="E69" s="538">
        <v>1000010003</v>
      </c>
      <c r="F69" s="538">
        <v>73082011</v>
      </c>
      <c r="G69" s="529"/>
      <c r="H69" s="538">
        <v>18</v>
      </c>
      <c r="I69" s="527"/>
      <c r="J69" s="530" t="s">
        <v>477</v>
      </c>
      <c r="K69" s="538" t="s">
        <v>476</v>
      </c>
      <c r="L69" s="538">
        <v>2</v>
      </c>
      <c r="M69" s="742"/>
      <c r="N69" s="540" t="str">
        <f t="shared" si="11"/>
        <v>INCLUDED</v>
      </c>
      <c r="O69" s="623">
        <f t="shared" si="12"/>
        <v>0</v>
      </c>
      <c r="P69" s="623">
        <f t="shared" si="13"/>
        <v>0</v>
      </c>
      <c r="Q69" s="623">
        <f>Discount!$H$36</f>
        <v>0</v>
      </c>
      <c r="R69" s="628">
        <f t="shared" si="14"/>
        <v>0</v>
      </c>
      <c r="S69" s="628">
        <f t="shared" si="15"/>
        <v>0</v>
      </c>
      <c r="T69" s="739">
        <f t="shared" si="16"/>
        <v>0</v>
      </c>
    </row>
    <row r="70" spans="1:20">
      <c r="A70" s="528">
        <v>53</v>
      </c>
      <c r="B70" s="538">
        <v>7000016865</v>
      </c>
      <c r="C70" s="538">
        <v>530</v>
      </c>
      <c r="D70" s="538" t="s">
        <v>540</v>
      </c>
      <c r="E70" s="538">
        <v>1000048808</v>
      </c>
      <c r="F70" s="538">
        <v>73082011</v>
      </c>
      <c r="G70" s="529"/>
      <c r="H70" s="538">
        <v>18</v>
      </c>
      <c r="I70" s="527"/>
      <c r="J70" s="530" t="s">
        <v>581</v>
      </c>
      <c r="K70" s="538" t="s">
        <v>476</v>
      </c>
      <c r="L70" s="538">
        <v>1</v>
      </c>
      <c r="M70" s="742"/>
      <c r="N70" s="540" t="str">
        <f t="shared" si="11"/>
        <v>INCLUDED</v>
      </c>
      <c r="O70" s="623">
        <f t="shared" si="12"/>
        <v>0</v>
      </c>
      <c r="P70" s="623">
        <f t="shared" si="13"/>
        <v>0</v>
      </c>
      <c r="Q70" s="623">
        <f>Discount!$H$36</f>
        <v>0</v>
      </c>
      <c r="R70" s="628">
        <f t="shared" si="14"/>
        <v>0</v>
      </c>
      <c r="S70" s="628">
        <f t="shared" si="15"/>
        <v>0</v>
      </c>
      <c r="T70" s="739">
        <f t="shared" si="16"/>
        <v>0</v>
      </c>
    </row>
    <row r="71" spans="1:20">
      <c r="A71" s="454">
        <v>54</v>
      </c>
      <c r="B71" s="538">
        <v>7000016865</v>
      </c>
      <c r="C71" s="538">
        <v>540</v>
      </c>
      <c r="D71" s="538" t="s">
        <v>540</v>
      </c>
      <c r="E71" s="538">
        <v>1000038340</v>
      </c>
      <c r="F71" s="538">
        <v>73082011</v>
      </c>
      <c r="G71" s="529"/>
      <c r="H71" s="538">
        <v>18</v>
      </c>
      <c r="I71" s="527"/>
      <c r="J71" s="530" t="s">
        <v>478</v>
      </c>
      <c r="K71" s="538" t="s">
        <v>476</v>
      </c>
      <c r="L71" s="538">
        <v>108</v>
      </c>
      <c r="M71" s="742"/>
      <c r="N71" s="540" t="str">
        <f t="shared" si="11"/>
        <v>INCLUDED</v>
      </c>
      <c r="O71" s="623">
        <f t="shared" si="12"/>
        <v>0</v>
      </c>
      <c r="P71" s="623">
        <f t="shared" si="13"/>
        <v>0</v>
      </c>
      <c r="Q71" s="623">
        <f>Discount!$H$36</f>
        <v>0</v>
      </c>
      <c r="R71" s="628">
        <f t="shared" si="14"/>
        <v>0</v>
      </c>
      <c r="S71" s="628">
        <f t="shared" si="15"/>
        <v>0</v>
      </c>
      <c r="T71" s="739">
        <f t="shared" si="16"/>
        <v>0</v>
      </c>
    </row>
    <row r="72" spans="1:20" ht="31.2">
      <c r="A72" s="528">
        <v>55</v>
      </c>
      <c r="B72" s="538">
        <v>7000016865</v>
      </c>
      <c r="C72" s="538">
        <v>550</v>
      </c>
      <c r="D72" s="538" t="s">
        <v>540</v>
      </c>
      <c r="E72" s="538">
        <v>1000019718</v>
      </c>
      <c r="F72" s="538">
        <v>73082011</v>
      </c>
      <c r="G72" s="529"/>
      <c r="H72" s="538">
        <v>18</v>
      </c>
      <c r="I72" s="527"/>
      <c r="J72" s="530" t="s">
        <v>479</v>
      </c>
      <c r="K72" s="538" t="s">
        <v>476</v>
      </c>
      <c r="L72" s="538">
        <v>6</v>
      </c>
      <c r="M72" s="742"/>
      <c r="N72" s="540" t="str">
        <f t="shared" si="11"/>
        <v>INCLUDED</v>
      </c>
      <c r="O72" s="623">
        <f t="shared" si="12"/>
        <v>0</v>
      </c>
      <c r="P72" s="623">
        <f t="shared" si="13"/>
        <v>0</v>
      </c>
      <c r="Q72" s="623">
        <f>Discount!$H$36</f>
        <v>0</v>
      </c>
      <c r="R72" s="628">
        <f t="shared" si="14"/>
        <v>0</v>
      </c>
      <c r="S72" s="628">
        <f t="shared" si="15"/>
        <v>0</v>
      </c>
      <c r="T72" s="739">
        <f t="shared" si="16"/>
        <v>0</v>
      </c>
    </row>
    <row r="73" spans="1:20" ht="31.2">
      <c r="A73" s="454">
        <v>56</v>
      </c>
      <c r="B73" s="538">
        <v>7000016865</v>
      </c>
      <c r="C73" s="538">
        <v>560</v>
      </c>
      <c r="D73" s="538" t="s">
        <v>540</v>
      </c>
      <c r="E73" s="538">
        <v>1000057380</v>
      </c>
      <c r="F73" s="538">
        <v>73082011</v>
      </c>
      <c r="G73" s="529"/>
      <c r="H73" s="538">
        <v>18</v>
      </c>
      <c r="I73" s="527"/>
      <c r="J73" s="530" t="s">
        <v>582</v>
      </c>
      <c r="K73" s="538" t="s">
        <v>476</v>
      </c>
      <c r="L73" s="538">
        <v>1</v>
      </c>
      <c r="M73" s="742"/>
      <c r="N73" s="540" t="str">
        <f t="shared" si="11"/>
        <v>INCLUDED</v>
      </c>
      <c r="O73" s="623">
        <f t="shared" si="12"/>
        <v>0</v>
      </c>
      <c r="P73" s="623">
        <f t="shared" si="13"/>
        <v>0</v>
      </c>
      <c r="Q73" s="623">
        <f>Discount!$H$36</f>
        <v>0</v>
      </c>
      <c r="R73" s="628">
        <f t="shared" si="14"/>
        <v>0</v>
      </c>
      <c r="S73" s="628">
        <f t="shared" si="15"/>
        <v>0</v>
      </c>
      <c r="T73" s="739">
        <f t="shared" si="16"/>
        <v>0</v>
      </c>
    </row>
    <row r="74" spans="1:20">
      <c r="A74" s="528">
        <v>57</v>
      </c>
      <c r="B74" s="538">
        <v>7000016865</v>
      </c>
      <c r="C74" s="538">
        <v>570</v>
      </c>
      <c r="D74" s="538" t="s">
        <v>540</v>
      </c>
      <c r="E74" s="538">
        <v>1000034135</v>
      </c>
      <c r="F74" s="538">
        <v>73082011</v>
      </c>
      <c r="G74" s="529"/>
      <c r="H74" s="538">
        <v>18</v>
      </c>
      <c r="I74" s="527"/>
      <c r="J74" s="530" t="s">
        <v>583</v>
      </c>
      <c r="K74" s="538" t="s">
        <v>514</v>
      </c>
      <c r="L74" s="538">
        <v>0.5</v>
      </c>
      <c r="M74" s="742"/>
      <c r="N74" s="540" t="str">
        <f t="shared" si="11"/>
        <v>INCLUDED</v>
      </c>
      <c r="O74" s="623">
        <f t="shared" si="12"/>
        <v>0</v>
      </c>
      <c r="P74" s="623">
        <f t="shared" si="13"/>
        <v>0</v>
      </c>
      <c r="Q74" s="623">
        <f>Discount!$H$36</f>
        <v>0</v>
      </c>
      <c r="R74" s="628">
        <f t="shared" si="14"/>
        <v>0</v>
      </c>
      <c r="S74" s="628">
        <f t="shared" si="15"/>
        <v>0</v>
      </c>
      <c r="T74" s="739">
        <f t="shared" si="16"/>
        <v>0</v>
      </c>
    </row>
    <row r="75" spans="1:20">
      <c r="A75" s="454">
        <v>58</v>
      </c>
      <c r="B75" s="538">
        <v>7000016865</v>
      </c>
      <c r="C75" s="538">
        <v>580</v>
      </c>
      <c r="D75" s="538" t="s">
        <v>541</v>
      </c>
      <c r="E75" s="538">
        <v>1000010539</v>
      </c>
      <c r="F75" s="538">
        <v>73082011</v>
      </c>
      <c r="G75" s="529"/>
      <c r="H75" s="538">
        <v>18</v>
      </c>
      <c r="I75" s="527"/>
      <c r="J75" s="530" t="s">
        <v>584</v>
      </c>
      <c r="K75" s="538" t="s">
        <v>476</v>
      </c>
      <c r="L75" s="538">
        <v>112</v>
      </c>
      <c r="M75" s="742"/>
      <c r="N75" s="540" t="str">
        <f t="shared" si="11"/>
        <v>INCLUDED</v>
      </c>
      <c r="O75" s="623">
        <f t="shared" si="12"/>
        <v>0</v>
      </c>
      <c r="P75" s="623">
        <f t="shared" si="13"/>
        <v>0</v>
      </c>
      <c r="Q75" s="623">
        <f>Discount!$H$36</f>
        <v>0</v>
      </c>
      <c r="R75" s="628">
        <f t="shared" si="14"/>
        <v>0</v>
      </c>
      <c r="S75" s="628">
        <f t="shared" si="15"/>
        <v>0</v>
      </c>
      <c r="T75" s="739">
        <f t="shared" si="16"/>
        <v>0</v>
      </c>
    </row>
    <row r="76" spans="1:20">
      <c r="A76" s="528">
        <v>59</v>
      </c>
      <c r="B76" s="538">
        <v>7000016865</v>
      </c>
      <c r="C76" s="538">
        <v>590</v>
      </c>
      <c r="D76" s="538" t="s">
        <v>541</v>
      </c>
      <c r="E76" s="538">
        <v>1000015971</v>
      </c>
      <c r="F76" s="538">
        <v>73082011</v>
      </c>
      <c r="G76" s="529"/>
      <c r="H76" s="538">
        <v>18</v>
      </c>
      <c r="I76" s="527"/>
      <c r="J76" s="530" t="s">
        <v>585</v>
      </c>
      <c r="K76" s="538" t="s">
        <v>476</v>
      </c>
      <c r="L76" s="538">
        <v>112</v>
      </c>
      <c r="M76" s="742"/>
      <c r="N76" s="540" t="str">
        <f t="shared" si="11"/>
        <v>INCLUDED</v>
      </c>
      <c r="O76" s="623">
        <f t="shared" si="12"/>
        <v>0</v>
      </c>
      <c r="P76" s="623">
        <f t="shared" si="13"/>
        <v>0</v>
      </c>
      <c r="Q76" s="623">
        <f>Discount!$H$36</f>
        <v>0</v>
      </c>
      <c r="R76" s="628">
        <f t="shared" si="14"/>
        <v>0</v>
      </c>
      <c r="S76" s="628">
        <f t="shared" si="15"/>
        <v>0</v>
      </c>
      <c r="T76" s="739">
        <f t="shared" si="16"/>
        <v>0</v>
      </c>
    </row>
    <row r="77" spans="1:20">
      <c r="A77" s="454">
        <v>60</v>
      </c>
      <c r="B77" s="538">
        <v>7000016865</v>
      </c>
      <c r="C77" s="538">
        <v>600</v>
      </c>
      <c r="D77" s="538" t="s">
        <v>541</v>
      </c>
      <c r="E77" s="538">
        <v>1000017508</v>
      </c>
      <c r="F77" s="538">
        <v>73082011</v>
      </c>
      <c r="G77" s="529"/>
      <c r="H77" s="538">
        <v>18</v>
      </c>
      <c r="I77" s="527"/>
      <c r="J77" s="530" t="s">
        <v>480</v>
      </c>
      <c r="K77" s="538" t="s">
        <v>481</v>
      </c>
      <c r="L77" s="538">
        <v>448</v>
      </c>
      <c r="M77" s="742"/>
      <c r="N77" s="540" t="str">
        <f t="shared" si="11"/>
        <v>INCLUDED</v>
      </c>
      <c r="O77" s="623">
        <f t="shared" si="12"/>
        <v>0</v>
      </c>
      <c r="P77" s="623">
        <f t="shared" si="13"/>
        <v>0</v>
      </c>
      <c r="Q77" s="623">
        <f>Discount!$H$36</f>
        <v>0</v>
      </c>
      <c r="R77" s="628">
        <f t="shared" si="14"/>
        <v>0</v>
      </c>
      <c r="S77" s="628">
        <f t="shared" si="15"/>
        <v>0</v>
      </c>
      <c r="T77" s="739">
        <f t="shared" si="16"/>
        <v>0</v>
      </c>
    </row>
    <row r="78" spans="1:20">
      <c r="A78" s="528">
        <v>61</v>
      </c>
      <c r="B78" s="538">
        <v>7000016865</v>
      </c>
      <c r="C78" s="538">
        <v>610</v>
      </c>
      <c r="D78" s="538" t="s">
        <v>541</v>
      </c>
      <c r="E78" s="538">
        <v>1000009119</v>
      </c>
      <c r="F78" s="538">
        <v>73082011</v>
      </c>
      <c r="G78" s="529"/>
      <c r="H78" s="538">
        <v>18</v>
      </c>
      <c r="I78" s="527"/>
      <c r="J78" s="530" t="s">
        <v>482</v>
      </c>
      <c r="K78" s="538" t="s">
        <v>481</v>
      </c>
      <c r="L78" s="538">
        <v>224</v>
      </c>
      <c r="M78" s="742"/>
      <c r="N78" s="540" t="str">
        <f t="shared" si="11"/>
        <v>INCLUDED</v>
      </c>
      <c r="O78" s="623">
        <f t="shared" si="12"/>
        <v>0</v>
      </c>
      <c r="P78" s="623">
        <f t="shared" si="13"/>
        <v>0</v>
      </c>
      <c r="Q78" s="623">
        <f>Discount!$H$36</f>
        <v>0</v>
      </c>
      <c r="R78" s="628">
        <f t="shared" si="14"/>
        <v>0</v>
      </c>
      <c r="S78" s="628">
        <f t="shared" si="15"/>
        <v>0</v>
      </c>
      <c r="T78" s="739">
        <f t="shared" si="16"/>
        <v>0</v>
      </c>
    </row>
    <row r="79" spans="1:20">
      <c r="A79" s="454">
        <v>62</v>
      </c>
      <c r="B79" s="538">
        <v>7000016865</v>
      </c>
      <c r="C79" s="538">
        <v>620</v>
      </c>
      <c r="D79" s="538" t="s">
        <v>541</v>
      </c>
      <c r="E79" s="538">
        <v>1000006779</v>
      </c>
      <c r="F79" s="538">
        <v>73082011</v>
      </c>
      <c r="G79" s="529"/>
      <c r="H79" s="538">
        <v>18</v>
      </c>
      <c r="I79" s="527"/>
      <c r="J79" s="530" t="s">
        <v>483</v>
      </c>
      <c r="K79" s="538" t="s">
        <v>481</v>
      </c>
      <c r="L79" s="538">
        <v>112</v>
      </c>
      <c r="M79" s="742"/>
      <c r="N79" s="540" t="str">
        <f t="shared" si="11"/>
        <v>INCLUDED</v>
      </c>
      <c r="O79" s="623">
        <f t="shared" si="12"/>
        <v>0</v>
      </c>
      <c r="P79" s="623">
        <f t="shared" si="13"/>
        <v>0</v>
      </c>
      <c r="Q79" s="623">
        <f>Discount!$H$36</f>
        <v>0</v>
      </c>
      <c r="R79" s="628">
        <f t="shared" si="14"/>
        <v>0</v>
      </c>
      <c r="S79" s="628">
        <f t="shared" si="15"/>
        <v>0</v>
      </c>
      <c r="T79" s="739">
        <f t="shared" si="16"/>
        <v>0</v>
      </c>
    </row>
    <row r="80" spans="1:20">
      <c r="A80" s="528">
        <v>63</v>
      </c>
      <c r="B80" s="538">
        <v>7000016865</v>
      </c>
      <c r="C80" s="538">
        <v>630</v>
      </c>
      <c r="D80" s="538" t="s">
        <v>541</v>
      </c>
      <c r="E80" s="538">
        <v>1000007735</v>
      </c>
      <c r="F80" s="538">
        <v>73082011</v>
      </c>
      <c r="G80" s="529"/>
      <c r="H80" s="538">
        <v>18</v>
      </c>
      <c r="I80" s="527"/>
      <c r="J80" s="530" t="s">
        <v>586</v>
      </c>
      <c r="K80" s="538" t="s">
        <v>481</v>
      </c>
      <c r="L80" s="538">
        <v>368</v>
      </c>
      <c r="M80" s="742"/>
      <c r="N80" s="540" t="str">
        <f t="shared" si="11"/>
        <v>INCLUDED</v>
      </c>
      <c r="O80" s="623">
        <f t="shared" si="12"/>
        <v>0</v>
      </c>
      <c r="P80" s="623">
        <f t="shared" si="13"/>
        <v>0</v>
      </c>
      <c r="Q80" s="623">
        <f>Discount!$H$36</f>
        <v>0</v>
      </c>
      <c r="R80" s="628">
        <f t="shared" si="14"/>
        <v>0</v>
      </c>
      <c r="S80" s="628">
        <f t="shared" si="15"/>
        <v>0</v>
      </c>
      <c r="T80" s="739">
        <f t="shared" si="16"/>
        <v>0</v>
      </c>
    </row>
    <row r="81" spans="1:20">
      <c r="A81" s="454">
        <v>64</v>
      </c>
      <c r="B81" s="538">
        <v>7000016865</v>
      </c>
      <c r="C81" s="538">
        <v>640</v>
      </c>
      <c r="D81" s="538" t="s">
        <v>541</v>
      </c>
      <c r="E81" s="538">
        <v>1000045871</v>
      </c>
      <c r="F81" s="538">
        <v>73082011</v>
      </c>
      <c r="G81" s="529"/>
      <c r="H81" s="538">
        <v>18</v>
      </c>
      <c r="I81" s="527"/>
      <c r="J81" s="530" t="s">
        <v>587</v>
      </c>
      <c r="K81" s="538" t="s">
        <v>476</v>
      </c>
      <c r="L81" s="538">
        <v>315</v>
      </c>
      <c r="M81" s="742"/>
      <c r="N81" s="540" t="str">
        <f t="shared" si="11"/>
        <v>INCLUDED</v>
      </c>
      <c r="O81" s="623">
        <f t="shared" si="12"/>
        <v>0</v>
      </c>
      <c r="P81" s="623">
        <f t="shared" si="13"/>
        <v>0</v>
      </c>
      <c r="Q81" s="623">
        <f>Discount!$H$36</f>
        <v>0</v>
      </c>
      <c r="R81" s="628">
        <f t="shared" si="14"/>
        <v>0</v>
      </c>
      <c r="S81" s="628">
        <f t="shared" si="15"/>
        <v>0</v>
      </c>
      <c r="T81" s="739">
        <f t="shared" si="16"/>
        <v>0</v>
      </c>
    </row>
    <row r="82" spans="1:20">
      <c r="A82" s="528">
        <v>65</v>
      </c>
      <c r="B82" s="538">
        <v>7000016865</v>
      </c>
      <c r="C82" s="538">
        <v>860</v>
      </c>
      <c r="D82" s="538" t="s">
        <v>542</v>
      </c>
      <c r="E82" s="538">
        <v>1000019903</v>
      </c>
      <c r="F82" s="538">
        <v>73082011</v>
      </c>
      <c r="G82" s="529"/>
      <c r="H82" s="538">
        <v>18</v>
      </c>
      <c r="I82" s="527"/>
      <c r="J82" s="530" t="s">
        <v>522</v>
      </c>
      <c r="K82" s="538" t="s">
        <v>476</v>
      </c>
      <c r="L82" s="538">
        <v>70</v>
      </c>
      <c r="M82" s="742"/>
      <c r="N82" s="540" t="str">
        <f t="shared" si="11"/>
        <v>INCLUDED</v>
      </c>
      <c r="O82" s="623">
        <f t="shared" si="12"/>
        <v>0</v>
      </c>
      <c r="P82" s="623">
        <f t="shared" si="13"/>
        <v>0</v>
      </c>
      <c r="Q82" s="623">
        <f>Discount!$H$36</f>
        <v>0</v>
      </c>
      <c r="R82" s="628">
        <f t="shared" si="14"/>
        <v>0</v>
      </c>
      <c r="S82" s="628">
        <f t="shared" si="15"/>
        <v>0</v>
      </c>
      <c r="T82" s="739">
        <f t="shared" si="16"/>
        <v>0</v>
      </c>
    </row>
    <row r="83" spans="1:20">
      <c r="A83" s="454">
        <v>66</v>
      </c>
      <c r="B83" s="538">
        <v>7000016865</v>
      </c>
      <c r="C83" s="538">
        <v>870</v>
      </c>
      <c r="D83" s="538" t="s">
        <v>542</v>
      </c>
      <c r="E83" s="538">
        <v>1000016663</v>
      </c>
      <c r="F83" s="538">
        <v>85391000</v>
      </c>
      <c r="G83" s="529"/>
      <c r="H83" s="538">
        <v>18</v>
      </c>
      <c r="I83" s="527"/>
      <c r="J83" s="530" t="s">
        <v>523</v>
      </c>
      <c r="K83" s="538" t="s">
        <v>481</v>
      </c>
      <c r="L83" s="538">
        <v>34</v>
      </c>
      <c r="M83" s="742"/>
      <c r="N83" s="540" t="str">
        <f t="shared" si="11"/>
        <v>INCLUDED</v>
      </c>
      <c r="O83" s="623">
        <f t="shared" si="12"/>
        <v>0</v>
      </c>
      <c r="P83" s="623">
        <f t="shared" si="13"/>
        <v>0</v>
      </c>
      <c r="Q83" s="623">
        <f>Discount!$H$36</f>
        <v>0</v>
      </c>
      <c r="R83" s="628">
        <f t="shared" si="14"/>
        <v>0</v>
      </c>
      <c r="S83" s="628">
        <f t="shared" si="15"/>
        <v>0</v>
      </c>
      <c r="T83" s="739">
        <f t="shared" si="16"/>
        <v>0</v>
      </c>
    </row>
    <row r="84" spans="1:20">
      <c r="A84" s="528">
        <v>67</v>
      </c>
      <c r="B84" s="538">
        <v>7000016865</v>
      </c>
      <c r="C84" s="538">
        <v>890</v>
      </c>
      <c r="D84" s="538" t="s">
        <v>543</v>
      </c>
      <c r="E84" s="538">
        <v>1000030940</v>
      </c>
      <c r="F84" s="538">
        <v>85447090</v>
      </c>
      <c r="G84" s="529"/>
      <c r="H84" s="538">
        <v>18</v>
      </c>
      <c r="I84" s="527"/>
      <c r="J84" s="530" t="s">
        <v>485</v>
      </c>
      <c r="K84" s="538" t="s">
        <v>484</v>
      </c>
      <c r="L84" s="538">
        <v>90.9</v>
      </c>
      <c r="M84" s="742"/>
      <c r="N84" s="540" t="str">
        <f t="shared" si="11"/>
        <v>INCLUDED</v>
      </c>
      <c r="O84" s="623">
        <f t="shared" si="12"/>
        <v>0</v>
      </c>
      <c r="P84" s="623">
        <f t="shared" si="13"/>
        <v>0</v>
      </c>
      <c r="Q84" s="623">
        <f>Discount!$H$36</f>
        <v>0</v>
      </c>
      <c r="R84" s="628">
        <f t="shared" si="14"/>
        <v>0</v>
      </c>
      <c r="S84" s="628">
        <f t="shared" si="15"/>
        <v>0</v>
      </c>
      <c r="T84" s="739">
        <f t="shared" si="16"/>
        <v>0</v>
      </c>
    </row>
    <row r="85" spans="1:20">
      <c r="A85" s="454">
        <v>68</v>
      </c>
      <c r="B85" s="538">
        <v>7000016865</v>
      </c>
      <c r="C85" s="538">
        <v>900</v>
      </c>
      <c r="D85" s="538" t="s">
        <v>543</v>
      </c>
      <c r="E85" s="538">
        <v>1000020444</v>
      </c>
      <c r="F85" s="538">
        <v>82057000</v>
      </c>
      <c r="G85" s="529"/>
      <c r="H85" s="538">
        <v>18</v>
      </c>
      <c r="I85" s="527"/>
      <c r="J85" s="530" t="s">
        <v>588</v>
      </c>
      <c r="K85" s="538" t="s">
        <v>476</v>
      </c>
      <c r="L85" s="538">
        <v>162</v>
      </c>
      <c r="M85" s="742"/>
      <c r="N85" s="540" t="str">
        <f t="shared" si="11"/>
        <v>INCLUDED</v>
      </c>
      <c r="O85" s="623">
        <f t="shared" si="12"/>
        <v>0</v>
      </c>
      <c r="P85" s="623">
        <f t="shared" si="13"/>
        <v>0</v>
      </c>
      <c r="Q85" s="623">
        <f>Discount!$H$36</f>
        <v>0</v>
      </c>
      <c r="R85" s="628">
        <f t="shared" si="14"/>
        <v>0</v>
      </c>
      <c r="S85" s="628">
        <f t="shared" si="15"/>
        <v>0</v>
      </c>
      <c r="T85" s="739">
        <f t="shared" si="16"/>
        <v>0</v>
      </c>
    </row>
    <row r="86" spans="1:20">
      <c r="A86" s="528">
        <v>69</v>
      </c>
      <c r="B86" s="538">
        <v>7000016865</v>
      </c>
      <c r="C86" s="538">
        <v>910</v>
      </c>
      <c r="D86" s="538" t="s">
        <v>543</v>
      </c>
      <c r="E86" s="538">
        <v>1000033144</v>
      </c>
      <c r="F86" s="538">
        <v>82057000</v>
      </c>
      <c r="G86" s="529"/>
      <c r="H86" s="538">
        <v>18</v>
      </c>
      <c r="I86" s="527"/>
      <c r="J86" s="530" t="s">
        <v>486</v>
      </c>
      <c r="K86" s="538" t="s">
        <v>481</v>
      </c>
      <c r="L86" s="538">
        <v>2</v>
      </c>
      <c r="M86" s="742"/>
      <c r="N86" s="540" t="str">
        <f t="shared" si="11"/>
        <v>INCLUDED</v>
      </c>
      <c r="O86" s="623">
        <f t="shared" si="12"/>
        <v>0</v>
      </c>
      <c r="P86" s="623">
        <f t="shared" si="13"/>
        <v>0</v>
      </c>
      <c r="Q86" s="623">
        <f>Discount!$H$36</f>
        <v>0</v>
      </c>
      <c r="R86" s="628">
        <f t="shared" si="14"/>
        <v>0</v>
      </c>
      <c r="S86" s="628">
        <f t="shared" si="15"/>
        <v>0</v>
      </c>
      <c r="T86" s="739">
        <f t="shared" si="16"/>
        <v>0</v>
      </c>
    </row>
    <row r="87" spans="1:20" ht="31.2">
      <c r="A87" s="454">
        <v>70</v>
      </c>
      <c r="B87" s="538">
        <v>7000016865</v>
      </c>
      <c r="C87" s="538">
        <v>920</v>
      </c>
      <c r="D87" s="538" t="s">
        <v>543</v>
      </c>
      <c r="E87" s="538">
        <v>1000031039</v>
      </c>
      <c r="F87" s="538">
        <v>82057000</v>
      </c>
      <c r="G87" s="529"/>
      <c r="H87" s="538">
        <v>18</v>
      </c>
      <c r="I87" s="527"/>
      <c r="J87" s="530" t="s">
        <v>488</v>
      </c>
      <c r="K87" s="538" t="s">
        <v>481</v>
      </c>
      <c r="L87" s="538">
        <v>18</v>
      </c>
      <c r="M87" s="742"/>
      <c r="N87" s="540" t="str">
        <f t="shared" si="11"/>
        <v>INCLUDED</v>
      </c>
      <c r="O87" s="623">
        <f t="shared" si="12"/>
        <v>0</v>
      </c>
      <c r="P87" s="623">
        <f t="shared" si="13"/>
        <v>0</v>
      </c>
      <c r="Q87" s="623">
        <f>Discount!$H$36</f>
        <v>0</v>
      </c>
      <c r="R87" s="628">
        <f t="shared" si="14"/>
        <v>0</v>
      </c>
      <c r="S87" s="628">
        <f t="shared" si="15"/>
        <v>0</v>
      </c>
      <c r="T87" s="739">
        <f t="shared" si="16"/>
        <v>0</v>
      </c>
    </row>
    <row r="88" spans="1:20">
      <c r="A88" s="528">
        <v>71</v>
      </c>
      <c r="B88" s="538">
        <v>7000016865</v>
      </c>
      <c r="C88" s="538">
        <v>930</v>
      </c>
      <c r="D88" s="538" t="s">
        <v>543</v>
      </c>
      <c r="E88" s="538">
        <v>1000033146</v>
      </c>
      <c r="F88" s="538">
        <v>82057000</v>
      </c>
      <c r="G88" s="529"/>
      <c r="H88" s="538">
        <v>18</v>
      </c>
      <c r="I88" s="527"/>
      <c r="J88" s="530" t="s">
        <v>489</v>
      </c>
      <c r="K88" s="538" t="s">
        <v>481</v>
      </c>
      <c r="L88" s="538">
        <v>20</v>
      </c>
      <c r="M88" s="742"/>
      <c r="N88" s="540" t="str">
        <f t="shared" si="11"/>
        <v>INCLUDED</v>
      </c>
      <c r="O88" s="623">
        <f t="shared" si="12"/>
        <v>0</v>
      </c>
      <c r="P88" s="623">
        <f t="shared" si="13"/>
        <v>0</v>
      </c>
      <c r="Q88" s="623">
        <f>Discount!$H$36</f>
        <v>0</v>
      </c>
      <c r="R88" s="628">
        <f t="shared" si="14"/>
        <v>0</v>
      </c>
      <c r="S88" s="628">
        <f t="shared" si="15"/>
        <v>0</v>
      </c>
      <c r="T88" s="739">
        <f t="shared" si="16"/>
        <v>0</v>
      </c>
    </row>
    <row r="89" spans="1:20" ht="31.2">
      <c r="A89" s="454">
        <v>72</v>
      </c>
      <c r="B89" s="538">
        <v>7000016865</v>
      </c>
      <c r="C89" s="538">
        <v>940</v>
      </c>
      <c r="D89" s="538" t="s">
        <v>543</v>
      </c>
      <c r="E89" s="538">
        <v>1000031041</v>
      </c>
      <c r="F89" s="538">
        <v>82057000</v>
      </c>
      <c r="G89" s="529"/>
      <c r="H89" s="538">
        <v>18</v>
      </c>
      <c r="I89" s="527"/>
      <c r="J89" s="530" t="s">
        <v>487</v>
      </c>
      <c r="K89" s="538" t="s">
        <v>481</v>
      </c>
      <c r="L89" s="538">
        <v>1</v>
      </c>
      <c r="M89" s="742"/>
      <c r="N89" s="540" t="str">
        <f t="shared" si="11"/>
        <v>INCLUDED</v>
      </c>
      <c r="O89" s="623">
        <f t="shared" si="12"/>
        <v>0</v>
      </c>
      <c r="P89" s="623">
        <f t="shared" si="13"/>
        <v>0</v>
      </c>
      <c r="Q89" s="623">
        <f>Discount!$H$36</f>
        <v>0</v>
      </c>
      <c r="R89" s="628">
        <f t="shared" si="14"/>
        <v>0</v>
      </c>
      <c r="S89" s="628">
        <f t="shared" si="15"/>
        <v>0</v>
      </c>
      <c r="T89" s="739">
        <f t="shared" si="16"/>
        <v>0</v>
      </c>
    </row>
    <row r="90" spans="1:20">
      <c r="A90" s="528">
        <v>73</v>
      </c>
      <c r="B90" s="538">
        <v>7000016865</v>
      </c>
      <c r="C90" s="538">
        <v>950</v>
      </c>
      <c r="D90" s="538" t="s">
        <v>543</v>
      </c>
      <c r="E90" s="538">
        <v>1000022417</v>
      </c>
      <c r="F90" s="538">
        <v>82057000</v>
      </c>
      <c r="G90" s="529"/>
      <c r="H90" s="538">
        <v>18</v>
      </c>
      <c r="I90" s="527"/>
      <c r="J90" s="530" t="s">
        <v>490</v>
      </c>
      <c r="K90" s="538" t="s">
        <v>476</v>
      </c>
      <c r="L90" s="538">
        <v>484</v>
      </c>
      <c r="M90" s="742"/>
      <c r="N90" s="540" t="str">
        <f t="shared" si="11"/>
        <v>INCLUDED</v>
      </c>
      <c r="O90" s="623">
        <f t="shared" si="12"/>
        <v>0</v>
      </c>
      <c r="P90" s="623">
        <f t="shared" si="13"/>
        <v>0</v>
      </c>
      <c r="Q90" s="623">
        <f>Discount!$H$36</f>
        <v>0</v>
      </c>
      <c r="R90" s="628">
        <f t="shared" si="14"/>
        <v>0</v>
      </c>
      <c r="S90" s="628">
        <f t="shared" si="15"/>
        <v>0</v>
      </c>
      <c r="T90" s="739">
        <f t="shared" si="16"/>
        <v>0</v>
      </c>
    </row>
    <row r="91" spans="1:20">
      <c r="A91" s="454">
        <v>74</v>
      </c>
      <c r="B91" s="538">
        <v>7000016865</v>
      </c>
      <c r="C91" s="538">
        <v>960</v>
      </c>
      <c r="D91" s="538" t="s">
        <v>543</v>
      </c>
      <c r="E91" s="538">
        <v>1000010817</v>
      </c>
      <c r="F91" s="538">
        <v>82057000</v>
      </c>
      <c r="G91" s="529"/>
      <c r="H91" s="538">
        <v>18</v>
      </c>
      <c r="I91" s="527"/>
      <c r="J91" s="530" t="s">
        <v>491</v>
      </c>
      <c r="K91" s="538" t="s">
        <v>476</v>
      </c>
      <c r="L91" s="538">
        <v>1022</v>
      </c>
      <c r="M91" s="742"/>
      <c r="N91" s="540" t="str">
        <f t="shared" si="11"/>
        <v>INCLUDED</v>
      </c>
      <c r="O91" s="623">
        <f t="shared" si="12"/>
        <v>0</v>
      </c>
      <c r="P91" s="623">
        <f t="shared" si="13"/>
        <v>0</v>
      </c>
      <c r="Q91" s="623">
        <f>Discount!$H$36</f>
        <v>0</v>
      </c>
      <c r="R91" s="628">
        <f t="shared" si="14"/>
        <v>0</v>
      </c>
      <c r="S91" s="628">
        <f t="shared" si="15"/>
        <v>0</v>
      </c>
      <c r="T91" s="739">
        <f t="shared" si="16"/>
        <v>0</v>
      </c>
    </row>
    <row r="92" spans="1:20">
      <c r="A92" s="528">
        <v>75</v>
      </c>
      <c r="B92" s="538">
        <v>7000016865</v>
      </c>
      <c r="C92" s="538">
        <v>970</v>
      </c>
      <c r="D92" s="538" t="s">
        <v>543</v>
      </c>
      <c r="E92" s="538">
        <v>1000014198</v>
      </c>
      <c r="F92" s="538">
        <v>85353090</v>
      </c>
      <c r="G92" s="529"/>
      <c r="H92" s="538">
        <v>18</v>
      </c>
      <c r="I92" s="527"/>
      <c r="J92" s="530" t="s">
        <v>492</v>
      </c>
      <c r="K92" s="538" t="s">
        <v>476</v>
      </c>
      <c r="L92" s="538">
        <v>21</v>
      </c>
      <c r="M92" s="742"/>
      <c r="N92" s="540" t="str">
        <f t="shared" si="11"/>
        <v>INCLUDED</v>
      </c>
      <c r="O92" s="623">
        <f t="shared" si="12"/>
        <v>0</v>
      </c>
      <c r="P92" s="623">
        <f t="shared" si="13"/>
        <v>0</v>
      </c>
      <c r="Q92" s="623">
        <f>Discount!$H$36</f>
        <v>0</v>
      </c>
      <c r="R92" s="628">
        <f t="shared" si="14"/>
        <v>0</v>
      </c>
      <c r="S92" s="628">
        <f t="shared" si="15"/>
        <v>0</v>
      </c>
      <c r="T92" s="739">
        <f t="shared" si="16"/>
        <v>0</v>
      </c>
    </row>
    <row r="93" spans="1:20">
      <c r="A93" s="454">
        <v>76</v>
      </c>
      <c r="B93" s="538">
        <v>7000016865</v>
      </c>
      <c r="C93" s="538">
        <v>980</v>
      </c>
      <c r="D93" s="538" t="s">
        <v>543</v>
      </c>
      <c r="E93" s="538">
        <v>1000030940</v>
      </c>
      <c r="F93" s="538">
        <v>85447090</v>
      </c>
      <c r="G93" s="529"/>
      <c r="H93" s="538">
        <v>18</v>
      </c>
      <c r="I93" s="527"/>
      <c r="J93" s="530" t="s">
        <v>485</v>
      </c>
      <c r="K93" s="538" t="s">
        <v>484</v>
      </c>
      <c r="L93" s="538">
        <v>3.18</v>
      </c>
      <c r="M93" s="742"/>
      <c r="N93" s="540" t="str">
        <f t="shared" si="11"/>
        <v>INCLUDED</v>
      </c>
      <c r="O93" s="623">
        <f t="shared" si="12"/>
        <v>0</v>
      </c>
      <c r="P93" s="623">
        <f t="shared" si="13"/>
        <v>0</v>
      </c>
      <c r="Q93" s="623">
        <f>Discount!$H$36</f>
        <v>0</v>
      </c>
      <c r="R93" s="628">
        <f t="shared" si="14"/>
        <v>0</v>
      </c>
      <c r="S93" s="628">
        <f t="shared" si="15"/>
        <v>0</v>
      </c>
      <c r="T93" s="739">
        <f t="shared" si="16"/>
        <v>0</v>
      </c>
    </row>
    <row r="94" spans="1:20">
      <c r="A94" s="528">
        <v>77</v>
      </c>
      <c r="B94" s="538">
        <v>7000016865</v>
      </c>
      <c r="C94" s="538">
        <v>990</v>
      </c>
      <c r="D94" s="538" t="s">
        <v>543</v>
      </c>
      <c r="E94" s="538">
        <v>1000020444</v>
      </c>
      <c r="F94" s="538">
        <v>82057000</v>
      </c>
      <c r="G94" s="529"/>
      <c r="H94" s="538">
        <v>18</v>
      </c>
      <c r="I94" s="527"/>
      <c r="J94" s="530" t="s">
        <v>588</v>
      </c>
      <c r="K94" s="538" t="s">
        <v>476</v>
      </c>
      <c r="L94" s="538">
        <v>6</v>
      </c>
      <c r="M94" s="742"/>
      <c r="N94" s="540" t="str">
        <f t="shared" si="11"/>
        <v>INCLUDED</v>
      </c>
      <c r="O94" s="623">
        <f t="shared" si="12"/>
        <v>0</v>
      </c>
      <c r="P94" s="623">
        <f t="shared" si="13"/>
        <v>0</v>
      </c>
      <c r="Q94" s="623">
        <f>Discount!$H$36</f>
        <v>0</v>
      </c>
      <c r="R94" s="628">
        <f t="shared" si="14"/>
        <v>0</v>
      </c>
      <c r="S94" s="628">
        <f t="shared" si="15"/>
        <v>0</v>
      </c>
      <c r="T94" s="739">
        <f t="shared" si="16"/>
        <v>0</v>
      </c>
    </row>
    <row r="95" spans="1:20">
      <c r="A95" s="454">
        <v>78</v>
      </c>
      <c r="B95" s="538">
        <v>7000016865</v>
      </c>
      <c r="C95" s="538">
        <v>1000</v>
      </c>
      <c r="D95" s="538" t="s">
        <v>543</v>
      </c>
      <c r="E95" s="538">
        <v>1000033144</v>
      </c>
      <c r="F95" s="538">
        <v>82057000</v>
      </c>
      <c r="G95" s="529"/>
      <c r="H95" s="538">
        <v>18</v>
      </c>
      <c r="I95" s="527"/>
      <c r="J95" s="530" t="s">
        <v>486</v>
      </c>
      <c r="K95" s="538" t="s">
        <v>481</v>
      </c>
      <c r="L95" s="538">
        <v>1</v>
      </c>
      <c r="M95" s="742"/>
      <c r="N95" s="540" t="str">
        <f t="shared" si="11"/>
        <v>INCLUDED</v>
      </c>
      <c r="O95" s="623">
        <f t="shared" si="12"/>
        <v>0</v>
      </c>
      <c r="P95" s="623">
        <f t="shared" si="13"/>
        <v>0</v>
      </c>
      <c r="Q95" s="623">
        <f>Discount!$H$36</f>
        <v>0</v>
      </c>
      <c r="R95" s="628">
        <f t="shared" si="14"/>
        <v>0</v>
      </c>
      <c r="S95" s="628">
        <f t="shared" si="15"/>
        <v>0</v>
      </c>
      <c r="T95" s="739">
        <f t="shared" si="16"/>
        <v>0</v>
      </c>
    </row>
    <row r="96" spans="1:20" ht="31.2">
      <c r="A96" s="528">
        <v>79</v>
      </c>
      <c r="B96" s="538">
        <v>7000016865</v>
      </c>
      <c r="C96" s="538">
        <v>1010</v>
      </c>
      <c r="D96" s="538" t="s">
        <v>543</v>
      </c>
      <c r="E96" s="538">
        <v>1000031039</v>
      </c>
      <c r="F96" s="538">
        <v>82057000</v>
      </c>
      <c r="G96" s="529"/>
      <c r="H96" s="538">
        <v>18</v>
      </c>
      <c r="I96" s="527"/>
      <c r="J96" s="530" t="s">
        <v>488</v>
      </c>
      <c r="K96" s="538" t="s">
        <v>481</v>
      </c>
      <c r="L96" s="538">
        <v>1</v>
      </c>
      <c r="M96" s="742"/>
      <c r="N96" s="540" t="str">
        <f t="shared" si="11"/>
        <v>INCLUDED</v>
      </c>
      <c r="O96" s="623">
        <f t="shared" si="12"/>
        <v>0</v>
      </c>
      <c r="P96" s="623">
        <f t="shared" si="13"/>
        <v>0</v>
      </c>
      <c r="Q96" s="623">
        <f>Discount!$H$36</f>
        <v>0</v>
      </c>
      <c r="R96" s="628">
        <f t="shared" si="14"/>
        <v>0</v>
      </c>
      <c r="S96" s="628">
        <f t="shared" si="15"/>
        <v>0</v>
      </c>
      <c r="T96" s="739">
        <f t="shared" si="16"/>
        <v>0</v>
      </c>
    </row>
    <row r="97" spans="1:20">
      <c r="A97" s="454">
        <v>80</v>
      </c>
      <c r="B97" s="538">
        <v>7000016865</v>
      </c>
      <c r="C97" s="538">
        <v>1020</v>
      </c>
      <c r="D97" s="538" t="s">
        <v>543</v>
      </c>
      <c r="E97" s="538">
        <v>1000033146</v>
      </c>
      <c r="F97" s="538">
        <v>82057000</v>
      </c>
      <c r="G97" s="529"/>
      <c r="H97" s="538">
        <v>18</v>
      </c>
      <c r="I97" s="527"/>
      <c r="J97" s="530" t="s">
        <v>489</v>
      </c>
      <c r="K97" s="538" t="s">
        <v>481</v>
      </c>
      <c r="L97" s="538">
        <v>1</v>
      </c>
      <c r="M97" s="742"/>
      <c r="N97" s="540" t="str">
        <f t="shared" si="11"/>
        <v>INCLUDED</v>
      </c>
      <c r="O97" s="623">
        <f t="shared" si="12"/>
        <v>0</v>
      </c>
      <c r="P97" s="623">
        <f t="shared" si="13"/>
        <v>0</v>
      </c>
      <c r="Q97" s="623">
        <f>Discount!$H$36</f>
        <v>0</v>
      </c>
      <c r="R97" s="628">
        <f t="shared" si="14"/>
        <v>0</v>
      </c>
      <c r="S97" s="628">
        <f t="shared" si="15"/>
        <v>0</v>
      </c>
      <c r="T97" s="739">
        <f t="shared" si="16"/>
        <v>0</v>
      </c>
    </row>
    <row r="98" spans="1:20" ht="31.2">
      <c r="A98" s="528">
        <v>81</v>
      </c>
      <c r="B98" s="538">
        <v>7000016865</v>
      </c>
      <c r="C98" s="538">
        <v>1030</v>
      </c>
      <c r="D98" s="538" t="s">
        <v>543</v>
      </c>
      <c r="E98" s="538">
        <v>1000031041</v>
      </c>
      <c r="F98" s="538">
        <v>82057000</v>
      </c>
      <c r="G98" s="529"/>
      <c r="H98" s="538">
        <v>18</v>
      </c>
      <c r="I98" s="527"/>
      <c r="J98" s="530" t="s">
        <v>487</v>
      </c>
      <c r="K98" s="538" t="s">
        <v>481</v>
      </c>
      <c r="L98" s="538">
        <v>1</v>
      </c>
      <c r="M98" s="742"/>
      <c r="N98" s="540" t="str">
        <f t="shared" si="11"/>
        <v>INCLUDED</v>
      </c>
      <c r="O98" s="623">
        <f t="shared" si="12"/>
        <v>0</v>
      </c>
      <c r="P98" s="623">
        <f t="shared" si="13"/>
        <v>0</v>
      </c>
      <c r="Q98" s="623">
        <f>Discount!$H$36</f>
        <v>0</v>
      </c>
      <c r="R98" s="628">
        <f t="shared" si="14"/>
        <v>0</v>
      </c>
      <c r="S98" s="628">
        <f t="shared" si="15"/>
        <v>0</v>
      </c>
      <c r="T98" s="739">
        <f t="shared" si="16"/>
        <v>0</v>
      </c>
    </row>
    <row r="99" spans="1:20">
      <c r="A99" s="454">
        <v>82</v>
      </c>
      <c r="B99" s="538">
        <v>7000016865</v>
      </c>
      <c r="C99" s="538">
        <v>1040</v>
      </c>
      <c r="D99" s="538" t="s">
        <v>543</v>
      </c>
      <c r="E99" s="538">
        <v>1000022417</v>
      </c>
      <c r="F99" s="538">
        <v>82057000</v>
      </c>
      <c r="G99" s="529"/>
      <c r="H99" s="538">
        <v>18</v>
      </c>
      <c r="I99" s="527"/>
      <c r="J99" s="530" t="s">
        <v>490</v>
      </c>
      <c r="K99" s="538" t="s">
        <v>476</v>
      </c>
      <c r="L99" s="538">
        <v>17</v>
      </c>
      <c r="M99" s="742"/>
      <c r="N99" s="540" t="str">
        <f t="shared" si="11"/>
        <v>INCLUDED</v>
      </c>
      <c r="O99" s="623">
        <f t="shared" si="12"/>
        <v>0</v>
      </c>
      <c r="P99" s="623">
        <f t="shared" si="13"/>
        <v>0</v>
      </c>
      <c r="Q99" s="623">
        <f>Discount!$H$36</f>
        <v>0</v>
      </c>
      <c r="R99" s="628">
        <f t="shared" si="14"/>
        <v>0</v>
      </c>
      <c r="S99" s="628">
        <f t="shared" si="15"/>
        <v>0</v>
      </c>
      <c r="T99" s="739">
        <f t="shared" si="16"/>
        <v>0</v>
      </c>
    </row>
    <row r="100" spans="1:20">
      <c r="A100" s="528">
        <v>83</v>
      </c>
      <c r="B100" s="538">
        <v>7000016865</v>
      </c>
      <c r="C100" s="538">
        <v>1050</v>
      </c>
      <c r="D100" s="538" t="s">
        <v>543</v>
      </c>
      <c r="E100" s="538">
        <v>1000010817</v>
      </c>
      <c r="F100" s="538">
        <v>82057000</v>
      </c>
      <c r="G100" s="529"/>
      <c r="H100" s="538">
        <v>18</v>
      </c>
      <c r="I100" s="527"/>
      <c r="J100" s="530" t="s">
        <v>491</v>
      </c>
      <c r="K100" s="538" t="s">
        <v>476</v>
      </c>
      <c r="L100" s="538">
        <v>36</v>
      </c>
      <c r="M100" s="742"/>
      <c r="N100" s="540" t="str">
        <f t="shared" si="11"/>
        <v>INCLUDED</v>
      </c>
      <c r="O100" s="623">
        <f t="shared" si="12"/>
        <v>0</v>
      </c>
      <c r="P100" s="623">
        <f t="shared" si="13"/>
        <v>0</v>
      </c>
      <c r="Q100" s="623">
        <f>Discount!$H$36</f>
        <v>0</v>
      </c>
      <c r="R100" s="628">
        <f t="shared" si="14"/>
        <v>0</v>
      </c>
      <c r="S100" s="628">
        <f t="shared" si="15"/>
        <v>0</v>
      </c>
      <c r="T100" s="739">
        <f t="shared" si="16"/>
        <v>0</v>
      </c>
    </row>
    <row r="101" spans="1:20">
      <c r="A101" s="454">
        <v>84</v>
      </c>
      <c r="B101" s="538">
        <v>7000016865</v>
      </c>
      <c r="C101" s="538">
        <v>1060</v>
      </c>
      <c r="D101" s="538" t="s">
        <v>543</v>
      </c>
      <c r="E101" s="538">
        <v>1000014198</v>
      </c>
      <c r="F101" s="538">
        <v>85353090</v>
      </c>
      <c r="G101" s="529"/>
      <c r="H101" s="538">
        <v>18</v>
      </c>
      <c r="I101" s="527"/>
      <c r="J101" s="530" t="s">
        <v>492</v>
      </c>
      <c r="K101" s="538" t="s">
        <v>476</v>
      </c>
      <c r="L101" s="538">
        <v>1</v>
      </c>
      <c r="M101" s="742"/>
      <c r="N101" s="540" t="str">
        <f t="shared" si="11"/>
        <v>INCLUDED</v>
      </c>
      <c r="O101" s="623">
        <f t="shared" si="12"/>
        <v>0</v>
      </c>
      <c r="P101" s="623">
        <f t="shared" si="13"/>
        <v>0</v>
      </c>
      <c r="Q101" s="623">
        <f>Discount!$H$36</f>
        <v>0</v>
      </c>
      <c r="R101" s="628">
        <f t="shared" si="14"/>
        <v>0</v>
      </c>
      <c r="S101" s="628">
        <f t="shared" si="15"/>
        <v>0</v>
      </c>
      <c r="T101" s="739">
        <f t="shared" si="16"/>
        <v>0</v>
      </c>
    </row>
    <row r="102" spans="1:20" ht="62.4">
      <c r="A102" s="528">
        <v>85</v>
      </c>
      <c r="B102" s="538">
        <v>7000016865</v>
      </c>
      <c r="C102" s="538">
        <v>1090</v>
      </c>
      <c r="D102" s="538" t="s">
        <v>535</v>
      </c>
      <c r="E102" s="538">
        <v>1000059520</v>
      </c>
      <c r="F102" s="538">
        <v>73082011</v>
      </c>
      <c r="G102" s="529"/>
      <c r="H102" s="538">
        <v>18</v>
      </c>
      <c r="I102" s="527"/>
      <c r="J102" s="530" t="s">
        <v>551</v>
      </c>
      <c r="K102" s="538" t="s">
        <v>476</v>
      </c>
      <c r="L102" s="538">
        <v>1</v>
      </c>
      <c r="M102" s="742"/>
      <c r="N102" s="540" t="str">
        <f t="shared" si="11"/>
        <v>INCLUDED</v>
      </c>
      <c r="O102" s="623">
        <f t="shared" si="12"/>
        <v>0</v>
      </c>
      <c r="P102" s="623">
        <f t="shared" si="13"/>
        <v>0</v>
      </c>
      <c r="Q102" s="623">
        <f>Discount!$H$36</f>
        <v>0</v>
      </c>
      <c r="R102" s="628">
        <f t="shared" si="14"/>
        <v>0</v>
      </c>
      <c r="S102" s="628">
        <f t="shared" si="15"/>
        <v>0</v>
      </c>
      <c r="T102" s="739">
        <f t="shared" si="16"/>
        <v>0</v>
      </c>
    </row>
    <row r="103" spans="1:20" ht="62.4">
      <c r="A103" s="454">
        <v>86</v>
      </c>
      <c r="B103" s="538">
        <v>7000016865</v>
      </c>
      <c r="C103" s="538">
        <v>1100</v>
      </c>
      <c r="D103" s="538" t="s">
        <v>535</v>
      </c>
      <c r="E103" s="538">
        <v>1000059528</v>
      </c>
      <c r="F103" s="538">
        <v>73082011</v>
      </c>
      <c r="G103" s="529"/>
      <c r="H103" s="538">
        <v>18</v>
      </c>
      <c r="I103" s="527"/>
      <c r="J103" s="530" t="s">
        <v>552</v>
      </c>
      <c r="K103" s="538" t="s">
        <v>476</v>
      </c>
      <c r="L103" s="538">
        <v>2</v>
      </c>
      <c r="M103" s="742"/>
      <c r="N103" s="540" t="str">
        <f t="shared" si="11"/>
        <v>INCLUDED</v>
      </c>
      <c r="O103" s="623">
        <f t="shared" si="12"/>
        <v>0</v>
      </c>
      <c r="P103" s="623">
        <f t="shared" si="13"/>
        <v>0</v>
      </c>
      <c r="Q103" s="623">
        <f>Discount!$H$36</f>
        <v>0</v>
      </c>
      <c r="R103" s="628">
        <f t="shared" si="14"/>
        <v>0</v>
      </c>
      <c r="S103" s="628">
        <f t="shared" si="15"/>
        <v>0</v>
      </c>
      <c r="T103" s="739">
        <f t="shared" si="16"/>
        <v>0</v>
      </c>
    </row>
    <row r="104" spans="1:20" ht="62.4">
      <c r="A104" s="528">
        <v>87</v>
      </c>
      <c r="B104" s="538">
        <v>7000016865</v>
      </c>
      <c r="C104" s="538">
        <v>1110</v>
      </c>
      <c r="D104" s="538" t="s">
        <v>535</v>
      </c>
      <c r="E104" s="538">
        <v>1000059540</v>
      </c>
      <c r="F104" s="538">
        <v>73082011</v>
      </c>
      <c r="G104" s="529"/>
      <c r="H104" s="538">
        <v>18</v>
      </c>
      <c r="I104" s="527"/>
      <c r="J104" s="530" t="s">
        <v>589</v>
      </c>
      <c r="K104" s="538" t="s">
        <v>476</v>
      </c>
      <c r="L104" s="538">
        <v>1</v>
      </c>
      <c r="M104" s="742"/>
      <c r="N104" s="540" t="str">
        <f t="shared" si="11"/>
        <v>INCLUDED</v>
      </c>
      <c r="O104" s="623">
        <f t="shared" si="12"/>
        <v>0</v>
      </c>
      <c r="P104" s="623">
        <f t="shared" si="13"/>
        <v>0</v>
      </c>
      <c r="Q104" s="623">
        <f>Discount!$H$36</f>
        <v>0</v>
      </c>
      <c r="R104" s="628">
        <f t="shared" si="14"/>
        <v>0</v>
      </c>
      <c r="S104" s="628">
        <f t="shared" si="15"/>
        <v>0</v>
      </c>
      <c r="T104" s="739">
        <f t="shared" si="16"/>
        <v>0</v>
      </c>
    </row>
    <row r="105" spans="1:20" ht="62.4">
      <c r="A105" s="454">
        <v>88</v>
      </c>
      <c r="B105" s="538">
        <v>7000016865</v>
      </c>
      <c r="C105" s="538">
        <v>1120</v>
      </c>
      <c r="D105" s="538" t="s">
        <v>535</v>
      </c>
      <c r="E105" s="538">
        <v>1000059549</v>
      </c>
      <c r="F105" s="538">
        <v>73082011</v>
      </c>
      <c r="G105" s="529"/>
      <c r="H105" s="538">
        <v>18</v>
      </c>
      <c r="I105" s="527"/>
      <c r="J105" s="530" t="s">
        <v>556</v>
      </c>
      <c r="K105" s="538" t="s">
        <v>476</v>
      </c>
      <c r="L105" s="538">
        <v>3</v>
      </c>
      <c r="M105" s="742"/>
      <c r="N105" s="540" t="str">
        <f t="shared" si="11"/>
        <v>INCLUDED</v>
      </c>
      <c r="O105" s="623">
        <f t="shared" si="12"/>
        <v>0</v>
      </c>
      <c r="P105" s="623">
        <f t="shared" si="13"/>
        <v>0</v>
      </c>
      <c r="Q105" s="623">
        <f>Discount!$H$36</f>
        <v>0</v>
      </c>
      <c r="R105" s="628">
        <f t="shared" si="14"/>
        <v>0</v>
      </c>
      <c r="S105" s="628">
        <f t="shared" si="15"/>
        <v>0</v>
      </c>
      <c r="T105" s="739">
        <f t="shared" si="16"/>
        <v>0</v>
      </c>
    </row>
    <row r="106" spans="1:20" ht="78">
      <c r="A106" s="528">
        <v>89</v>
      </c>
      <c r="B106" s="538">
        <v>7000016865</v>
      </c>
      <c r="C106" s="538">
        <v>1130</v>
      </c>
      <c r="D106" s="538" t="s">
        <v>535</v>
      </c>
      <c r="E106" s="538">
        <v>1000059736</v>
      </c>
      <c r="F106" s="538">
        <v>73082011</v>
      </c>
      <c r="G106" s="529"/>
      <c r="H106" s="538">
        <v>18</v>
      </c>
      <c r="I106" s="527"/>
      <c r="J106" s="530" t="s">
        <v>590</v>
      </c>
      <c r="K106" s="538" t="s">
        <v>476</v>
      </c>
      <c r="L106" s="538">
        <v>1</v>
      </c>
      <c r="M106" s="742"/>
      <c r="N106" s="540" t="str">
        <f t="shared" si="11"/>
        <v>INCLUDED</v>
      </c>
      <c r="O106" s="623">
        <f t="shared" si="12"/>
        <v>0</v>
      </c>
      <c r="P106" s="623">
        <f t="shared" si="13"/>
        <v>0</v>
      </c>
      <c r="Q106" s="623">
        <f>Discount!$H$36</f>
        <v>0</v>
      </c>
      <c r="R106" s="628">
        <f t="shared" si="14"/>
        <v>0</v>
      </c>
      <c r="S106" s="628">
        <f t="shared" si="15"/>
        <v>0</v>
      </c>
      <c r="T106" s="739">
        <f t="shared" si="16"/>
        <v>0</v>
      </c>
    </row>
    <row r="107" spans="1:20" ht="78">
      <c r="A107" s="454">
        <v>90</v>
      </c>
      <c r="B107" s="538">
        <v>7000016865</v>
      </c>
      <c r="C107" s="538">
        <v>1140</v>
      </c>
      <c r="D107" s="538" t="s">
        <v>535</v>
      </c>
      <c r="E107" s="538">
        <v>1000059737</v>
      </c>
      <c r="F107" s="538">
        <v>73082011</v>
      </c>
      <c r="G107" s="529"/>
      <c r="H107" s="538">
        <v>18</v>
      </c>
      <c r="I107" s="527"/>
      <c r="J107" s="530" t="s">
        <v>591</v>
      </c>
      <c r="K107" s="538" t="s">
        <v>476</v>
      </c>
      <c r="L107" s="538">
        <v>7</v>
      </c>
      <c r="M107" s="742"/>
      <c r="N107" s="540" t="str">
        <f t="shared" si="11"/>
        <v>INCLUDED</v>
      </c>
      <c r="O107" s="623">
        <f t="shared" si="12"/>
        <v>0</v>
      </c>
      <c r="P107" s="623">
        <f t="shared" si="13"/>
        <v>0</v>
      </c>
      <c r="Q107" s="623">
        <f>Discount!$H$36</f>
        <v>0</v>
      </c>
      <c r="R107" s="628">
        <f t="shared" si="14"/>
        <v>0</v>
      </c>
      <c r="S107" s="628">
        <f t="shared" si="15"/>
        <v>0</v>
      </c>
      <c r="T107" s="739">
        <f t="shared" si="16"/>
        <v>0</v>
      </c>
    </row>
    <row r="108" spans="1:20" ht="78">
      <c r="A108" s="528">
        <v>91</v>
      </c>
      <c r="B108" s="538">
        <v>7000016865</v>
      </c>
      <c r="C108" s="538">
        <v>1150</v>
      </c>
      <c r="D108" s="538" t="s">
        <v>535</v>
      </c>
      <c r="E108" s="538">
        <v>1000059738</v>
      </c>
      <c r="F108" s="538">
        <v>73082011</v>
      </c>
      <c r="G108" s="529"/>
      <c r="H108" s="538">
        <v>18</v>
      </c>
      <c r="I108" s="527"/>
      <c r="J108" s="530" t="s">
        <v>592</v>
      </c>
      <c r="K108" s="538" t="s">
        <v>476</v>
      </c>
      <c r="L108" s="538">
        <v>12</v>
      </c>
      <c r="M108" s="742"/>
      <c r="N108" s="540" t="str">
        <f t="shared" si="11"/>
        <v>INCLUDED</v>
      </c>
      <c r="O108" s="623">
        <f t="shared" si="12"/>
        <v>0</v>
      </c>
      <c r="P108" s="623">
        <f t="shared" si="13"/>
        <v>0</v>
      </c>
      <c r="Q108" s="623">
        <f>Discount!$H$36</f>
        <v>0</v>
      </c>
      <c r="R108" s="628">
        <f t="shared" si="14"/>
        <v>0</v>
      </c>
      <c r="S108" s="628">
        <f t="shared" si="15"/>
        <v>0</v>
      </c>
      <c r="T108" s="739">
        <f t="shared" si="16"/>
        <v>0</v>
      </c>
    </row>
    <row r="109" spans="1:20" ht="78">
      <c r="A109" s="454">
        <v>92</v>
      </c>
      <c r="B109" s="538">
        <v>7000016865</v>
      </c>
      <c r="C109" s="538">
        <v>1160</v>
      </c>
      <c r="D109" s="538" t="s">
        <v>535</v>
      </c>
      <c r="E109" s="538">
        <v>1000059739</v>
      </c>
      <c r="F109" s="538">
        <v>73082011</v>
      </c>
      <c r="G109" s="529"/>
      <c r="H109" s="538">
        <v>18</v>
      </c>
      <c r="I109" s="527"/>
      <c r="J109" s="530" t="s">
        <v>593</v>
      </c>
      <c r="K109" s="538" t="s">
        <v>476</v>
      </c>
      <c r="L109" s="538">
        <v>31</v>
      </c>
      <c r="M109" s="742"/>
      <c r="N109" s="540" t="str">
        <f t="shared" si="11"/>
        <v>INCLUDED</v>
      </c>
      <c r="O109" s="623">
        <f t="shared" si="12"/>
        <v>0</v>
      </c>
      <c r="P109" s="623">
        <f t="shared" si="13"/>
        <v>0</v>
      </c>
      <c r="Q109" s="623">
        <f>Discount!$H$36</f>
        <v>0</v>
      </c>
      <c r="R109" s="628">
        <f t="shared" si="14"/>
        <v>0</v>
      </c>
      <c r="S109" s="628">
        <f t="shared" si="15"/>
        <v>0</v>
      </c>
      <c r="T109" s="739">
        <f t="shared" si="16"/>
        <v>0</v>
      </c>
    </row>
    <row r="110" spans="1:20" ht="78">
      <c r="A110" s="528">
        <v>93</v>
      </c>
      <c r="B110" s="538">
        <v>7000016865</v>
      </c>
      <c r="C110" s="538">
        <v>1170</v>
      </c>
      <c r="D110" s="538" t="s">
        <v>535</v>
      </c>
      <c r="E110" s="538">
        <v>1000059870</v>
      </c>
      <c r="F110" s="538">
        <v>73082011</v>
      </c>
      <c r="G110" s="529"/>
      <c r="H110" s="538">
        <v>18</v>
      </c>
      <c r="I110" s="527"/>
      <c r="J110" s="530" t="s">
        <v>594</v>
      </c>
      <c r="K110" s="538" t="s">
        <v>476</v>
      </c>
      <c r="L110" s="538">
        <v>1</v>
      </c>
      <c r="M110" s="742"/>
      <c r="N110" s="540" t="str">
        <f t="shared" si="11"/>
        <v>INCLUDED</v>
      </c>
      <c r="O110" s="623">
        <f t="shared" si="12"/>
        <v>0</v>
      </c>
      <c r="P110" s="623">
        <f t="shared" si="13"/>
        <v>0</v>
      </c>
      <c r="Q110" s="623">
        <f>Discount!$H$36</f>
        <v>0</v>
      </c>
      <c r="R110" s="628">
        <f t="shared" si="14"/>
        <v>0</v>
      </c>
      <c r="S110" s="628">
        <f t="shared" si="15"/>
        <v>0</v>
      </c>
      <c r="T110" s="739">
        <f t="shared" si="16"/>
        <v>0</v>
      </c>
    </row>
    <row r="111" spans="1:20" ht="78">
      <c r="A111" s="454">
        <v>94</v>
      </c>
      <c r="B111" s="538">
        <v>7000016865</v>
      </c>
      <c r="C111" s="538">
        <v>1180</v>
      </c>
      <c r="D111" s="538" t="s">
        <v>535</v>
      </c>
      <c r="E111" s="538">
        <v>1000059877</v>
      </c>
      <c r="F111" s="538">
        <v>73082011</v>
      </c>
      <c r="G111" s="529"/>
      <c r="H111" s="538">
        <v>18</v>
      </c>
      <c r="I111" s="527"/>
      <c r="J111" s="530" t="s">
        <v>595</v>
      </c>
      <c r="K111" s="538" t="s">
        <v>476</v>
      </c>
      <c r="L111" s="538">
        <v>5</v>
      </c>
      <c r="M111" s="742"/>
      <c r="N111" s="540" t="str">
        <f t="shared" si="11"/>
        <v>INCLUDED</v>
      </c>
      <c r="O111" s="623">
        <f t="shared" si="12"/>
        <v>0</v>
      </c>
      <c r="P111" s="623">
        <f t="shared" si="13"/>
        <v>0</v>
      </c>
      <c r="Q111" s="623">
        <f>Discount!$H$36</f>
        <v>0</v>
      </c>
      <c r="R111" s="628">
        <f t="shared" si="14"/>
        <v>0</v>
      </c>
      <c r="S111" s="628">
        <f t="shared" si="15"/>
        <v>0</v>
      </c>
      <c r="T111" s="739">
        <f t="shared" si="16"/>
        <v>0</v>
      </c>
    </row>
    <row r="112" spans="1:20" ht="78">
      <c r="A112" s="528">
        <v>95</v>
      </c>
      <c r="B112" s="538">
        <v>7000016865</v>
      </c>
      <c r="C112" s="538">
        <v>1190</v>
      </c>
      <c r="D112" s="538" t="s">
        <v>535</v>
      </c>
      <c r="E112" s="538">
        <v>1000059871</v>
      </c>
      <c r="F112" s="538">
        <v>73082011</v>
      </c>
      <c r="G112" s="529"/>
      <c r="H112" s="538">
        <v>18</v>
      </c>
      <c r="I112" s="527"/>
      <c r="J112" s="530" t="s">
        <v>596</v>
      </c>
      <c r="K112" s="538" t="s">
        <v>476</v>
      </c>
      <c r="L112" s="538">
        <v>1</v>
      </c>
      <c r="M112" s="742"/>
      <c r="N112" s="540" t="str">
        <f t="shared" si="11"/>
        <v>INCLUDED</v>
      </c>
      <c r="O112" s="623">
        <f t="shared" si="12"/>
        <v>0</v>
      </c>
      <c r="P112" s="623">
        <f t="shared" si="13"/>
        <v>0</v>
      </c>
      <c r="Q112" s="623">
        <f>Discount!$H$36</f>
        <v>0</v>
      </c>
      <c r="R112" s="628">
        <f t="shared" si="14"/>
        <v>0</v>
      </c>
      <c r="S112" s="628">
        <f t="shared" si="15"/>
        <v>0</v>
      </c>
      <c r="T112" s="739">
        <f t="shared" si="16"/>
        <v>0</v>
      </c>
    </row>
    <row r="113" spans="1:20" ht="78">
      <c r="A113" s="454">
        <v>96</v>
      </c>
      <c r="B113" s="538">
        <v>7000016865</v>
      </c>
      <c r="C113" s="538">
        <v>1200</v>
      </c>
      <c r="D113" s="538" t="s">
        <v>535</v>
      </c>
      <c r="E113" s="538">
        <v>1000059878</v>
      </c>
      <c r="F113" s="538">
        <v>73082011</v>
      </c>
      <c r="G113" s="529"/>
      <c r="H113" s="538">
        <v>18</v>
      </c>
      <c r="I113" s="527"/>
      <c r="J113" s="530" t="s">
        <v>597</v>
      </c>
      <c r="K113" s="538" t="s">
        <v>476</v>
      </c>
      <c r="L113" s="538">
        <v>1</v>
      </c>
      <c r="M113" s="742"/>
      <c r="N113" s="540" t="str">
        <f t="shared" si="11"/>
        <v>INCLUDED</v>
      </c>
      <c r="O113" s="623">
        <f t="shared" si="12"/>
        <v>0</v>
      </c>
      <c r="P113" s="623">
        <f t="shared" si="13"/>
        <v>0</v>
      </c>
      <c r="Q113" s="623">
        <f>Discount!$H$36</f>
        <v>0</v>
      </c>
      <c r="R113" s="628">
        <f t="shared" si="14"/>
        <v>0</v>
      </c>
      <c r="S113" s="628">
        <f t="shared" si="15"/>
        <v>0</v>
      </c>
      <c r="T113" s="739">
        <f t="shared" si="16"/>
        <v>0</v>
      </c>
    </row>
    <row r="114" spans="1:20" ht="78">
      <c r="A114" s="528">
        <v>97</v>
      </c>
      <c r="B114" s="538">
        <v>7000016865</v>
      </c>
      <c r="C114" s="538">
        <v>1210</v>
      </c>
      <c r="D114" s="538" t="s">
        <v>535</v>
      </c>
      <c r="E114" s="538">
        <v>1000059883</v>
      </c>
      <c r="F114" s="538">
        <v>73082011</v>
      </c>
      <c r="G114" s="529"/>
      <c r="H114" s="538">
        <v>18</v>
      </c>
      <c r="I114" s="527"/>
      <c r="J114" s="530" t="s">
        <v>598</v>
      </c>
      <c r="K114" s="538" t="s">
        <v>476</v>
      </c>
      <c r="L114" s="538">
        <v>1</v>
      </c>
      <c r="M114" s="742"/>
      <c r="N114" s="540" t="str">
        <f t="shared" si="11"/>
        <v>INCLUDED</v>
      </c>
      <c r="O114" s="623">
        <f t="shared" si="12"/>
        <v>0</v>
      </c>
      <c r="P114" s="623">
        <f t="shared" si="13"/>
        <v>0</v>
      </c>
      <c r="Q114" s="623">
        <f>Discount!$H$36</f>
        <v>0</v>
      </c>
      <c r="R114" s="628">
        <f t="shared" si="14"/>
        <v>0</v>
      </c>
      <c r="S114" s="628">
        <f t="shared" si="15"/>
        <v>0</v>
      </c>
      <c r="T114" s="739">
        <f t="shared" si="16"/>
        <v>0</v>
      </c>
    </row>
    <row r="115" spans="1:20" ht="78">
      <c r="A115" s="454">
        <v>98</v>
      </c>
      <c r="B115" s="538">
        <v>7000016865</v>
      </c>
      <c r="C115" s="538">
        <v>1220</v>
      </c>
      <c r="D115" s="538" t="s">
        <v>535</v>
      </c>
      <c r="E115" s="538">
        <v>1000059884</v>
      </c>
      <c r="F115" s="538">
        <v>73082011</v>
      </c>
      <c r="G115" s="529"/>
      <c r="H115" s="538">
        <v>18</v>
      </c>
      <c r="I115" s="527"/>
      <c r="J115" s="530" t="s">
        <v>599</v>
      </c>
      <c r="K115" s="538" t="s">
        <v>476</v>
      </c>
      <c r="L115" s="538">
        <v>7</v>
      </c>
      <c r="M115" s="742"/>
      <c r="N115" s="540" t="str">
        <f t="shared" si="11"/>
        <v>INCLUDED</v>
      </c>
      <c r="O115" s="623">
        <f t="shared" si="12"/>
        <v>0</v>
      </c>
      <c r="P115" s="623">
        <f t="shared" si="13"/>
        <v>0</v>
      </c>
      <c r="Q115" s="623">
        <f>Discount!$H$36</f>
        <v>0</v>
      </c>
      <c r="R115" s="628">
        <f t="shared" si="14"/>
        <v>0</v>
      </c>
      <c r="S115" s="628">
        <f t="shared" si="15"/>
        <v>0</v>
      </c>
      <c r="T115" s="739">
        <f t="shared" si="16"/>
        <v>0</v>
      </c>
    </row>
    <row r="116" spans="1:20" ht="78">
      <c r="A116" s="528">
        <v>99</v>
      </c>
      <c r="B116" s="538">
        <v>7000016865</v>
      </c>
      <c r="C116" s="538">
        <v>1230</v>
      </c>
      <c r="D116" s="538" t="s">
        <v>535</v>
      </c>
      <c r="E116" s="538">
        <v>1000059885</v>
      </c>
      <c r="F116" s="538">
        <v>73082011</v>
      </c>
      <c r="G116" s="529"/>
      <c r="H116" s="538">
        <v>18</v>
      </c>
      <c r="I116" s="527"/>
      <c r="J116" s="530" t="s">
        <v>600</v>
      </c>
      <c r="K116" s="538" t="s">
        <v>476</v>
      </c>
      <c r="L116" s="538">
        <v>6</v>
      </c>
      <c r="M116" s="742"/>
      <c r="N116" s="540" t="str">
        <f t="shared" si="11"/>
        <v>INCLUDED</v>
      </c>
      <c r="O116" s="623">
        <f t="shared" si="12"/>
        <v>0</v>
      </c>
      <c r="P116" s="623">
        <f t="shared" si="13"/>
        <v>0</v>
      </c>
      <c r="Q116" s="623">
        <f>Discount!$H$36</f>
        <v>0</v>
      </c>
      <c r="R116" s="628">
        <f t="shared" si="14"/>
        <v>0</v>
      </c>
      <c r="S116" s="628">
        <f t="shared" si="15"/>
        <v>0</v>
      </c>
      <c r="T116" s="739">
        <f t="shared" si="16"/>
        <v>0</v>
      </c>
    </row>
    <row r="117" spans="1:20" ht="78">
      <c r="A117" s="454">
        <v>100</v>
      </c>
      <c r="B117" s="538">
        <v>7000016865</v>
      </c>
      <c r="C117" s="538">
        <v>1240</v>
      </c>
      <c r="D117" s="538" t="s">
        <v>535</v>
      </c>
      <c r="E117" s="538">
        <v>1000059881</v>
      </c>
      <c r="F117" s="538">
        <v>73082011</v>
      </c>
      <c r="G117" s="529"/>
      <c r="H117" s="538">
        <v>18</v>
      </c>
      <c r="I117" s="527"/>
      <c r="J117" s="530" t="s">
        <v>601</v>
      </c>
      <c r="K117" s="538" t="s">
        <v>476</v>
      </c>
      <c r="L117" s="538">
        <v>1</v>
      </c>
      <c r="M117" s="742"/>
      <c r="N117" s="540" t="str">
        <f t="shared" si="11"/>
        <v>INCLUDED</v>
      </c>
      <c r="O117" s="623">
        <f t="shared" si="12"/>
        <v>0</v>
      </c>
      <c r="P117" s="623">
        <f t="shared" si="13"/>
        <v>0</v>
      </c>
      <c r="Q117" s="623">
        <f>Discount!$H$36</f>
        <v>0</v>
      </c>
      <c r="R117" s="628">
        <f t="shared" si="14"/>
        <v>0</v>
      </c>
      <c r="S117" s="628">
        <f t="shared" si="15"/>
        <v>0</v>
      </c>
      <c r="T117" s="739">
        <f t="shared" si="16"/>
        <v>0</v>
      </c>
    </row>
    <row r="118" spans="1:20" ht="78">
      <c r="A118" s="528">
        <v>101</v>
      </c>
      <c r="B118" s="538">
        <v>7000016865</v>
      </c>
      <c r="C118" s="538">
        <v>1250</v>
      </c>
      <c r="D118" s="538" t="s">
        <v>535</v>
      </c>
      <c r="E118" s="538">
        <v>1000059893</v>
      </c>
      <c r="F118" s="538">
        <v>73082011</v>
      </c>
      <c r="G118" s="529"/>
      <c r="H118" s="538">
        <v>18</v>
      </c>
      <c r="I118" s="527"/>
      <c r="J118" s="530" t="s">
        <v>602</v>
      </c>
      <c r="K118" s="538" t="s">
        <v>476</v>
      </c>
      <c r="L118" s="538">
        <v>2</v>
      </c>
      <c r="M118" s="742"/>
      <c r="N118" s="540" t="str">
        <f t="shared" si="11"/>
        <v>INCLUDED</v>
      </c>
      <c r="O118" s="623">
        <f t="shared" si="12"/>
        <v>0</v>
      </c>
      <c r="P118" s="623">
        <f t="shared" si="13"/>
        <v>0</v>
      </c>
      <c r="Q118" s="623">
        <f>Discount!$H$36</f>
        <v>0</v>
      </c>
      <c r="R118" s="628">
        <f t="shared" si="14"/>
        <v>0</v>
      </c>
      <c r="S118" s="628">
        <f t="shared" si="15"/>
        <v>0</v>
      </c>
      <c r="T118" s="739">
        <f t="shared" si="16"/>
        <v>0</v>
      </c>
    </row>
    <row r="119" spans="1:20" ht="78">
      <c r="A119" s="454">
        <v>102</v>
      </c>
      <c r="B119" s="538">
        <v>7000016865</v>
      </c>
      <c r="C119" s="538">
        <v>1260</v>
      </c>
      <c r="D119" s="538" t="s">
        <v>535</v>
      </c>
      <c r="E119" s="538">
        <v>1000059894</v>
      </c>
      <c r="F119" s="538">
        <v>73082011</v>
      </c>
      <c r="G119" s="529"/>
      <c r="H119" s="538">
        <v>18</v>
      </c>
      <c r="I119" s="527"/>
      <c r="J119" s="530" t="s">
        <v>603</v>
      </c>
      <c r="K119" s="538" t="s">
        <v>476</v>
      </c>
      <c r="L119" s="538">
        <v>1</v>
      </c>
      <c r="M119" s="742"/>
      <c r="N119" s="540" t="str">
        <f t="shared" si="11"/>
        <v>INCLUDED</v>
      </c>
      <c r="O119" s="623">
        <f t="shared" si="12"/>
        <v>0</v>
      </c>
      <c r="P119" s="623">
        <f t="shared" si="13"/>
        <v>0</v>
      </c>
      <c r="Q119" s="623">
        <f>Discount!$H$36</f>
        <v>0</v>
      </c>
      <c r="R119" s="628">
        <f t="shared" si="14"/>
        <v>0</v>
      </c>
      <c r="S119" s="628">
        <f t="shared" si="15"/>
        <v>0</v>
      </c>
      <c r="T119" s="739">
        <f t="shared" si="16"/>
        <v>0</v>
      </c>
    </row>
    <row r="120" spans="1:20" ht="78">
      <c r="A120" s="528">
        <v>103</v>
      </c>
      <c r="B120" s="538">
        <v>7000016865</v>
      </c>
      <c r="C120" s="538">
        <v>1270</v>
      </c>
      <c r="D120" s="538" t="s">
        <v>535</v>
      </c>
      <c r="E120" s="538">
        <v>1000059895</v>
      </c>
      <c r="F120" s="538">
        <v>73082011</v>
      </c>
      <c r="G120" s="529"/>
      <c r="H120" s="538">
        <v>18</v>
      </c>
      <c r="I120" s="527"/>
      <c r="J120" s="530" t="s">
        <v>604</v>
      </c>
      <c r="K120" s="538" t="s">
        <v>476</v>
      </c>
      <c r="L120" s="538">
        <v>3</v>
      </c>
      <c r="M120" s="742"/>
      <c r="N120" s="540" t="str">
        <f t="shared" si="11"/>
        <v>INCLUDED</v>
      </c>
      <c r="O120" s="623">
        <f t="shared" si="12"/>
        <v>0</v>
      </c>
      <c r="P120" s="623">
        <f t="shared" si="13"/>
        <v>0</v>
      </c>
      <c r="Q120" s="623">
        <f>Discount!$H$36</f>
        <v>0</v>
      </c>
      <c r="R120" s="628">
        <f t="shared" si="14"/>
        <v>0</v>
      </c>
      <c r="S120" s="628">
        <f t="shared" si="15"/>
        <v>0</v>
      </c>
      <c r="T120" s="739">
        <f t="shared" si="16"/>
        <v>0</v>
      </c>
    </row>
    <row r="121" spans="1:20" ht="78">
      <c r="A121" s="454">
        <v>104</v>
      </c>
      <c r="B121" s="538">
        <v>7000016865</v>
      </c>
      <c r="C121" s="538">
        <v>1280</v>
      </c>
      <c r="D121" s="538" t="s">
        <v>535</v>
      </c>
      <c r="E121" s="538">
        <v>1000059887</v>
      </c>
      <c r="F121" s="538">
        <v>73082011</v>
      </c>
      <c r="G121" s="529"/>
      <c r="H121" s="538">
        <v>18</v>
      </c>
      <c r="I121" s="527"/>
      <c r="J121" s="530" t="s">
        <v>605</v>
      </c>
      <c r="K121" s="538" t="s">
        <v>476</v>
      </c>
      <c r="L121" s="538">
        <v>1</v>
      </c>
      <c r="M121" s="742"/>
      <c r="N121" s="540" t="str">
        <f t="shared" si="11"/>
        <v>INCLUDED</v>
      </c>
      <c r="O121" s="623">
        <f t="shared" si="12"/>
        <v>0</v>
      </c>
      <c r="P121" s="623">
        <f t="shared" si="13"/>
        <v>0</v>
      </c>
      <c r="Q121" s="623">
        <f>Discount!$H$36</f>
        <v>0</v>
      </c>
      <c r="R121" s="628">
        <f t="shared" si="14"/>
        <v>0</v>
      </c>
      <c r="S121" s="628">
        <f t="shared" si="15"/>
        <v>0</v>
      </c>
      <c r="T121" s="739">
        <f t="shared" si="16"/>
        <v>0</v>
      </c>
    </row>
    <row r="122" spans="1:20" ht="78">
      <c r="A122" s="528">
        <v>105</v>
      </c>
      <c r="B122" s="538">
        <v>7000016865</v>
      </c>
      <c r="C122" s="538">
        <v>1290</v>
      </c>
      <c r="D122" s="538" t="s">
        <v>535</v>
      </c>
      <c r="E122" s="538">
        <v>1000059890</v>
      </c>
      <c r="F122" s="538">
        <v>73082011</v>
      </c>
      <c r="G122" s="529"/>
      <c r="H122" s="538">
        <v>18</v>
      </c>
      <c r="I122" s="527"/>
      <c r="J122" s="530" t="s">
        <v>606</v>
      </c>
      <c r="K122" s="538" t="s">
        <v>476</v>
      </c>
      <c r="L122" s="538">
        <v>1</v>
      </c>
      <c r="M122" s="742"/>
      <c r="N122" s="540" t="str">
        <f t="shared" si="11"/>
        <v>INCLUDED</v>
      </c>
      <c r="O122" s="623">
        <f t="shared" si="12"/>
        <v>0</v>
      </c>
      <c r="P122" s="623">
        <f t="shared" si="13"/>
        <v>0</v>
      </c>
      <c r="Q122" s="623">
        <f>Discount!$H$36</f>
        <v>0</v>
      </c>
      <c r="R122" s="628">
        <f t="shared" si="14"/>
        <v>0</v>
      </c>
      <c r="S122" s="628">
        <f t="shared" si="15"/>
        <v>0</v>
      </c>
      <c r="T122" s="739">
        <f t="shared" si="16"/>
        <v>0</v>
      </c>
    </row>
    <row r="123" spans="1:20" ht="78">
      <c r="A123" s="454">
        <v>106</v>
      </c>
      <c r="B123" s="538">
        <v>7000016865</v>
      </c>
      <c r="C123" s="538">
        <v>1300</v>
      </c>
      <c r="D123" s="538" t="s">
        <v>535</v>
      </c>
      <c r="E123" s="538">
        <v>1000059896</v>
      </c>
      <c r="F123" s="538">
        <v>73082011</v>
      </c>
      <c r="G123" s="529"/>
      <c r="H123" s="538">
        <v>18</v>
      </c>
      <c r="I123" s="527"/>
      <c r="J123" s="530" t="s">
        <v>607</v>
      </c>
      <c r="K123" s="538" t="s">
        <v>476</v>
      </c>
      <c r="L123" s="538">
        <v>1</v>
      </c>
      <c r="M123" s="742"/>
      <c r="N123" s="540" t="str">
        <f t="shared" si="11"/>
        <v>INCLUDED</v>
      </c>
      <c r="O123" s="623">
        <f t="shared" si="12"/>
        <v>0</v>
      </c>
      <c r="P123" s="623">
        <f t="shared" si="13"/>
        <v>0</v>
      </c>
      <c r="Q123" s="623">
        <f>Discount!$H$36</f>
        <v>0</v>
      </c>
      <c r="R123" s="628">
        <f t="shared" si="14"/>
        <v>0</v>
      </c>
      <c r="S123" s="628">
        <f t="shared" si="15"/>
        <v>0</v>
      </c>
      <c r="T123" s="739">
        <f t="shared" si="16"/>
        <v>0</v>
      </c>
    </row>
    <row r="124" spans="1:20" ht="78">
      <c r="A124" s="528">
        <v>107</v>
      </c>
      <c r="B124" s="538">
        <v>7000016865</v>
      </c>
      <c r="C124" s="538">
        <v>1310</v>
      </c>
      <c r="D124" s="538" t="s">
        <v>535</v>
      </c>
      <c r="E124" s="538">
        <v>1000059903</v>
      </c>
      <c r="F124" s="538">
        <v>73082011</v>
      </c>
      <c r="G124" s="529"/>
      <c r="H124" s="538">
        <v>18</v>
      </c>
      <c r="I124" s="527"/>
      <c r="J124" s="530" t="s">
        <v>608</v>
      </c>
      <c r="K124" s="538" t="s">
        <v>476</v>
      </c>
      <c r="L124" s="538">
        <v>1</v>
      </c>
      <c r="M124" s="742"/>
      <c r="N124" s="540" t="str">
        <f t="shared" si="11"/>
        <v>INCLUDED</v>
      </c>
      <c r="O124" s="623">
        <f t="shared" si="12"/>
        <v>0</v>
      </c>
      <c r="P124" s="623">
        <f t="shared" si="13"/>
        <v>0</v>
      </c>
      <c r="Q124" s="623">
        <f>Discount!$H$36</f>
        <v>0</v>
      </c>
      <c r="R124" s="628">
        <f t="shared" si="14"/>
        <v>0</v>
      </c>
      <c r="S124" s="628">
        <f t="shared" si="15"/>
        <v>0</v>
      </c>
      <c r="T124" s="739">
        <f t="shared" si="16"/>
        <v>0</v>
      </c>
    </row>
    <row r="125" spans="1:20" ht="78">
      <c r="A125" s="454">
        <v>108</v>
      </c>
      <c r="B125" s="538">
        <v>7000016865</v>
      </c>
      <c r="C125" s="538">
        <v>1320</v>
      </c>
      <c r="D125" s="538" t="s">
        <v>535</v>
      </c>
      <c r="E125" s="538">
        <v>1000059904</v>
      </c>
      <c r="F125" s="538">
        <v>73082011</v>
      </c>
      <c r="G125" s="529"/>
      <c r="H125" s="538">
        <v>18</v>
      </c>
      <c r="I125" s="527"/>
      <c r="J125" s="530" t="s">
        <v>609</v>
      </c>
      <c r="K125" s="538" t="s">
        <v>476</v>
      </c>
      <c r="L125" s="538">
        <v>4</v>
      </c>
      <c r="M125" s="742"/>
      <c r="N125" s="540" t="str">
        <f t="shared" si="11"/>
        <v>INCLUDED</v>
      </c>
      <c r="O125" s="623">
        <f t="shared" si="12"/>
        <v>0</v>
      </c>
      <c r="P125" s="623">
        <f t="shared" si="13"/>
        <v>0</v>
      </c>
      <c r="Q125" s="623">
        <f>Discount!$H$36</f>
        <v>0</v>
      </c>
      <c r="R125" s="628">
        <f t="shared" si="14"/>
        <v>0</v>
      </c>
      <c r="S125" s="628">
        <f t="shared" si="15"/>
        <v>0</v>
      </c>
      <c r="T125" s="739">
        <f t="shared" si="16"/>
        <v>0</v>
      </c>
    </row>
    <row r="126" spans="1:20" ht="78">
      <c r="A126" s="528">
        <v>109</v>
      </c>
      <c r="B126" s="538">
        <v>7000016865</v>
      </c>
      <c r="C126" s="538">
        <v>1330</v>
      </c>
      <c r="D126" s="538" t="s">
        <v>535</v>
      </c>
      <c r="E126" s="538">
        <v>1000059905</v>
      </c>
      <c r="F126" s="538">
        <v>73082011</v>
      </c>
      <c r="G126" s="529"/>
      <c r="H126" s="538">
        <v>18</v>
      </c>
      <c r="I126" s="527"/>
      <c r="J126" s="530" t="s">
        <v>610</v>
      </c>
      <c r="K126" s="538" t="s">
        <v>476</v>
      </c>
      <c r="L126" s="538">
        <v>7</v>
      </c>
      <c r="M126" s="742"/>
      <c r="N126" s="540" t="str">
        <f t="shared" si="11"/>
        <v>INCLUDED</v>
      </c>
      <c r="O126" s="623">
        <f t="shared" si="12"/>
        <v>0</v>
      </c>
      <c r="P126" s="623">
        <f t="shared" si="13"/>
        <v>0</v>
      </c>
      <c r="Q126" s="623">
        <f>Discount!$H$36</f>
        <v>0</v>
      </c>
      <c r="R126" s="628">
        <f t="shared" si="14"/>
        <v>0</v>
      </c>
      <c r="S126" s="628">
        <f t="shared" si="15"/>
        <v>0</v>
      </c>
      <c r="T126" s="739">
        <f t="shared" si="16"/>
        <v>0</v>
      </c>
    </row>
    <row r="127" spans="1:20" ht="78">
      <c r="A127" s="454">
        <v>110</v>
      </c>
      <c r="B127" s="538">
        <v>7000016865</v>
      </c>
      <c r="C127" s="538">
        <v>1340</v>
      </c>
      <c r="D127" s="538" t="s">
        <v>535</v>
      </c>
      <c r="E127" s="538">
        <v>1000059897</v>
      </c>
      <c r="F127" s="538">
        <v>73082011</v>
      </c>
      <c r="G127" s="529"/>
      <c r="H127" s="538">
        <v>18</v>
      </c>
      <c r="I127" s="527"/>
      <c r="J127" s="530" t="s">
        <v>611</v>
      </c>
      <c r="K127" s="538" t="s">
        <v>476</v>
      </c>
      <c r="L127" s="538">
        <v>2</v>
      </c>
      <c r="M127" s="742"/>
      <c r="N127" s="540" t="str">
        <f t="shared" si="11"/>
        <v>INCLUDED</v>
      </c>
      <c r="O127" s="623">
        <f t="shared" si="12"/>
        <v>0</v>
      </c>
      <c r="P127" s="623">
        <f t="shared" si="13"/>
        <v>0</v>
      </c>
      <c r="Q127" s="623">
        <f>Discount!$H$36</f>
        <v>0</v>
      </c>
      <c r="R127" s="628">
        <f t="shared" si="14"/>
        <v>0</v>
      </c>
      <c r="S127" s="628">
        <f t="shared" si="15"/>
        <v>0</v>
      </c>
      <c r="T127" s="739">
        <f t="shared" si="16"/>
        <v>0</v>
      </c>
    </row>
    <row r="128" spans="1:20" ht="78">
      <c r="A128" s="528">
        <v>111</v>
      </c>
      <c r="B128" s="538">
        <v>7000016865</v>
      </c>
      <c r="C128" s="538">
        <v>1350</v>
      </c>
      <c r="D128" s="538" t="s">
        <v>535</v>
      </c>
      <c r="E128" s="538">
        <v>1000059899</v>
      </c>
      <c r="F128" s="538">
        <v>73082011</v>
      </c>
      <c r="G128" s="529"/>
      <c r="H128" s="538">
        <v>18</v>
      </c>
      <c r="I128" s="527"/>
      <c r="J128" s="530" t="s">
        <v>612</v>
      </c>
      <c r="K128" s="538" t="s">
        <v>476</v>
      </c>
      <c r="L128" s="538">
        <v>2</v>
      </c>
      <c r="M128" s="742"/>
      <c r="N128" s="540" t="str">
        <f t="shared" si="11"/>
        <v>INCLUDED</v>
      </c>
      <c r="O128" s="623">
        <f t="shared" si="12"/>
        <v>0</v>
      </c>
      <c r="P128" s="623">
        <f t="shared" si="13"/>
        <v>0</v>
      </c>
      <c r="Q128" s="623">
        <f>Discount!$H$36</f>
        <v>0</v>
      </c>
      <c r="R128" s="628">
        <f t="shared" si="14"/>
        <v>0</v>
      </c>
      <c r="S128" s="628">
        <f t="shared" si="15"/>
        <v>0</v>
      </c>
      <c r="T128" s="739">
        <f t="shared" si="16"/>
        <v>0</v>
      </c>
    </row>
    <row r="129" spans="1:20" ht="78">
      <c r="A129" s="454">
        <v>112</v>
      </c>
      <c r="B129" s="538">
        <v>7000016865</v>
      </c>
      <c r="C129" s="538">
        <v>1360</v>
      </c>
      <c r="D129" s="538" t="s">
        <v>535</v>
      </c>
      <c r="E129" s="538">
        <v>1000059900</v>
      </c>
      <c r="F129" s="538">
        <v>73082011</v>
      </c>
      <c r="G129" s="529"/>
      <c r="H129" s="538">
        <v>18</v>
      </c>
      <c r="I129" s="527"/>
      <c r="J129" s="530" t="s">
        <v>613</v>
      </c>
      <c r="K129" s="538" t="s">
        <v>476</v>
      </c>
      <c r="L129" s="538">
        <v>14</v>
      </c>
      <c r="M129" s="742"/>
      <c r="N129" s="540" t="str">
        <f t="shared" si="11"/>
        <v>INCLUDED</v>
      </c>
      <c r="O129" s="623">
        <f t="shared" si="12"/>
        <v>0</v>
      </c>
      <c r="P129" s="623">
        <f t="shared" si="13"/>
        <v>0</v>
      </c>
      <c r="Q129" s="623">
        <f>Discount!$H$36</f>
        <v>0</v>
      </c>
      <c r="R129" s="628">
        <f t="shared" si="14"/>
        <v>0</v>
      </c>
      <c r="S129" s="628">
        <f t="shared" si="15"/>
        <v>0</v>
      </c>
      <c r="T129" s="739">
        <f t="shared" si="16"/>
        <v>0</v>
      </c>
    </row>
    <row r="130" spans="1:20" ht="78">
      <c r="A130" s="528">
        <v>113</v>
      </c>
      <c r="B130" s="538">
        <v>7000016865</v>
      </c>
      <c r="C130" s="538">
        <v>1370</v>
      </c>
      <c r="D130" s="538" t="s">
        <v>535</v>
      </c>
      <c r="E130" s="538">
        <v>1000059901</v>
      </c>
      <c r="F130" s="538">
        <v>73082011</v>
      </c>
      <c r="G130" s="529"/>
      <c r="H130" s="538">
        <v>18</v>
      </c>
      <c r="I130" s="527"/>
      <c r="J130" s="530" t="s">
        <v>614</v>
      </c>
      <c r="K130" s="538" t="s">
        <v>476</v>
      </c>
      <c r="L130" s="538">
        <v>2</v>
      </c>
      <c r="M130" s="742"/>
      <c r="N130" s="540" t="str">
        <f t="shared" si="11"/>
        <v>INCLUDED</v>
      </c>
      <c r="O130" s="623">
        <f t="shared" si="12"/>
        <v>0</v>
      </c>
      <c r="P130" s="623">
        <f t="shared" si="13"/>
        <v>0</v>
      </c>
      <c r="Q130" s="623">
        <f>Discount!$H$36</f>
        <v>0</v>
      </c>
      <c r="R130" s="628">
        <f t="shared" si="14"/>
        <v>0</v>
      </c>
      <c r="S130" s="628">
        <f t="shared" si="15"/>
        <v>0</v>
      </c>
      <c r="T130" s="739">
        <f t="shared" si="16"/>
        <v>0</v>
      </c>
    </row>
    <row r="131" spans="1:20" ht="62.4">
      <c r="A131" s="454">
        <v>114</v>
      </c>
      <c r="B131" s="538">
        <v>7000016865</v>
      </c>
      <c r="C131" s="538">
        <v>1380</v>
      </c>
      <c r="D131" s="538" t="s">
        <v>535</v>
      </c>
      <c r="E131" s="538">
        <v>1000059574</v>
      </c>
      <c r="F131" s="538">
        <v>73082011</v>
      </c>
      <c r="G131" s="529"/>
      <c r="H131" s="538">
        <v>18</v>
      </c>
      <c r="I131" s="527"/>
      <c r="J131" s="530" t="s">
        <v>559</v>
      </c>
      <c r="K131" s="538" t="s">
        <v>476</v>
      </c>
      <c r="L131" s="538">
        <v>1</v>
      </c>
      <c r="M131" s="742"/>
      <c r="N131" s="540" t="str">
        <f t="shared" si="11"/>
        <v>INCLUDED</v>
      </c>
      <c r="O131" s="623">
        <f t="shared" si="12"/>
        <v>0</v>
      </c>
      <c r="P131" s="623">
        <f t="shared" si="13"/>
        <v>0</v>
      </c>
      <c r="Q131" s="623">
        <f>Discount!$H$36</f>
        <v>0</v>
      </c>
      <c r="R131" s="628">
        <f t="shared" si="14"/>
        <v>0</v>
      </c>
      <c r="S131" s="628">
        <f t="shared" si="15"/>
        <v>0</v>
      </c>
      <c r="T131" s="739">
        <f t="shared" si="16"/>
        <v>0</v>
      </c>
    </row>
    <row r="132" spans="1:20" ht="62.4">
      <c r="A132" s="528">
        <v>115</v>
      </c>
      <c r="B132" s="538">
        <v>7000016865</v>
      </c>
      <c r="C132" s="538">
        <v>1390</v>
      </c>
      <c r="D132" s="538" t="s">
        <v>535</v>
      </c>
      <c r="E132" s="538">
        <v>1000059577</v>
      </c>
      <c r="F132" s="538">
        <v>73082011</v>
      </c>
      <c r="G132" s="529"/>
      <c r="H132" s="538">
        <v>18</v>
      </c>
      <c r="I132" s="527"/>
      <c r="J132" s="530" t="s">
        <v>560</v>
      </c>
      <c r="K132" s="538" t="s">
        <v>476</v>
      </c>
      <c r="L132" s="538">
        <v>2</v>
      </c>
      <c r="M132" s="742"/>
      <c r="N132" s="540" t="str">
        <f t="shared" si="11"/>
        <v>INCLUDED</v>
      </c>
      <c r="O132" s="623">
        <f t="shared" si="12"/>
        <v>0</v>
      </c>
      <c r="P132" s="623">
        <f t="shared" si="13"/>
        <v>0</v>
      </c>
      <c r="Q132" s="623">
        <f>Discount!$H$36</f>
        <v>0</v>
      </c>
      <c r="R132" s="628">
        <f t="shared" si="14"/>
        <v>0</v>
      </c>
      <c r="S132" s="628">
        <f t="shared" si="15"/>
        <v>0</v>
      </c>
      <c r="T132" s="739">
        <f t="shared" si="16"/>
        <v>0</v>
      </c>
    </row>
    <row r="133" spans="1:20" ht="62.4">
      <c r="A133" s="454">
        <v>116</v>
      </c>
      <c r="B133" s="538">
        <v>7000016865</v>
      </c>
      <c r="C133" s="538">
        <v>1400</v>
      </c>
      <c r="D133" s="538" t="s">
        <v>535</v>
      </c>
      <c r="E133" s="538">
        <v>1000059585</v>
      </c>
      <c r="F133" s="538">
        <v>73082011</v>
      </c>
      <c r="G133" s="529"/>
      <c r="H133" s="538">
        <v>18</v>
      </c>
      <c r="I133" s="527"/>
      <c r="J133" s="530" t="s">
        <v>562</v>
      </c>
      <c r="K133" s="538" t="s">
        <v>476</v>
      </c>
      <c r="L133" s="538">
        <v>4</v>
      </c>
      <c r="M133" s="742"/>
      <c r="N133" s="540" t="str">
        <f t="shared" si="11"/>
        <v>INCLUDED</v>
      </c>
      <c r="O133" s="623">
        <f t="shared" si="12"/>
        <v>0</v>
      </c>
      <c r="P133" s="623">
        <f t="shared" si="13"/>
        <v>0</v>
      </c>
      <c r="Q133" s="623">
        <f>Discount!$H$36</f>
        <v>0</v>
      </c>
      <c r="R133" s="628">
        <f t="shared" si="14"/>
        <v>0</v>
      </c>
      <c r="S133" s="628">
        <f t="shared" si="15"/>
        <v>0</v>
      </c>
      <c r="T133" s="739">
        <f t="shared" si="16"/>
        <v>0</v>
      </c>
    </row>
    <row r="134" spans="1:20" ht="62.4">
      <c r="A134" s="528">
        <v>117</v>
      </c>
      <c r="B134" s="538">
        <v>7000016865</v>
      </c>
      <c r="C134" s="538">
        <v>1410</v>
      </c>
      <c r="D134" s="538" t="s">
        <v>535</v>
      </c>
      <c r="E134" s="538">
        <v>1000059946</v>
      </c>
      <c r="F134" s="538">
        <v>73082011</v>
      </c>
      <c r="G134" s="529"/>
      <c r="H134" s="538">
        <v>18</v>
      </c>
      <c r="I134" s="527"/>
      <c r="J134" s="530" t="s">
        <v>615</v>
      </c>
      <c r="K134" s="538" t="s">
        <v>476</v>
      </c>
      <c r="L134" s="538">
        <v>51</v>
      </c>
      <c r="M134" s="742"/>
      <c r="N134" s="540" t="str">
        <f t="shared" si="11"/>
        <v>INCLUDED</v>
      </c>
      <c r="O134" s="623">
        <f t="shared" si="12"/>
        <v>0</v>
      </c>
      <c r="P134" s="623">
        <f t="shared" si="13"/>
        <v>0</v>
      </c>
      <c r="Q134" s="623">
        <f>Discount!$H$36</f>
        <v>0</v>
      </c>
      <c r="R134" s="628">
        <f t="shared" si="14"/>
        <v>0</v>
      </c>
      <c r="S134" s="628">
        <f t="shared" si="15"/>
        <v>0</v>
      </c>
      <c r="T134" s="739">
        <f t="shared" si="16"/>
        <v>0</v>
      </c>
    </row>
    <row r="135" spans="1:20" ht="62.4">
      <c r="A135" s="454">
        <v>118</v>
      </c>
      <c r="B135" s="538">
        <v>7000016865</v>
      </c>
      <c r="C135" s="538">
        <v>1420</v>
      </c>
      <c r="D135" s="538" t="s">
        <v>535</v>
      </c>
      <c r="E135" s="538">
        <v>1000059949</v>
      </c>
      <c r="F135" s="538">
        <v>73082011</v>
      </c>
      <c r="G135" s="529"/>
      <c r="H135" s="538">
        <v>18</v>
      </c>
      <c r="I135" s="527"/>
      <c r="J135" s="530" t="s">
        <v>616</v>
      </c>
      <c r="K135" s="538" t="s">
        <v>476</v>
      </c>
      <c r="L135" s="538">
        <v>6</v>
      </c>
      <c r="M135" s="742"/>
      <c r="N135" s="540" t="str">
        <f t="shared" si="11"/>
        <v>INCLUDED</v>
      </c>
      <c r="O135" s="623">
        <f t="shared" si="12"/>
        <v>0</v>
      </c>
      <c r="P135" s="623">
        <f t="shared" si="13"/>
        <v>0</v>
      </c>
      <c r="Q135" s="623">
        <f>Discount!$H$36</f>
        <v>0</v>
      </c>
      <c r="R135" s="628">
        <f t="shared" si="14"/>
        <v>0</v>
      </c>
      <c r="S135" s="628">
        <f t="shared" si="15"/>
        <v>0</v>
      </c>
      <c r="T135" s="739">
        <f t="shared" si="16"/>
        <v>0</v>
      </c>
    </row>
    <row r="136" spans="1:20" ht="62.4">
      <c r="A136" s="528">
        <v>119</v>
      </c>
      <c r="B136" s="538">
        <v>7000016865</v>
      </c>
      <c r="C136" s="538">
        <v>1430</v>
      </c>
      <c r="D136" s="538" t="s">
        <v>535</v>
      </c>
      <c r="E136" s="538">
        <v>1000059947</v>
      </c>
      <c r="F136" s="538">
        <v>73082011</v>
      </c>
      <c r="G136" s="529"/>
      <c r="H136" s="538">
        <v>18</v>
      </c>
      <c r="I136" s="527"/>
      <c r="J136" s="530" t="s">
        <v>617</v>
      </c>
      <c r="K136" s="538" t="s">
        <v>476</v>
      </c>
      <c r="L136" s="538">
        <v>1</v>
      </c>
      <c r="M136" s="742"/>
      <c r="N136" s="540" t="str">
        <f t="shared" si="6"/>
        <v>INCLUDED</v>
      </c>
      <c r="O136" s="623">
        <f t="shared" si="7"/>
        <v>0</v>
      </c>
      <c r="P136" s="623">
        <f t="shared" si="8"/>
        <v>0</v>
      </c>
      <c r="Q136" s="623">
        <f>Discount!$H$36</f>
        <v>0</v>
      </c>
      <c r="R136" s="628">
        <f t="shared" si="9"/>
        <v>0</v>
      </c>
      <c r="S136" s="628">
        <f t="shared" si="10"/>
        <v>0</v>
      </c>
      <c r="T136" s="739">
        <f t="shared" si="1"/>
        <v>0</v>
      </c>
    </row>
    <row r="137" spans="1:20" ht="62.4">
      <c r="A137" s="454">
        <v>120</v>
      </c>
      <c r="B137" s="538">
        <v>7000016865</v>
      </c>
      <c r="C137" s="538">
        <v>1440</v>
      </c>
      <c r="D137" s="538" t="s">
        <v>535</v>
      </c>
      <c r="E137" s="538">
        <v>1000059952</v>
      </c>
      <c r="F137" s="538">
        <v>73082011</v>
      </c>
      <c r="G137" s="529"/>
      <c r="H137" s="538">
        <v>18</v>
      </c>
      <c r="I137" s="527"/>
      <c r="J137" s="530" t="s">
        <v>618</v>
      </c>
      <c r="K137" s="538" t="s">
        <v>476</v>
      </c>
      <c r="L137" s="538">
        <v>15</v>
      </c>
      <c r="M137" s="742"/>
      <c r="N137" s="540" t="str">
        <f t="shared" si="6"/>
        <v>INCLUDED</v>
      </c>
      <c r="O137" s="623">
        <f t="shared" si="7"/>
        <v>0</v>
      </c>
      <c r="P137" s="623">
        <f t="shared" si="8"/>
        <v>0</v>
      </c>
      <c r="Q137" s="623">
        <f>Discount!$H$36</f>
        <v>0</v>
      </c>
      <c r="R137" s="628">
        <f t="shared" si="9"/>
        <v>0</v>
      </c>
      <c r="S137" s="628">
        <f t="shared" si="10"/>
        <v>0</v>
      </c>
      <c r="T137" s="739">
        <f t="shared" si="1"/>
        <v>0</v>
      </c>
    </row>
    <row r="138" spans="1:20" ht="62.4">
      <c r="A138" s="528">
        <v>121</v>
      </c>
      <c r="B138" s="538">
        <v>7000016865</v>
      </c>
      <c r="C138" s="538">
        <v>1450</v>
      </c>
      <c r="D138" s="538" t="s">
        <v>535</v>
      </c>
      <c r="E138" s="538">
        <v>1000059951</v>
      </c>
      <c r="F138" s="538">
        <v>73082011</v>
      </c>
      <c r="G138" s="529"/>
      <c r="H138" s="538">
        <v>18</v>
      </c>
      <c r="I138" s="527"/>
      <c r="J138" s="530" t="s">
        <v>619</v>
      </c>
      <c r="K138" s="538" t="s">
        <v>476</v>
      </c>
      <c r="L138" s="538">
        <v>1</v>
      </c>
      <c r="M138" s="742"/>
      <c r="N138" s="540" t="str">
        <f t="shared" si="6"/>
        <v>INCLUDED</v>
      </c>
      <c r="O138" s="623">
        <f t="shared" si="7"/>
        <v>0</v>
      </c>
      <c r="P138" s="623">
        <f t="shared" si="8"/>
        <v>0</v>
      </c>
      <c r="Q138" s="623">
        <f>Discount!$H$36</f>
        <v>0</v>
      </c>
      <c r="R138" s="628">
        <f t="shared" si="9"/>
        <v>0</v>
      </c>
      <c r="S138" s="628">
        <f t="shared" si="10"/>
        <v>0</v>
      </c>
      <c r="T138" s="739">
        <f t="shared" si="1"/>
        <v>0</v>
      </c>
    </row>
    <row r="139" spans="1:20" ht="62.4">
      <c r="A139" s="454">
        <v>122</v>
      </c>
      <c r="B139" s="538">
        <v>7000016865</v>
      </c>
      <c r="C139" s="538">
        <v>1460</v>
      </c>
      <c r="D139" s="538" t="s">
        <v>535</v>
      </c>
      <c r="E139" s="538">
        <v>1000059956</v>
      </c>
      <c r="F139" s="538">
        <v>73082011</v>
      </c>
      <c r="G139" s="529"/>
      <c r="H139" s="538">
        <v>18</v>
      </c>
      <c r="I139" s="527"/>
      <c r="J139" s="530" t="s">
        <v>620</v>
      </c>
      <c r="K139" s="538" t="s">
        <v>476</v>
      </c>
      <c r="L139" s="538">
        <v>6</v>
      </c>
      <c r="M139" s="742"/>
      <c r="N139" s="540" t="str">
        <f t="shared" si="6"/>
        <v>INCLUDED</v>
      </c>
      <c r="O139" s="623">
        <f t="shared" si="7"/>
        <v>0</v>
      </c>
      <c r="P139" s="623">
        <f t="shared" si="8"/>
        <v>0</v>
      </c>
      <c r="Q139" s="623">
        <f>Discount!$H$36</f>
        <v>0</v>
      </c>
      <c r="R139" s="628">
        <f t="shared" si="9"/>
        <v>0</v>
      </c>
      <c r="S139" s="628">
        <f t="shared" si="10"/>
        <v>0</v>
      </c>
      <c r="T139" s="739">
        <f t="shared" si="1"/>
        <v>0</v>
      </c>
    </row>
    <row r="140" spans="1:20" ht="62.4">
      <c r="A140" s="528">
        <v>123</v>
      </c>
      <c r="B140" s="538">
        <v>7000016865</v>
      </c>
      <c r="C140" s="538">
        <v>1470</v>
      </c>
      <c r="D140" s="538" t="s">
        <v>535</v>
      </c>
      <c r="E140" s="538">
        <v>1000059953</v>
      </c>
      <c r="F140" s="538">
        <v>73082011</v>
      </c>
      <c r="G140" s="529"/>
      <c r="H140" s="538">
        <v>18</v>
      </c>
      <c r="I140" s="527"/>
      <c r="J140" s="530" t="s">
        <v>621</v>
      </c>
      <c r="K140" s="538" t="s">
        <v>476</v>
      </c>
      <c r="L140" s="538">
        <v>1</v>
      </c>
      <c r="M140" s="742"/>
      <c r="N140" s="540" t="str">
        <f t="shared" si="6"/>
        <v>INCLUDED</v>
      </c>
      <c r="O140" s="623">
        <f t="shared" si="7"/>
        <v>0</v>
      </c>
      <c r="P140" s="623">
        <f t="shared" si="8"/>
        <v>0</v>
      </c>
      <c r="Q140" s="623">
        <f>Discount!$H$36</f>
        <v>0</v>
      </c>
      <c r="R140" s="628">
        <f t="shared" si="9"/>
        <v>0</v>
      </c>
      <c r="S140" s="628">
        <f t="shared" si="10"/>
        <v>0</v>
      </c>
      <c r="T140" s="739">
        <f t="shared" si="1"/>
        <v>0</v>
      </c>
    </row>
    <row r="141" spans="1:20" ht="62.4">
      <c r="A141" s="454">
        <v>124</v>
      </c>
      <c r="B141" s="538">
        <v>7000016865</v>
      </c>
      <c r="C141" s="538">
        <v>1480</v>
      </c>
      <c r="D141" s="538" t="s">
        <v>535</v>
      </c>
      <c r="E141" s="538">
        <v>1000059954</v>
      </c>
      <c r="F141" s="538">
        <v>73082011</v>
      </c>
      <c r="G141" s="529"/>
      <c r="H141" s="538">
        <v>18</v>
      </c>
      <c r="I141" s="527"/>
      <c r="J141" s="530" t="s">
        <v>622</v>
      </c>
      <c r="K141" s="538" t="s">
        <v>476</v>
      </c>
      <c r="L141" s="538">
        <v>1</v>
      </c>
      <c r="M141" s="742"/>
      <c r="N141" s="540" t="str">
        <f t="shared" si="6"/>
        <v>INCLUDED</v>
      </c>
      <c r="O141" s="623">
        <f t="shared" si="7"/>
        <v>0</v>
      </c>
      <c r="P141" s="623">
        <f t="shared" si="8"/>
        <v>0</v>
      </c>
      <c r="Q141" s="623">
        <f>Discount!$H$36</f>
        <v>0</v>
      </c>
      <c r="R141" s="628">
        <f t="shared" si="9"/>
        <v>0</v>
      </c>
      <c r="S141" s="628">
        <f t="shared" si="10"/>
        <v>0</v>
      </c>
      <c r="T141" s="739">
        <f t="shared" si="1"/>
        <v>0</v>
      </c>
    </row>
    <row r="142" spans="1:20" ht="62.4">
      <c r="A142" s="528">
        <v>125</v>
      </c>
      <c r="B142" s="538">
        <v>7000016865</v>
      </c>
      <c r="C142" s="538">
        <v>1490</v>
      </c>
      <c r="D142" s="538" t="s">
        <v>535</v>
      </c>
      <c r="E142" s="538">
        <v>1000059960</v>
      </c>
      <c r="F142" s="538">
        <v>73082011</v>
      </c>
      <c r="G142" s="529"/>
      <c r="H142" s="538">
        <v>18</v>
      </c>
      <c r="I142" s="527"/>
      <c r="J142" s="530" t="s">
        <v>623</v>
      </c>
      <c r="K142" s="538" t="s">
        <v>476</v>
      </c>
      <c r="L142" s="538">
        <v>13</v>
      </c>
      <c r="M142" s="742"/>
      <c r="N142" s="540" t="str">
        <f t="shared" si="6"/>
        <v>INCLUDED</v>
      </c>
      <c r="O142" s="623">
        <f t="shared" si="7"/>
        <v>0</v>
      </c>
      <c r="P142" s="623">
        <f t="shared" si="8"/>
        <v>0</v>
      </c>
      <c r="Q142" s="623">
        <f>Discount!$H$36</f>
        <v>0</v>
      </c>
      <c r="R142" s="628">
        <f t="shared" si="9"/>
        <v>0</v>
      </c>
      <c r="S142" s="628">
        <f t="shared" si="10"/>
        <v>0</v>
      </c>
      <c r="T142" s="739">
        <f t="shared" si="1"/>
        <v>0</v>
      </c>
    </row>
    <row r="143" spans="1:20" ht="62.4">
      <c r="A143" s="454">
        <v>126</v>
      </c>
      <c r="B143" s="538">
        <v>7000016865</v>
      </c>
      <c r="C143" s="538">
        <v>1500</v>
      </c>
      <c r="D143" s="538" t="s">
        <v>535</v>
      </c>
      <c r="E143" s="538">
        <v>1000059957</v>
      </c>
      <c r="F143" s="538">
        <v>73082011</v>
      </c>
      <c r="G143" s="529"/>
      <c r="H143" s="538">
        <v>18</v>
      </c>
      <c r="I143" s="527"/>
      <c r="J143" s="530" t="s">
        <v>624</v>
      </c>
      <c r="K143" s="538" t="s">
        <v>476</v>
      </c>
      <c r="L143" s="538">
        <v>2</v>
      </c>
      <c r="M143" s="742"/>
      <c r="N143" s="540" t="str">
        <f t="shared" si="6"/>
        <v>INCLUDED</v>
      </c>
      <c r="O143" s="623">
        <f t="shared" si="7"/>
        <v>0</v>
      </c>
      <c r="P143" s="623">
        <f t="shared" si="8"/>
        <v>0</v>
      </c>
      <c r="Q143" s="623">
        <f>Discount!$H$36</f>
        <v>0</v>
      </c>
      <c r="R143" s="628">
        <f t="shared" si="9"/>
        <v>0</v>
      </c>
      <c r="S143" s="628">
        <f t="shared" si="10"/>
        <v>0</v>
      </c>
      <c r="T143" s="739">
        <f t="shared" si="1"/>
        <v>0</v>
      </c>
    </row>
    <row r="144" spans="1:20" ht="62.4">
      <c r="A144" s="528">
        <v>127</v>
      </c>
      <c r="B144" s="538">
        <v>7000016865</v>
      </c>
      <c r="C144" s="538">
        <v>1510</v>
      </c>
      <c r="D144" s="538" t="s">
        <v>535</v>
      </c>
      <c r="E144" s="538">
        <v>1000059958</v>
      </c>
      <c r="F144" s="538">
        <v>73082011</v>
      </c>
      <c r="G144" s="529"/>
      <c r="H144" s="538">
        <v>18</v>
      </c>
      <c r="I144" s="527"/>
      <c r="J144" s="530" t="s">
        <v>625</v>
      </c>
      <c r="K144" s="538" t="s">
        <v>476</v>
      </c>
      <c r="L144" s="538">
        <v>16</v>
      </c>
      <c r="M144" s="742"/>
      <c r="N144" s="540" t="str">
        <f t="shared" si="6"/>
        <v>INCLUDED</v>
      </c>
      <c r="O144" s="623">
        <f t="shared" si="7"/>
        <v>0</v>
      </c>
      <c r="P144" s="623">
        <f t="shared" si="8"/>
        <v>0</v>
      </c>
      <c r="Q144" s="623">
        <f>Discount!$H$36</f>
        <v>0</v>
      </c>
      <c r="R144" s="628">
        <f t="shared" si="9"/>
        <v>0</v>
      </c>
      <c r="S144" s="628">
        <f t="shared" si="10"/>
        <v>0</v>
      </c>
      <c r="T144" s="739">
        <f t="shared" si="1"/>
        <v>0</v>
      </c>
    </row>
    <row r="145" spans="1:20" ht="62.4">
      <c r="A145" s="454">
        <v>128</v>
      </c>
      <c r="B145" s="538">
        <v>7000016865</v>
      </c>
      <c r="C145" s="538">
        <v>1520</v>
      </c>
      <c r="D145" s="538" t="s">
        <v>535</v>
      </c>
      <c r="E145" s="538">
        <v>1000059959</v>
      </c>
      <c r="F145" s="538">
        <v>73082011</v>
      </c>
      <c r="G145" s="529"/>
      <c r="H145" s="538">
        <v>18</v>
      </c>
      <c r="I145" s="527"/>
      <c r="J145" s="530" t="s">
        <v>626</v>
      </c>
      <c r="K145" s="538" t="s">
        <v>476</v>
      </c>
      <c r="L145" s="538">
        <v>2</v>
      </c>
      <c r="M145" s="742"/>
      <c r="N145" s="540" t="str">
        <f t="shared" si="6"/>
        <v>INCLUDED</v>
      </c>
      <c r="O145" s="623">
        <f t="shared" si="7"/>
        <v>0</v>
      </c>
      <c r="P145" s="623">
        <f t="shared" si="8"/>
        <v>0</v>
      </c>
      <c r="Q145" s="623">
        <f>Discount!$H$36</f>
        <v>0</v>
      </c>
      <c r="R145" s="628">
        <f t="shared" si="9"/>
        <v>0</v>
      </c>
      <c r="S145" s="628">
        <f t="shared" si="10"/>
        <v>0</v>
      </c>
      <c r="T145" s="739">
        <f t="shared" si="1"/>
        <v>0</v>
      </c>
    </row>
    <row r="146" spans="1:20" ht="46.8">
      <c r="A146" s="528">
        <v>129</v>
      </c>
      <c r="B146" s="538">
        <v>7000016865</v>
      </c>
      <c r="C146" s="538">
        <v>1530</v>
      </c>
      <c r="D146" s="538" t="s">
        <v>535</v>
      </c>
      <c r="E146" s="538">
        <v>1000031890</v>
      </c>
      <c r="F146" s="538">
        <v>73082011</v>
      </c>
      <c r="G146" s="529"/>
      <c r="H146" s="538">
        <v>18</v>
      </c>
      <c r="I146" s="527"/>
      <c r="J146" s="530" t="s">
        <v>627</v>
      </c>
      <c r="K146" s="538" t="s">
        <v>514</v>
      </c>
      <c r="L146" s="538">
        <v>123.91</v>
      </c>
      <c r="M146" s="742"/>
      <c r="N146" s="540" t="str">
        <f t="shared" si="6"/>
        <v>INCLUDED</v>
      </c>
      <c r="O146" s="623">
        <f t="shared" si="7"/>
        <v>0</v>
      </c>
      <c r="P146" s="623">
        <f t="shared" si="8"/>
        <v>0</v>
      </c>
      <c r="Q146" s="623">
        <f>Discount!$H$36</f>
        <v>0</v>
      </c>
      <c r="R146" s="628">
        <f t="shared" si="9"/>
        <v>0</v>
      </c>
      <c r="S146" s="628">
        <f t="shared" si="10"/>
        <v>0</v>
      </c>
      <c r="T146" s="739">
        <f t="shared" si="1"/>
        <v>0</v>
      </c>
    </row>
    <row r="147" spans="1:20" ht="46.8">
      <c r="A147" s="454">
        <v>130</v>
      </c>
      <c r="B147" s="538">
        <v>7000016865</v>
      </c>
      <c r="C147" s="538">
        <v>1540</v>
      </c>
      <c r="D147" s="538" t="s">
        <v>535</v>
      </c>
      <c r="E147" s="538">
        <v>1000031894</v>
      </c>
      <c r="F147" s="538">
        <v>73082011</v>
      </c>
      <c r="G147" s="529"/>
      <c r="H147" s="538">
        <v>18</v>
      </c>
      <c r="I147" s="527"/>
      <c r="J147" s="530" t="s">
        <v>628</v>
      </c>
      <c r="K147" s="538" t="s">
        <v>514</v>
      </c>
      <c r="L147" s="538">
        <v>21.68</v>
      </c>
      <c r="M147" s="742"/>
      <c r="N147" s="540" t="str">
        <f t="shared" si="6"/>
        <v>INCLUDED</v>
      </c>
      <c r="O147" s="623">
        <f t="shared" si="7"/>
        <v>0</v>
      </c>
      <c r="P147" s="623">
        <f t="shared" si="8"/>
        <v>0</v>
      </c>
      <c r="Q147" s="623">
        <f>Discount!$H$36</f>
        <v>0</v>
      </c>
      <c r="R147" s="628">
        <f t="shared" si="9"/>
        <v>0</v>
      </c>
      <c r="S147" s="628">
        <f t="shared" si="10"/>
        <v>0</v>
      </c>
      <c r="T147" s="739">
        <f t="shared" si="1"/>
        <v>0</v>
      </c>
    </row>
    <row r="148" spans="1:20" ht="46.8">
      <c r="A148" s="528">
        <v>131</v>
      </c>
      <c r="B148" s="538">
        <v>7000016865</v>
      </c>
      <c r="C148" s="538">
        <v>1550</v>
      </c>
      <c r="D148" s="538" t="s">
        <v>535</v>
      </c>
      <c r="E148" s="538">
        <v>1000031892</v>
      </c>
      <c r="F148" s="538">
        <v>73082011</v>
      </c>
      <c r="G148" s="529"/>
      <c r="H148" s="538">
        <v>18</v>
      </c>
      <c r="I148" s="527"/>
      <c r="J148" s="530" t="s">
        <v>629</v>
      </c>
      <c r="K148" s="538" t="s">
        <v>514</v>
      </c>
      <c r="L148" s="538">
        <v>3.13</v>
      </c>
      <c r="M148" s="742"/>
      <c r="N148" s="540" t="str">
        <f t="shared" si="6"/>
        <v>INCLUDED</v>
      </c>
      <c r="O148" s="623">
        <f t="shared" ref="O148:O162" si="17">IF(N148="Included",0,N148)</f>
        <v>0</v>
      </c>
      <c r="P148" s="623">
        <f t="shared" ref="P148:P162" si="18">IF( I148="",H148*(IF(N148="Included",0,N148))/100,I148*(IF(N148="Included",0,N148)))</f>
        <v>0</v>
      </c>
      <c r="Q148" s="623">
        <f>Discount!$H$36</f>
        <v>0</v>
      </c>
      <c r="R148" s="628">
        <f t="shared" ref="R148:R162" si="19">Q148*O148</f>
        <v>0</v>
      </c>
      <c r="S148" s="628">
        <f t="shared" ref="S148:S162" si="20">IF(I148="",H148*R148/100,I148*R148)</f>
        <v>0</v>
      </c>
      <c r="T148" s="739">
        <f t="shared" si="1"/>
        <v>0</v>
      </c>
    </row>
    <row r="149" spans="1:20">
      <c r="A149" s="454">
        <v>132</v>
      </c>
      <c r="B149" s="538">
        <v>7000016865</v>
      </c>
      <c r="C149" s="538">
        <v>1560</v>
      </c>
      <c r="D149" s="538" t="s">
        <v>535</v>
      </c>
      <c r="E149" s="538">
        <v>1000013472</v>
      </c>
      <c r="F149" s="538">
        <v>73181500</v>
      </c>
      <c r="G149" s="529"/>
      <c r="H149" s="538">
        <v>18</v>
      </c>
      <c r="I149" s="527"/>
      <c r="J149" s="530" t="s">
        <v>520</v>
      </c>
      <c r="K149" s="538" t="s">
        <v>514</v>
      </c>
      <c r="L149" s="538">
        <v>3.71</v>
      </c>
      <c r="M149" s="742"/>
      <c r="N149" s="540" t="str">
        <f t="shared" si="6"/>
        <v>INCLUDED</v>
      </c>
      <c r="O149" s="623">
        <f t="shared" si="17"/>
        <v>0</v>
      </c>
      <c r="P149" s="623">
        <f t="shared" si="18"/>
        <v>0</v>
      </c>
      <c r="Q149" s="623">
        <f>Discount!$H$36</f>
        <v>0</v>
      </c>
      <c r="R149" s="628">
        <f t="shared" si="19"/>
        <v>0</v>
      </c>
      <c r="S149" s="628">
        <f t="shared" si="20"/>
        <v>0</v>
      </c>
      <c r="T149" s="739">
        <f t="shared" si="1"/>
        <v>0</v>
      </c>
    </row>
    <row r="150" spans="1:20">
      <c r="A150" s="528">
        <v>133</v>
      </c>
      <c r="B150" s="538">
        <v>7000016865</v>
      </c>
      <c r="C150" s="538">
        <v>1570</v>
      </c>
      <c r="D150" s="538" t="s">
        <v>535</v>
      </c>
      <c r="E150" s="538">
        <v>1000007847</v>
      </c>
      <c r="F150" s="538">
        <v>73181500</v>
      </c>
      <c r="G150" s="529"/>
      <c r="H150" s="538">
        <v>18</v>
      </c>
      <c r="I150" s="527"/>
      <c r="J150" s="530" t="s">
        <v>521</v>
      </c>
      <c r="K150" s="538" t="s">
        <v>514</v>
      </c>
      <c r="L150" s="538">
        <v>0.06</v>
      </c>
      <c r="M150" s="742"/>
      <c r="N150" s="540" t="str">
        <f t="shared" si="6"/>
        <v>INCLUDED</v>
      </c>
      <c r="O150" s="623">
        <f t="shared" si="17"/>
        <v>0</v>
      </c>
      <c r="P150" s="623">
        <f t="shared" si="18"/>
        <v>0</v>
      </c>
      <c r="Q150" s="623">
        <f>Discount!$H$36</f>
        <v>0</v>
      </c>
      <c r="R150" s="628">
        <f t="shared" si="19"/>
        <v>0</v>
      </c>
      <c r="S150" s="628">
        <f t="shared" si="20"/>
        <v>0</v>
      </c>
      <c r="T150" s="739">
        <f t="shared" si="1"/>
        <v>0</v>
      </c>
    </row>
    <row r="151" spans="1:20">
      <c r="A151" s="454">
        <v>134</v>
      </c>
      <c r="B151" s="538">
        <v>7000016865</v>
      </c>
      <c r="C151" s="538">
        <v>1580</v>
      </c>
      <c r="D151" s="538" t="s">
        <v>536</v>
      </c>
      <c r="E151" s="538">
        <v>1000036834</v>
      </c>
      <c r="F151" s="538">
        <v>76149000</v>
      </c>
      <c r="G151" s="529"/>
      <c r="H151" s="538">
        <v>18</v>
      </c>
      <c r="I151" s="527"/>
      <c r="J151" s="530" t="s">
        <v>567</v>
      </c>
      <c r="K151" s="538" t="s">
        <v>484</v>
      </c>
      <c r="L151" s="538">
        <v>529.20799999999997</v>
      </c>
      <c r="M151" s="742"/>
      <c r="N151" s="540" t="str">
        <f t="shared" si="6"/>
        <v>INCLUDED</v>
      </c>
      <c r="O151" s="623">
        <f t="shared" si="17"/>
        <v>0</v>
      </c>
      <c r="P151" s="623">
        <f t="shared" si="18"/>
        <v>0</v>
      </c>
      <c r="Q151" s="623">
        <f>Discount!$H$36</f>
        <v>0</v>
      </c>
      <c r="R151" s="628">
        <f t="shared" si="19"/>
        <v>0</v>
      </c>
      <c r="S151" s="628">
        <f t="shared" si="20"/>
        <v>0</v>
      </c>
      <c r="T151" s="739">
        <f t="shared" si="1"/>
        <v>0</v>
      </c>
    </row>
    <row r="152" spans="1:20">
      <c r="A152" s="528">
        <v>135</v>
      </c>
      <c r="B152" s="538">
        <v>7000016865</v>
      </c>
      <c r="C152" s="538">
        <v>2150</v>
      </c>
      <c r="D152" s="538" t="s">
        <v>544</v>
      </c>
      <c r="E152" s="538">
        <v>1000030841</v>
      </c>
      <c r="F152" s="538">
        <v>73121020</v>
      </c>
      <c r="G152" s="529"/>
      <c r="H152" s="538">
        <v>18</v>
      </c>
      <c r="I152" s="527"/>
      <c r="J152" s="530" t="s">
        <v>630</v>
      </c>
      <c r="K152" s="538" t="s">
        <v>484</v>
      </c>
      <c r="L152" s="538">
        <v>44.100999999999999</v>
      </c>
      <c r="M152" s="742"/>
      <c r="N152" s="540" t="str">
        <f t="shared" si="6"/>
        <v>INCLUDED</v>
      </c>
      <c r="O152" s="623">
        <f t="shared" si="17"/>
        <v>0</v>
      </c>
      <c r="P152" s="623">
        <f t="shared" si="18"/>
        <v>0</v>
      </c>
      <c r="Q152" s="623">
        <f>Discount!$H$36</f>
        <v>0</v>
      </c>
      <c r="R152" s="628">
        <f t="shared" si="19"/>
        <v>0</v>
      </c>
      <c r="S152" s="628">
        <f t="shared" si="20"/>
        <v>0</v>
      </c>
      <c r="T152" s="739">
        <f t="shared" si="1"/>
        <v>0</v>
      </c>
    </row>
    <row r="153" spans="1:20">
      <c r="A153" s="454">
        <v>136</v>
      </c>
      <c r="B153" s="538">
        <v>7000016865</v>
      </c>
      <c r="C153" s="538">
        <v>1590</v>
      </c>
      <c r="D153" s="538" t="s">
        <v>537</v>
      </c>
      <c r="E153" s="538">
        <v>1000009325</v>
      </c>
      <c r="F153" s="538">
        <v>85469090</v>
      </c>
      <c r="G153" s="529"/>
      <c r="H153" s="538">
        <v>18</v>
      </c>
      <c r="I153" s="527"/>
      <c r="J153" s="530" t="s">
        <v>568</v>
      </c>
      <c r="K153" s="538" t="s">
        <v>476</v>
      </c>
      <c r="L153" s="538">
        <v>441</v>
      </c>
      <c r="M153" s="742"/>
      <c r="N153" s="540" t="str">
        <f t="shared" si="6"/>
        <v>INCLUDED</v>
      </c>
      <c r="O153" s="623">
        <f t="shared" si="17"/>
        <v>0</v>
      </c>
      <c r="P153" s="623">
        <f t="shared" si="18"/>
        <v>0</v>
      </c>
      <c r="Q153" s="623">
        <f>Discount!$H$36</f>
        <v>0</v>
      </c>
      <c r="R153" s="628">
        <f t="shared" si="19"/>
        <v>0</v>
      </c>
      <c r="S153" s="628">
        <f t="shared" si="20"/>
        <v>0</v>
      </c>
      <c r="T153" s="739">
        <f t="shared" si="1"/>
        <v>0</v>
      </c>
    </row>
    <row r="154" spans="1:20">
      <c r="A154" s="528">
        <v>137</v>
      </c>
      <c r="B154" s="538">
        <v>7000016865</v>
      </c>
      <c r="C154" s="538">
        <v>1600</v>
      </c>
      <c r="D154" s="538" t="s">
        <v>537</v>
      </c>
      <c r="E154" s="538">
        <v>1000009325</v>
      </c>
      <c r="F154" s="538">
        <v>85469090</v>
      </c>
      <c r="G154" s="529"/>
      <c r="H154" s="538">
        <v>18</v>
      </c>
      <c r="I154" s="527"/>
      <c r="J154" s="530" t="s">
        <v>568</v>
      </c>
      <c r="K154" s="538" t="s">
        <v>476</v>
      </c>
      <c r="L154" s="538">
        <v>45</v>
      </c>
      <c r="M154" s="742"/>
      <c r="N154" s="540" t="str">
        <f t="shared" si="6"/>
        <v>INCLUDED</v>
      </c>
      <c r="O154" s="623">
        <f t="shared" si="17"/>
        <v>0</v>
      </c>
      <c r="P154" s="623">
        <f t="shared" si="18"/>
        <v>0</v>
      </c>
      <c r="Q154" s="623">
        <f>Discount!$H$36</f>
        <v>0</v>
      </c>
      <c r="R154" s="628">
        <f t="shared" si="19"/>
        <v>0</v>
      </c>
      <c r="S154" s="628">
        <f t="shared" si="20"/>
        <v>0</v>
      </c>
      <c r="T154" s="739">
        <f t="shared" si="1"/>
        <v>0</v>
      </c>
    </row>
    <row r="155" spans="1:20">
      <c r="A155" s="454">
        <v>138</v>
      </c>
      <c r="B155" s="538">
        <v>7000016865</v>
      </c>
      <c r="C155" s="538">
        <v>1610</v>
      </c>
      <c r="D155" s="538" t="s">
        <v>537</v>
      </c>
      <c r="E155" s="538">
        <v>1000009328</v>
      </c>
      <c r="F155" s="538">
        <v>85469090</v>
      </c>
      <c r="G155" s="529"/>
      <c r="H155" s="538">
        <v>18</v>
      </c>
      <c r="I155" s="527"/>
      <c r="J155" s="530" t="s">
        <v>569</v>
      </c>
      <c r="K155" s="538" t="s">
        <v>476</v>
      </c>
      <c r="L155" s="538">
        <v>1764</v>
      </c>
      <c r="M155" s="742"/>
      <c r="N155" s="540" t="str">
        <f t="shared" si="6"/>
        <v>INCLUDED</v>
      </c>
      <c r="O155" s="623">
        <f t="shared" si="17"/>
        <v>0</v>
      </c>
      <c r="P155" s="623">
        <f t="shared" si="18"/>
        <v>0</v>
      </c>
      <c r="Q155" s="623">
        <f>Discount!$H$36</f>
        <v>0</v>
      </c>
      <c r="R155" s="628">
        <f t="shared" si="19"/>
        <v>0</v>
      </c>
      <c r="S155" s="628">
        <f t="shared" si="20"/>
        <v>0</v>
      </c>
      <c r="T155" s="739">
        <f t="shared" si="1"/>
        <v>0</v>
      </c>
    </row>
    <row r="156" spans="1:20">
      <c r="A156" s="528">
        <v>139</v>
      </c>
      <c r="B156" s="538">
        <v>7000016865</v>
      </c>
      <c r="C156" s="538">
        <v>1620</v>
      </c>
      <c r="D156" s="538" t="s">
        <v>537</v>
      </c>
      <c r="E156" s="538">
        <v>1000009328</v>
      </c>
      <c r="F156" s="538">
        <v>85469090</v>
      </c>
      <c r="G156" s="529"/>
      <c r="H156" s="538">
        <v>18</v>
      </c>
      <c r="I156" s="527"/>
      <c r="J156" s="530" t="s">
        <v>569</v>
      </c>
      <c r="K156" s="538" t="s">
        <v>476</v>
      </c>
      <c r="L156" s="538">
        <v>177</v>
      </c>
      <c r="M156" s="742"/>
      <c r="N156" s="540" t="str">
        <f t="shared" si="6"/>
        <v>INCLUDED</v>
      </c>
      <c r="O156" s="623">
        <f t="shared" si="17"/>
        <v>0</v>
      </c>
      <c r="P156" s="623">
        <f t="shared" si="18"/>
        <v>0</v>
      </c>
      <c r="Q156" s="623">
        <f>Discount!$H$36</f>
        <v>0</v>
      </c>
      <c r="R156" s="628">
        <f t="shared" si="19"/>
        <v>0</v>
      </c>
      <c r="S156" s="628">
        <f t="shared" si="20"/>
        <v>0</v>
      </c>
      <c r="T156" s="739">
        <f t="shared" si="1"/>
        <v>0</v>
      </c>
    </row>
    <row r="157" spans="1:20">
      <c r="A157" s="454">
        <v>140</v>
      </c>
      <c r="B157" s="538">
        <v>7000016865</v>
      </c>
      <c r="C157" s="538">
        <v>1630</v>
      </c>
      <c r="D157" s="538" t="s">
        <v>538</v>
      </c>
      <c r="E157" s="538">
        <v>1000019805</v>
      </c>
      <c r="F157" s="538">
        <v>73082011</v>
      </c>
      <c r="G157" s="529"/>
      <c r="H157" s="538">
        <v>18</v>
      </c>
      <c r="I157" s="527"/>
      <c r="J157" s="530" t="s">
        <v>570</v>
      </c>
      <c r="K157" s="538" t="s">
        <v>481</v>
      </c>
      <c r="L157" s="538">
        <v>306</v>
      </c>
      <c r="M157" s="742"/>
      <c r="N157" s="540" t="str">
        <f t="shared" si="6"/>
        <v>INCLUDED</v>
      </c>
      <c r="O157" s="623">
        <f t="shared" si="17"/>
        <v>0</v>
      </c>
      <c r="P157" s="623">
        <f t="shared" si="18"/>
        <v>0</v>
      </c>
      <c r="Q157" s="623">
        <f>Discount!$H$36</f>
        <v>0</v>
      </c>
      <c r="R157" s="628">
        <f t="shared" si="19"/>
        <v>0</v>
      </c>
      <c r="S157" s="628">
        <f t="shared" si="20"/>
        <v>0</v>
      </c>
      <c r="T157" s="739">
        <f t="shared" si="1"/>
        <v>0</v>
      </c>
    </row>
    <row r="158" spans="1:20">
      <c r="A158" s="528">
        <v>141</v>
      </c>
      <c r="B158" s="538">
        <v>7000016865</v>
      </c>
      <c r="C158" s="538">
        <v>1640</v>
      </c>
      <c r="D158" s="538" t="s">
        <v>538</v>
      </c>
      <c r="E158" s="538">
        <v>1000019805</v>
      </c>
      <c r="F158" s="538">
        <v>73082011</v>
      </c>
      <c r="G158" s="529"/>
      <c r="H158" s="538">
        <v>18</v>
      </c>
      <c r="I158" s="527"/>
      <c r="J158" s="530" t="s">
        <v>570</v>
      </c>
      <c r="K158" s="538" t="s">
        <v>481</v>
      </c>
      <c r="L158" s="538">
        <v>7</v>
      </c>
      <c r="M158" s="742"/>
      <c r="N158" s="540" t="str">
        <f t="shared" si="6"/>
        <v>INCLUDED</v>
      </c>
      <c r="O158" s="623">
        <f t="shared" si="17"/>
        <v>0</v>
      </c>
      <c r="P158" s="623">
        <f t="shared" si="18"/>
        <v>0</v>
      </c>
      <c r="Q158" s="623">
        <f>Discount!$H$36</f>
        <v>0</v>
      </c>
      <c r="R158" s="628">
        <f t="shared" si="19"/>
        <v>0</v>
      </c>
      <c r="S158" s="628">
        <f t="shared" si="20"/>
        <v>0</v>
      </c>
      <c r="T158" s="739">
        <f t="shared" ref="T158:T178" si="21">M158*L158</f>
        <v>0</v>
      </c>
    </row>
    <row r="159" spans="1:20">
      <c r="A159" s="454">
        <v>142</v>
      </c>
      <c r="B159" s="538">
        <v>7000016865</v>
      </c>
      <c r="C159" s="538">
        <v>1650</v>
      </c>
      <c r="D159" s="538" t="s">
        <v>538</v>
      </c>
      <c r="E159" s="538">
        <v>1000010803</v>
      </c>
      <c r="F159" s="538">
        <v>73082011</v>
      </c>
      <c r="G159" s="529"/>
      <c r="H159" s="538">
        <v>18</v>
      </c>
      <c r="I159" s="527"/>
      <c r="J159" s="530" t="s">
        <v>571</v>
      </c>
      <c r="K159" s="538" t="s">
        <v>481</v>
      </c>
      <c r="L159" s="538">
        <v>882</v>
      </c>
      <c r="M159" s="742"/>
      <c r="N159" s="540" t="str">
        <f t="shared" si="6"/>
        <v>INCLUDED</v>
      </c>
      <c r="O159" s="623">
        <f t="shared" si="17"/>
        <v>0</v>
      </c>
      <c r="P159" s="623">
        <f t="shared" si="18"/>
        <v>0</v>
      </c>
      <c r="Q159" s="623">
        <f>Discount!$H$36</f>
        <v>0</v>
      </c>
      <c r="R159" s="628">
        <f t="shared" si="19"/>
        <v>0</v>
      </c>
      <c r="S159" s="628">
        <f t="shared" si="20"/>
        <v>0</v>
      </c>
      <c r="T159" s="739">
        <f t="shared" si="21"/>
        <v>0</v>
      </c>
    </row>
    <row r="160" spans="1:20">
      <c r="A160" s="528">
        <v>143</v>
      </c>
      <c r="B160" s="538">
        <v>7000016865</v>
      </c>
      <c r="C160" s="538">
        <v>1660</v>
      </c>
      <c r="D160" s="538" t="s">
        <v>538</v>
      </c>
      <c r="E160" s="538">
        <v>1000010803</v>
      </c>
      <c r="F160" s="538">
        <v>73082011</v>
      </c>
      <c r="G160" s="529"/>
      <c r="H160" s="538">
        <v>18</v>
      </c>
      <c r="I160" s="527"/>
      <c r="J160" s="530" t="s">
        <v>571</v>
      </c>
      <c r="K160" s="538" t="s">
        <v>481</v>
      </c>
      <c r="L160" s="538">
        <v>18</v>
      </c>
      <c r="M160" s="742"/>
      <c r="N160" s="540" t="str">
        <f t="shared" si="6"/>
        <v>INCLUDED</v>
      </c>
      <c r="O160" s="623">
        <f t="shared" si="17"/>
        <v>0</v>
      </c>
      <c r="P160" s="623">
        <f t="shared" si="18"/>
        <v>0</v>
      </c>
      <c r="Q160" s="623">
        <f>Discount!$H$36</f>
        <v>0</v>
      </c>
      <c r="R160" s="628">
        <f t="shared" si="19"/>
        <v>0</v>
      </c>
      <c r="S160" s="628">
        <f t="shared" si="20"/>
        <v>0</v>
      </c>
      <c r="T160" s="739">
        <f t="shared" si="21"/>
        <v>0</v>
      </c>
    </row>
    <row r="161" spans="1:20">
      <c r="A161" s="454">
        <v>144</v>
      </c>
      <c r="B161" s="538">
        <v>7000016865</v>
      </c>
      <c r="C161" s="538">
        <v>1670</v>
      </c>
      <c r="D161" s="538" t="s">
        <v>538</v>
      </c>
      <c r="E161" s="538">
        <v>1000019783</v>
      </c>
      <c r="F161" s="538">
        <v>73082011</v>
      </c>
      <c r="G161" s="529"/>
      <c r="H161" s="538">
        <v>18</v>
      </c>
      <c r="I161" s="527"/>
      <c r="J161" s="530" t="s">
        <v>572</v>
      </c>
      <c r="K161" s="538" t="s">
        <v>481</v>
      </c>
      <c r="L161" s="538">
        <v>135</v>
      </c>
      <c r="M161" s="742"/>
      <c r="N161" s="540" t="str">
        <f t="shared" si="6"/>
        <v>INCLUDED</v>
      </c>
      <c r="O161" s="623">
        <f t="shared" si="17"/>
        <v>0</v>
      </c>
      <c r="P161" s="623">
        <f t="shared" si="18"/>
        <v>0</v>
      </c>
      <c r="Q161" s="623">
        <f>Discount!$H$36</f>
        <v>0</v>
      </c>
      <c r="R161" s="628">
        <f t="shared" si="19"/>
        <v>0</v>
      </c>
      <c r="S161" s="628">
        <f t="shared" si="20"/>
        <v>0</v>
      </c>
      <c r="T161" s="739">
        <f t="shared" si="21"/>
        <v>0</v>
      </c>
    </row>
    <row r="162" spans="1:20">
      <c r="A162" s="528">
        <v>145</v>
      </c>
      <c r="B162" s="538">
        <v>7000016865</v>
      </c>
      <c r="C162" s="538">
        <v>1680</v>
      </c>
      <c r="D162" s="538" t="s">
        <v>538</v>
      </c>
      <c r="E162" s="538">
        <v>1000019783</v>
      </c>
      <c r="F162" s="538">
        <v>73082011</v>
      </c>
      <c r="G162" s="529"/>
      <c r="H162" s="538">
        <v>18</v>
      </c>
      <c r="I162" s="527"/>
      <c r="J162" s="530" t="s">
        <v>572</v>
      </c>
      <c r="K162" s="538" t="s">
        <v>481</v>
      </c>
      <c r="L162" s="538">
        <v>3</v>
      </c>
      <c r="M162" s="742"/>
      <c r="N162" s="540" t="str">
        <f t="shared" si="6"/>
        <v>INCLUDED</v>
      </c>
      <c r="O162" s="623">
        <f t="shared" si="17"/>
        <v>0</v>
      </c>
      <c r="P162" s="623">
        <f t="shared" si="18"/>
        <v>0</v>
      </c>
      <c r="Q162" s="623">
        <f>Discount!$H$36</f>
        <v>0</v>
      </c>
      <c r="R162" s="628">
        <f t="shared" si="19"/>
        <v>0</v>
      </c>
      <c r="S162" s="628">
        <f t="shared" si="20"/>
        <v>0</v>
      </c>
      <c r="T162" s="739">
        <f t="shared" si="21"/>
        <v>0</v>
      </c>
    </row>
    <row r="163" spans="1:20" ht="46.8">
      <c r="A163" s="454">
        <v>146</v>
      </c>
      <c r="B163" s="538">
        <v>7000016865</v>
      </c>
      <c r="C163" s="538">
        <v>1690</v>
      </c>
      <c r="D163" s="538" t="s">
        <v>538</v>
      </c>
      <c r="E163" s="538">
        <v>1000036855</v>
      </c>
      <c r="F163" s="538">
        <v>73082011</v>
      </c>
      <c r="G163" s="529"/>
      <c r="H163" s="538">
        <v>18</v>
      </c>
      <c r="I163" s="527"/>
      <c r="J163" s="530" t="s">
        <v>573</v>
      </c>
      <c r="K163" s="538" t="s">
        <v>476</v>
      </c>
      <c r="L163" s="538">
        <v>612</v>
      </c>
      <c r="M163" s="742"/>
      <c r="N163" s="540" t="str">
        <f t="shared" si="6"/>
        <v>INCLUDED</v>
      </c>
      <c r="O163" s="623">
        <f t="shared" ref="O163:O178" si="22">IF(N163="Included",0,N163)</f>
        <v>0</v>
      </c>
      <c r="P163" s="623">
        <f t="shared" ref="P163:P178" si="23">IF( I163="",H163*(IF(N163="Included",0,N163))/100,I163*(IF(N163="Included",0,N163)))</f>
        <v>0</v>
      </c>
      <c r="Q163" s="623">
        <f>Discount!$H$36</f>
        <v>0</v>
      </c>
      <c r="R163" s="628">
        <f t="shared" ref="R163:R178" si="24">Q163*O163</f>
        <v>0</v>
      </c>
      <c r="S163" s="628">
        <f t="shared" ref="S163:S178" si="25">IF(I163="",H163*R163/100,I163*R163)</f>
        <v>0</v>
      </c>
      <c r="T163" s="739">
        <f t="shared" si="21"/>
        <v>0</v>
      </c>
    </row>
    <row r="164" spans="1:20">
      <c r="A164" s="528">
        <v>147</v>
      </c>
      <c r="B164" s="538">
        <v>7000016865</v>
      </c>
      <c r="C164" s="538">
        <v>1700</v>
      </c>
      <c r="D164" s="538" t="s">
        <v>538</v>
      </c>
      <c r="E164" s="538">
        <v>1000036825</v>
      </c>
      <c r="F164" s="538">
        <v>73082011</v>
      </c>
      <c r="G164" s="529"/>
      <c r="H164" s="538">
        <v>18</v>
      </c>
      <c r="I164" s="527"/>
      <c r="J164" s="530" t="s">
        <v>574</v>
      </c>
      <c r="K164" s="538" t="s">
        <v>476</v>
      </c>
      <c r="L164" s="538">
        <v>1764</v>
      </c>
      <c r="M164" s="742"/>
      <c r="N164" s="540" t="str">
        <f t="shared" si="6"/>
        <v>INCLUDED</v>
      </c>
      <c r="O164" s="623">
        <f t="shared" si="22"/>
        <v>0</v>
      </c>
      <c r="P164" s="623">
        <f t="shared" si="23"/>
        <v>0</v>
      </c>
      <c r="Q164" s="623">
        <f>Discount!$H$36</f>
        <v>0</v>
      </c>
      <c r="R164" s="628">
        <f t="shared" si="24"/>
        <v>0</v>
      </c>
      <c r="S164" s="628">
        <f t="shared" si="25"/>
        <v>0</v>
      </c>
      <c r="T164" s="739">
        <f t="shared" si="21"/>
        <v>0</v>
      </c>
    </row>
    <row r="165" spans="1:20" ht="31.2">
      <c r="A165" s="454">
        <v>148</v>
      </c>
      <c r="B165" s="538">
        <v>7000016865</v>
      </c>
      <c r="C165" s="538">
        <v>1710</v>
      </c>
      <c r="D165" s="538" t="s">
        <v>538</v>
      </c>
      <c r="E165" s="538">
        <v>1000036856</v>
      </c>
      <c r="F165" s="538">
        <v>73082011</v>
      </c>
      <c r="G165" s="529"/>
      <c r="H165" s="538">
        <v>18</v>
      </c>
      <c r="I165" s="527"/>
      <c r="J165" s="530" t="s">
        <v>575</v>
      </c>
      <c r="K165" s="538" t="s">
        <v>476</v>
      </c>
      <c r="L165" s="538">
        <v>270</v>
      </c>
      <c r="M165" s="742"/>
      <c r="N165" s="540" t="str">
        <f t="shared" si="6"/>
        <v>INCLUDED</v>
      </c>
      <c r="O165" s="623">
        <f t="shared" si="22"/>
        <v>0</v>
      </c>
      <c r="P165" s="623">
        <f t="shared" si="23"/>
        <v>0</v>
      </c>
      <c r="Q165" s="623">
        <f>Discount!$H$36</f>
        <v>0</v>
      </c>
      <c r="R165" s="628">
        <f t="shared" si="24"/>
        <v>0</v>
      </c>
      <c r="S165" s="628">
        <f t="shared" si="25"/>
        <v>0</v>
      </c>
      <c r="T165" s="739">
        <f t="shared" si="21"/>
        <v>0</v>
      </c>
    </row>
    <row r="166" spans="1:20">
      <c r="A166" s="528">
        <v>149</v>
      </c>
      <c r="B166" s="538">
        <v>7000016865</v>
      </c>
      <c r="C166" s="538">
        <v>1720</v>
      </c>
      <c r="D166" s="538" t="s">
        <v>539</v>
      </c>
      <c r="E166" s="538">
        <v>1000036839</v>
      </c>
      <c r="F166" s="538">
        <v>76169990</v>
      </c>
      <c r="G166" s="529"/>
      <c r="H166" s="538">
        <v>18</v>
      </c>
      <c r="I166" s="527"/>
      <c r="J166" s="530" t="s">
        <v>576</v>
      </c>
      <c r="K166" s="538" t="s">
        <v>476</v>
      </c>
      <c r="L166" s="538">
        <v>278</v>
      </c>
      <c r="M166" s="742"/>
      <c r="N166" s="540" t="str">
        <f t="shared" si="6"/>
        <v>INCLUDED</v>
      </c>
      <c r="O166" s="623">
        <f t="shared" si="22"/>
        <v>0</v>
      </c>
      <c r="P166" s="623">
        <f t="shared" si="23"/>
        <v>0</v>
      </c>
      <c r="Q166" s="623">
        <f>Discount!$H$36</f>
        <v>0</v>
      </c>
      <c r="R166" s="628">
        <f t="shared" si="24"/>
        <v>0</v>
      </c>
      <c r="S166" s="628">
        <f t="shared" si="25"/>
        <v>0</v>
      </c>
      <c r="T166" s="739">
        <f t="shared" si="21"/>
        <v>0</v>
      </c>
    </row>
    <row r="167" spans="1:20">
      <c r="A167" s="454">
        <v>150</v>
      </c>
      <c r="B167" s="538">
        <v>7000016865</v>
      </c>
      <c r="C167" s="538">
        <v>1730</v>
      </c>
      <c r="D167" s="538" t="s">
        <v>539</v>
      </c>
      <c r="E167" s="538">
        <v>1000036851</v>
      </c>
      <c r="F167" s="538">
        <v>76169990</v>
      </c>
      <c r="G167" s="529"/>
      <c r="H167" s="538">
        <v>18</v>
      </c>
      <c r="I167" s="527"/>
      <c r="J167" s="530" t="s">
        <v>577</v>
      </c>
      <c r="K167" s="538" t="s">
        <v>476</v>
      </c>
      <c r="L167" s="538">
        <v>93</v>
      </c>
      <c r="M167" s="742"/>
      <c r="N167" s="540" t="str">
        <f t="shared" si="6"/>
        <v>INCLUDED</v>
      </c>
      <c r="O167" s="623">
        <f t="shared" si="22"/>
        <v>0</v>
      </c>
      <c r="P167" s="623">
        <f t="shared" si="23"/>
        <v>0</v>
      </c>
      <c r="Q167" s="623">
        <f>Discount!$H$36</f>
        <v>0</v>
      </c>
      <c r="R167" s="628">
        <f t="shared" si="24"/>
        <v>0</v>
      </c>
      <c r="S167" s="628">
        <f t="shared" si="25"/>
        <v>0</v>
      </c>
      <c r="T167" s="739">
        <f t="shared" si="21"/>
        <v>0</v>
      </c>
    </row>
    <row r="168" spans="1:20">
      <c r="A168" s="528">
        <v>151</v>
      </c>
      <c r="B168" s="538">
        <v>7000016865</v>
      </c>
      <c r="C168" s="538">
        <v>1740</v>
      </c>
      <c r="D168" s="538" t="s">
        <v>539</v>
      </c>
      <c r="E168" s="538">
        <v>1000036854</v>
      </c>
      <c r="F168" s="538">
        <v>76169990</v>
      </c>
      <c r="G168" s="529"/>
      <c r="H168" s="538">
        <v>18</v>
      </c>
      <c r="I168" s="527"/>
      <c r="J168" s="530" t="s">
        <v>578</v>
      </c>
      <c r="K168" s="538" t="s">
        <v>476</v>
      </c>
      <c r="L168" s="538">
        <v>5208</v>
      </c>
      <c r="M168" s="742"/>
      <c r="N168" s="540" t="str">
        <f t="shared" si="6"/>
        <v>INCLUDED</v>
      </c>
      <c r="O168" s="623">
        <f t="shared" si="22"/>
        <v>0</v>
      </c>
      <c r="P168" s="623">
        <f t="shared" si="23"/>
        <v>0</v>
      </c>
      <c r="Q168" s="623">
        <f>Discount!$H$36</f>
        <v>0</v>
      </c>
      <c r="R168" s="628">
        <f t="shared" si="24"/>
        <v>0</v>
      </c>
      <c r="S168" s="628">
        <f t="shared" si="25"/>
        <v>0</v>
      </c>
      <c r="T168" s="739">
        <f t="shared" si="21"/>
        <v>0</v>
      </c>
    </row>
    <row r="169" spans="1:20">
      <c r="A169" s="454">
        <v>152</v>
      </c>
      <c r="B169" s="538">
        <v>7000016865</v>
      </c>
      <c r="C169" s="538">
        <v>1750</v>
      </c>
      <c r="D169" s="538" t="s">
        <v>539</v>
      </c>
      <c r="E169" s="538">
        <v>1000036852</v>
      </c>
      <c r="F169" s="538">
        <v>76169990</v>
      </c>
      <c r="G169" s="529"/>
      <c r="H169" s="538">
        <v>18</v>
      </c>
      <c r="I169" s="527"/>
      <c r="J169" s="530" t="s">
        <v>579</v>
      </c>
      <c r="K169" s="538" t="s">
        <v>476</v>
      </c>
      <c r="L169" s="538">
        <v>1332</v>
      </c>
      <c r="M169" s="742"/>
      <c r="N169" s="540" t="str">
        <f t="shared" si="6"/>
        <v>INCLUDED</v>
      </c>
      <c r="O169" s="623">
        <f t="shared" si="22"/>
        <v>0</v>
      </c>
      <c r="P169" s="623">
        <f t="shared" si="23"/>
        <v>0</v>
      </c>
      <c r="Q169" s="623">
        <f>Discount!$H$36</f>
        <v>0</v>
      </c>
      <c r="R169" s="628">
        <f t="shared" si="24"/>
        <v>0</v>
      </c>
      <c r="S169" s="628">
        <f t="shared" si="25"/>
        <v>0</v>
      </c>
      <c r="T169" s="739">
        <f t="shared" si="21"/>
        <v>0</v>
      </c>
    </row>
    <row r="170" spans="1:20">
      <c r="A170" s="528">
        <v>153</v>
      </c>
      <c r="B170" s="538">
        <v>7000016865</v>
      </c>
      <c r="C170" s="538">
        <v>1760</v>
      </c>
      <c r="D170" s="538" t="s">
        <v>540</v>
      </c>
      <c r="E170" s="538">
        <v>1000017587</v>
      </c>
      <c r="F170" s="538">
        <v>73082011</v>
      </c>
      <c r="G170" s="529"/>
      <c r="H170" s="538">
        <v>18</v>
      </c>
      <c r="I170" s="527"/>
      <c r="J170" s="530" t="s">
        <v>475</v>
      </c>
      <c r="K170" s="538" t="s">
        <v>476</v>
      </c>
      <c r="L170" s="538">
        <v>114</v>
      </c>
      <c r="M170" s="742"/>
      <c r="N170" s="540" t="str">
        <f t="shared" si="6"/>
        <v>INCLUDED</v>
      </c>
      <c r="O170" s="623">
        <f t="shared" si="22"/>
        <v>0</v>
      </c>
      <c r="P170" s="623">
        <f t="shared" si="23"/>
        <v>0</v>
      </c>
      <c r="Q170" s="623">
        <f>Discount!$H$36</f>
        <v>0</v>
      </c>
      <c r="R170" s="628">
        <f t="shared" si="24"/>
        <v>0</v>
      </c>
      <c r="S170" s="628">
        <f t="shared" si="25"/>
        <v>0</v>
      </c>
      <c r="T170" s="739">
        <f t="shared" si="21"/>
        <v>0</v>
      </c>
    </row>
    <row r="171" spans="1:20">
      <c r="A171" s="454">
        <v>154</v>
      </c>
      <c r="B171" s="538">
        <v>7000016865</v>
      </c>
      <c r="C171" s="538">
        <v>1770</v>
      </c>
      <c r="D171" s="538" t="s">
        <v>540</v>
      </c>
      <c r="E171" s="538">
        <v>1000045873</v>
      </c>
      <c r="F171" s="538">
        <v>73082011</v>
      </c>
      <c r="G171" s="529"/>
      <c r="H171" s="538">
        <v>18</v>
      </c>
      <c r="I171" s="527"/>
      <c r="J171" s="530" t="s">
        <v>580</v>
      </c>
      <c r="K171" s="538" t="s">
        <v>476</v>
      </c>
      <c r="L171" s="538">
        <v>4</v>
      </c>
      <c r="M171" s="742"/>
      <c r="N171" s="540" t="str">
        <f t="shared" si="6"/>
        <v>INCLUDED</v>
      </c>
      <c r="O171" s="623">
        <f t="shared" si="22"/>
        <v>0</v>
      </c>
      <c r="P171" s="623">
        <f t="shared" si="23"/>
        <v>0</v>
      </c>
      <c r="Q171" s="623">
        <f>Discount!$H$36</f>
        <v>0</v>
      </c>
      <c r="R171" s="628">
        <f t="shared" si="24"/>
        <v>0</v>
      </c>
      <c r="S171" s="628">
        <f t="shared" si="25"/>
        <v>0</v>
      </c>
      <c r="T171" s="739">
        <f t="shared" si="21"/>
        <v>0</v>
      </c>
    </row>
    <row r="172" spans="1:20">
      <c r="A172" s="528">
        <v>155</v>
      </c>
      <c r="B172" s="538">
        <v>7000016865</v>
      </c>
      <c r="C172" s="538">
        <v>1780</v>
      </c>
      <c r="D172" s="538" t="s">
        <v>540</v>
      </c>
      <c r="E172" s="538">
        <v>1000010003</v>
      </c>
      <c r="F172" s="538">
        <v>73082011</v>
      </c>
      <c r="G172" s="529"/>
      <c r="H172" s="538">
        <v>18</v>
      </c>
      <c r="I172" s="527"/>
      <c r="J172" s="530" t="s">
        <v>477</v>
      </c>
      <c r="K172" s="538" t="s">
        <v>476</v>
      </c>
      <c r="L172" s="538">
        <v>4</v>
      </c>
      <c r="M172" s="742"/>
      <c r="N172" s="540" t="str">
        <f t="shared" si="6"/>
        <v>INCLUDED</v>
      </c>
      <c r="O172" s="623">
        <f t="shared" si="22"/>
        <v>0</v>
      </c>
      <c r="P172" s="623">
        <f t="shared" si="23"/>
        <v>0</v>
      </c>
      <c r="Q172" s="623">
        <f>Discount!$H$36</f>
        <v>0</v>
      </c>
      <c r="R172" s="628">
        <f t="shared" si="24"/>
        <v>0</v>
      </c>
      <c r="S172" s="628">
        <f t="shared" si="25"/>
        <v>0</v>
      </c>
      <c r="T172" s="739">
        <f t="shared" si="21"/>
        <v>0</v>
      </c>
    </row>
    <row r="173" spans="1:20">
      <c r="A173" s="454">
        <v>156</v>
      </c>
      <c r="B173" s="538">
        <v>7000016865</v>
      </c>
      <c r="C173" s="538">
        <v>1790</v>
      </c>
      <c r="D173" s="538" t="s">
        <v>540</v>
      </c>
      <c r="E173" s="538">
        <v>1000048808</v>
      </c>
      <c r="F173" s="538">
        <v>73082011</v>
      </c>
      <c r="G173" s="529"/>
      <c r="H173" s="538">
        <v>18</v>
      </c>
      <c r="I173" s="527"/>
      <c r="J173" s="530" t="s">
        <v>581</v>
      </c>
      <c r="K173" s="538" t="s">
        <v>476</v>
      </c>
      <c r="L173" s="538">
        <v>2</v>
      </c>
      <c r="M173" s="742"/>
      <c r="N173" s="540" t="str">
        <f t="shared" si="6"/>
        <v>INCLUDED</v>
      </c>
      <c r="O173" s="623">
        <f t="shared" si="22"/>
        <v>0</v>
      </c>
      <c r="P173" s="623">
        <f t="shared" si="23"/>
        <v>0</v>
      </c>
      <c r="Q173" s="623">
        <f>Discount!$H$36</f>
        <v>0</v>
      </c>
      <c r="R173" s="628">
        <f t="shared" si="24"/>
        <v>0</v>
      </c>
      <c r="S173" s="628">
        <f t="shared" si="25"/>
        <v>0</v>
      </c>
      <c r="T173" s="739">
        <f t="shared" si="21"/>
        <v>0</v>
      </c>
    </row>
    <row r="174" spans="1:20">
      <c r="A174" s="528">
        <v>157</v>
      </c>
      <c r="B174" s="538">
        <v>7000016865</v>
      </c>
      <c r="C174" s="538">
        <v>1800</v>
      </c>
      <c r="D174" s="538" t="s">
        <v>540</v>
      </c>
      <c r="E174" s="538">
        <v>1000038340</v>
      </c>
      <c r="F174" s="538">
        <v>73082011</v>
      </c>
      <c r="G174" s="529"/>
      <c r="H174" s="538">
        <v>18</v>
      </c>
      <c r="I174" s="527"/>
      <c r="J174" s="530" t="s">
        <v>478</v>
      </c>
      <c r="K174" s="538" t="s">
        <v>476</v>
      </c>
      <c r="L174" s="538">
        <v>118</v>
      </c>
      <c r="M174" s="742"/>
      <c r="N174" s="540" t="str">
        <f t="shared" si="6"/>
        <v>INCLUDED</v>
      </c>
      <c r="O174" s="623">
        <f t="shared" si="22"/>
        <v>0</v>
      </c>
      <c r="P174" s="623">
        <f t="shared" si="23"/>
        <v>0</v>
      </c>
      <c r="Q174" s="623">
        <f>Discount!$H$36</f>
        <v>0</v>
      </c>
      <c r="R174" s="628">
        <f t="shared" si="24"/>
        <v>0</v>
      </c>
      <c r="S174" s="628">
        <f t="shared" si="25"/>
        <v>0</v>
      </c>
      <c r="T174" s="739">
        <f t="shared" si="21"/>
        <v>0</v>
      </c>
    </row>
    <row r="175" spans="1:20" ht="31.2">
      <c r="A175" s="454">
        <v>158</v>
      </c>
      <c r="B175" s="538">
        <v>7000016865</v>
      </c>
      <c r="C175" s="538">
        <v>1810</v>
      </c>
      <c r="D175" s="538" t="s">
        <v>540</v>
      </c>
      <c r="E175" s="538">
        <v>1000019718</v>
      </c>
      <c r="F175" s="538">
        <v>73082011</v>
      </c>
      <c r="G175" s="529"/>
      <c r="H175" s="538">
        <v>18</v>
      </c>
      <c r="I175" s="527"/>
      <c r="J175" s="530" t="s">
        <v>479</v>
      </c>
      <c r="K175" s="538" t="s">
        <v>476</v>
      </c>
      <c r="L175" s="538">
        <v>6</v>
      </c>
      <c r="M175" s="742"/>
      <c r="N175" s="540" t="str">
        <f t="shared" si="6"/>
        <v>INCLUDED</v>
      </c>
      <c r="O175" s="623">
        <f t="shared" si="22"/>
        <v>0</v>
      </c>
      <c r="P175" s="623">
        <f t="shared" si="23"/>
        <v>0</v>
      </c>
      <c r="Q175" s="623">
        <f>Discount!$H$36</f>
        <v>0</v>
      </c>
      <c r="R175" s="628">
        <f t="shared" si="24"/>
        <v>0</v>
      </c>
      <c r="S175" s="628">
        <f t="shared" si="25"/>
        <v>0</v>
      </c>
      <c r="T175" s="739">
        <f t="shared" si="21"/>
        <v>0</v>
      </c>
    </row>
    <row r="176" spans="1:20" ht="31.2">
      <c r="A176" s="528">
        <v>159</v>
      </c>
      <c r="B176" s="538">
        <v>7000016865</v>
      </c>
      <c r="C176" s="538">
        <v>1820</v>
      </c>
      <c r="D176" s="538" t="s">
        <v>540</v>
      </c>
      <c r="E176" s="538">
        <v>1000057380</v>
      </c>
      <c r="F176" s="538">
        <v>73082011</v>
      </c>
      <c r="G176" s="529"/>
      <c r="H176" s="538">
        <v>18</v>
      </c>
      <c r="I176" s="527"/>
      <c r="J176" s="530" t="s">
        <v>582</v>
      </c>
      <c r="K176" s="538" t="s">
        <v>476</v>
      </c>
      <c r="L176" s="538">
        <v>1</v>
      </c>
      <c r="M176" s="742"/>
      <c r="N176" s="540" t="str">
        <f t="shared" si="6"/>
        <v>INCLUDED</v>
      </c>
      <c r="O176" s="623">
        <f t="shared" si="22"/>
        <v>0</v>
      </c>
      <c r="P176" s="623">
        <f t="shared" si="23"/>
        <v>0</v>
      </c>
      <c r="Q176" s="623">
        <f>Discount!$H$36</f>
        <v>0</v>
      </c>
      <c r="R176" s="628">
        <f t="shared" si="24"/>
        <v>0</v>
      </c>
      <c r="S176" s="628">
        <f t="shared" si="25"/>
        <v>0</v>
      </c>
      <c r="T176" s="739">
        <f t="shared" si="21"/>
        <v>0</v>
      </c>
    </row>
    <row r="177" spans="1:20" ht="31.2">
      <c r="A177" s="454">
        <v>160</v>
      </c>
      <c r="B177" s="538">
        <v>7000016865</v>
      </c>
      <c r="C177" s="538">
        <v>2160</v>
      </c>
      <c r="D177" s="538" t="s">
        <v>545</v>
      </c>
      <c r="E177" s="538">
        <v>1000015505</v>
      </c>
      <c r="F177" s="538">
        <v>73082011</v>
      </c>
      <c r="G177" s="529"/>
      <c r="H177" s="538">
        <v>18</v>
      </c>
      <c r="I177" s="527"/>
      <c r="J177" s="530" t="s">
        <v>631</v>
      </c>
      <c r="K177" s="538" t="s">
        <v>476</v>
      </c>
      <c r="L177" s="538">
        <v>22</v>
      </c>
      <c r="M177" s="742"/>
      <c r="N177" s="540" t="str">
        <f t="shared" si="6"/>
        <v>INCLUDED</v>
      </c>
      <c r="O177" s="623">
        <f t="shared" si="22"/>
        <v>0</v>
      </c>
      <c r="P177" s="623">
        <f t="shared" si="23"/>
        <v>0</v>
      </c>
      <c r="Q177" s="623">
        <f>Discount!$H$36</f>
        <v>0</v>
      </c>
      <c r="R177" s="628">
        <f t="shared" si="24"/>
        <v>0</v>
      </c>
      <c r="S177" s="628">
        <f t="shared" si="25"/>
        <v>0</v>
      </c>
      <c r="T177" s="739">
        <f t="shared" si="21"/>
        <v>0</v>
      </c>
    </row>
    <row r="178" spans="1:20" ht="31.2">
      <c r="A178" s="528">
        <v>161</v>
      </c>
      <c r="B178" s="538">
        <v>7000016865</v>
      </c>
      <c r="C178" s="538">
        <v>2170</v>
      </c>
      <c r="D178" s="538" t="s">
        <v>545</v>
      </c>
      <c r="E178" s="538">
        <v>1000034136</v>
      </c>
      <c r="F178" s="538">
        <v>76169990</v>
      </c>
      <c r="G178" s="529"/>
      <c r="H178" s="538">
        <v>18</v>
      </c>
      <c r="I178" s="527"/>
      <c r="J178" s="530" t="s">
        <v>632</v>
      </c>
      <c r="K178" s="538" t="s">
        <v>476</v>
      </c>
      <c r="L178" s="538">
        <v>199</v>
      </c>
      <c r="M178" s="742"/>
      <c r="N178" s="540" t="str">
        <f t="shared" si="6"/>
        <v>INCLUDED</v>
      </c>
      <c r="O178" s="623">
        <f t="shared" si="22"/>
        <v>0</v>
      </c>
      <c r="P178" s="623">
        <f t="shared" si="23"/>
        <v>0</v>
      </c>
      <c r="Q178" s="623">
        <f>Discount!$H$36</f>
        <v>0</v>
      </c>
      <c r="R178" s="628">
        <f t="shared" si="24"/>
        <v>0</v>
      </c>
      <c r="S178" s="628">
        <f t="shared" si="25"/>
        <v>0</v>
      </c>
      <c r="T178" s="739">
        <f t="shared" si="21"/>
        <v>0</v>
      </c>
    </row>
    <row r="179" spans="1:20" ht="31.2">
      <c r="A179" s="454">
        <v>162</v>
      </c>
      <c r="B179" s="538">
        <v>7000016865</v>
      </c>
      <c r="C179" s="538">
        <v>2180</v>
      </c>
      <c r="D179" s="538" t="s">
        <v>545</v>
      </c>
      <c r="E179" s="538">
        <v>1000022420</v>
      </c>
      <c r="F179" s="538">
        <v>73082011</v>
      </c>
      <c r="G179" s="529"/>
      <c r="H179" s="538">
        <v>18</v>
      </c>
      <c r="I179" s="527"/>
      <c r="J179" s="530" t="s">
        <v>633</v>
      </c>
      <c r="K179" s="538" t="s">
        <v>476</v>
      </c>
      <c r="L179" s="538">
        <v>398</v>
      </c>
      <c r="M179" s="742"/>
      <c r="N179" s="540" t="str">
        <f t="shared" ref="N179:N194" si="26">IF(M179=0, "INCLUDED", IF(ISERROR(M179*L179), M179, M179*L179))</f>
        <v>INCLUDED</v>
      </c>
      <c r="O179" s="623">
        <f t="shared" ref="O179:O194" si="27">IF(N179="Included",0,N179)</f>
        <v>0</v>
      </c>
      <c r="P179" s="623">
        <f t="shared" ref="P179:P194" si="28">IF( I179="",H179*(IF(N179="Included",0,N179))/100,I179*(IF(N179="Included",0,N179)))</f>
        <v>0</v>
      </c>
      <c r="Q179" s="623">
        <f>Discount!$H$36</f>
        <v>0</v>
      </c>
      <c r="R179" s="628">
        <f t="shared" ref="R179:R194" si="29">Q179*O179</f>
        <v>0</v>
      </c>
      <c r="S179" s="628">
        <f t="shared" ref="S179:S194" si="30">IF(I179="",H179*R179/100,I179*R179)</f>
        <v>0</v>
      </c>
      <c r="T179" s="739">
        <f t="shared" ref="T179:T194" si="31">M179*L179</f>
        <v>0</v>
      </c>
    </row>
    <row r="180" spans="1:20" ht="31.2">
      <c r="A180" s="528">
        <v>163</v>
      </c>
      <c r="B180" s="538">
        <v>7000016865</v>
      </c>
      <c r="C180" s="538">
        <v>2190</v>
      </c>
      <c r="D180" s="538" t="s">
        <v>545</v>
      </c>
      <c r="E180" s="538">
        <v>1000020447</v>
      </c>
      <c r="F180" s="538">
        <v>73082011</v>
      </c>
      <c r="G180" s="529"/>
      <c r="H180" s="538">
        <v>18</v>
      </c>
      <c r="I180" s="527"/>
      <c r="J180" s="530" t="s">
        <v>634</v>
      </c>
      <c r="K180" s="538" t="s">
        <v>476</v>
      </c>
      <c r="L180" s="538">
        <v>51</v>
      </c>
      <c r="M180" s="742"/>
      <c r="N180" s="540" t="str">
        <f t="shared" si="26"/>
        <v>INCLUDED</v>
      </c>
      <c r="O180" s="623">
        <f t="shared" si="27"/>
        <v>0</v>
      </c>
      <c r="P180" s="623">
        <f t="shared" si="28"/>
        <v>0</v>
      </c>
      <c r="Q180" s="623">
        <f>Discount!$H$36</f>
        <v>0</v>
      </c>
      <c r="R180" s="628">
        <f t="shared" si="29"/>
        <v>0</v>
      </c>
      <c r="S180" s="628">
        <f t="shared" si="30"/>
        <v>0</v>
      </c>
      <c r="T180" s="739">
        <f t="shared" si="31"/>
        <v>0</v>
      </c>
    </row>
    <row r="181" spans="1:20" ht="31.2">
      <c r="A181" s="454">
        <v>164</v>
      </c>
      <c r="B181" s="538">
        <v>7000016865</v>
      </c>
      <c r="C181" s="538">
        <v>2200</v>
      </c>
      <c r="D181" s="538" t="s">
        <v>545</v>
      </c>
      <c r="E181" s="538">
        <v>1000020991</v>
      </c>
      <c r="F181" s="538">
        <v>73082011</v>
      </c>
      <c r="G181" s="529"/>
      <c r="H181" s="538">
        <v>18</v>
      </c>
      <c r="I181" s="527"/>
      <c r="J181" s="530" t="s">
        <v>635</v>
      </c>
      <c r="K181" s="538" t="s">
        <v>476</v>
      </c>
      <c r="L181" s="538">
        <v>148</v>
      </c>
      <c r="M181" s="742"/>
      <c r="N181" s="540" t="str">
        <f t="shared" si="26"/>
        <v>INCLUDED</v>
      </c>
      <c r="O181" s="623">
        <f t="shared" si="27"/>
        <v>0</v>
      </c>
      <c r="P181" s="623">
        <f t="shared" si="28"/>
        <v>0</v>
      </c>
      <c r="Q181" s="623">
        <f>Discount!$H$36</f>
        <v>0</v>
      </c>
      <c r="R181" s="628">
        <f t="shared" si="29"/>
        <v>0</v>
      </c>
      <c r="S181" s="628">
        <f t="shared" si="30"/>
        <v>0</v>
      </c>
      <c r="T181" s="739">
        <f t="shared" si="31"/>
        <v>0</v>
      </c>
    </row>
    <row r="182" spans="1:20" ht="31.2">
      <c r="A182" s="528">
        <v>165</v>
      </c>
      <c r="B182" s="538">
        <v>7000016865</v>
      </c>
      <c r="C182" s="538">
        <v>2210</v>
      </c>
      <c r="D182" s="538" t="s">
        <v>545</v>
      </c>
      <c r="E182" s="538">
        <v>1000015505</v>
      </c>
      <c r="F182" s="538">
        <v>73082011</v>
      </c>
      <c r="G182" s="529"/>
      <c r="H182" s="538">
        <v>18</v>
      </c>
      <c r="I182" s="527"/>
      <c r="J182" s="530" t="s">
        <v>631</v>
      </c>
      <c r="K182" s="538" t="s">
        <v>476</v>
      </c>
      <c r="L182" s="538">
        <v>1</v>
      </c>
      <c r="M182" s="742"/>
      <c r="N182" s="540" t="str">
        <f t="shared" si="26"/>
        <v>INCLUDED</v>
      </c>
      <c r="O182" s="623">
        <f t="shared" si="27"/>
        <v>0</v>
      </c>
      <c r="P182" s="623">
        <f t="shared" si="28"/>
        <v>0</v>
      </c>
      <c r="Q182" s="623">
        <f>Discount!$H$36</f>
        <v>0</v>
      </c>
      <c r="R182" s="628">
        <f t="shared" si="29"/>
        <v>0</v>
      </c>
      <c r="S182" s="628">
        <f t="shared" si="30"/>
        <v>0</v>
      </c>
      <c r="T182" s="739">
        <f t="shared" si="31"/>
        <v>0</v>
      </c>
    </row>
    <row r="183" spans="1:20" ht="31.2">
      <c r="A183" s="454">
        <v>166</v>
      </c>
      <c r="B183" s="538">
        <v>7000016865</v>
      </c>
      <c r="C183" s="538">
        <v>2220</v>
      </c>
      <c r="D183" s="538" t="s">
        <v>545</v>
      </c>
      <c r="E183" s="538">
        <v>1000034136</v>
      </c>
      <c r="F183" s="538">
        <v>76169990</v>
      </c>
      <c r="G183" s="529"/>
      <c r="H183" s="538">
        <v>18</v>
      </c>
      <c r="I183" s="527"/>
      <c r="J183" s="530" t="s">
        <v>632</v>
      </c>
      <c r="K183" s="538" t="s">
        <v>476</v>
      </c>
      <c r="L183" s="538">
        <v>4</v>
      </c>
      <c r="M183" s="742"/>
      <c r="N183" s="540" t="str">
        <f t="shared" si="26"/>
        <v>INCLUDED</v>
      </c>
      <c r="O183" s="623">
        <f t="shared" si="27"/>
        <v>0</v>
      </c>
      <c r="P183" s="623">
        <f t="shared" si="28"/>
        <v>0</v>
      </c>
      <c r="Q183" s="623">
        <f>Discount!$H$36</f>
        <v>0</v>
      </c>
      <c r="R183" s="628">
        <f t="shared" si="29"/>
        <v>0</v>
      </c>
      <c r="S183" s="628">
        <f t="shared" si="30"/>
        <v>0</v>
      </c>
      <c r="T183" s="739">
        <f t="shared" si="31"/>
        <v>0</v>
      </c>
    </row>
    <row r="184" spans="1:20" ht="31.2">
      <c r="A184" s="528">
        <v>167</v>
      </c>
      <c r="B184" s="538">
        <v>7000016865</v>
      </c>
      <c r="C184" s="538">
        <v>2230</v>
      </c>
      <c r="D184" s="538" t="s">
        <v>545</v>
      </c>
      <c r="E184" s="538">
        <v>1000022420</v>
      </c>
      <c r="F184" s="538">
        <v>73082011</v>
      </c>
      <c r="G184" s="529"/>
      <c r="H184" s="538">
        <v>18</v>
      </c>
      <c r="I184" s="527"/>
      <c r="J184" s="530" t="s">
        <v>633</v>
      </c>
      <c r="K184" s="538" t="s">
        <v>476</v>
      </c>
      <c r="L184" s="538">
        <v>8</v>
      </c>
      <c r="M184" s="742"/>
      <c r="N184" s="540" t="str">
        <f t="shared" si="26"/>
        <v>INCLUDED</v>
      </c>
      <c r="O184" s="623">
        <f t="shared" si="27"/>
        <v>0</v>
      </c>
      <c r="P184" s="623">
        <f t="shared" si="28"/>
        <v>0</v>
      </c>
      <c r="Q184" s="623">
        <f>Discount!$H$36</f>
        <v>0</v>
      </c>
      <c r="R184" s="628">
        <f t="shared" si="29"/>
        <v>0</v>
      </c>
      <c r="S184" s="628">
        <f t="shared" si="30"/>
        <v>0</v>
      </c>
      <c r="T184" s="739">
        <f t="shared" si="31"/>
        <v>0</v>
      </c>
    </row>
    <row r="185" spans="1:20" ht="31.2">
      <c r="A185" s="454">
        <v>168</v>
      </c>
      <c r="B185" s="538">
        <v>7000016865</v>
      </c>
      <c r="C185" s="538">
        <v>2240</v>
      </c>
      <c r="D185" s="538" t="s">
        <v>545</v>
      </c>
      <c r="E185" s="538">
        <v>1000020447</v>
      </c>
      <c r="F185" s="538">
        <v>73082011</v>
      </c>
      <c r="G185" s="529"/>
      <c r="H185" s="538">
        <v>18</v>
      </c>
      <c r="I185" s="527"/>
      <c r="J185" s="530" t="s">
        <v>634</v>
      </c>
      <c r="K185" s="538" t="s">
        <v>476</v>
      </c>
      <c r="L185" s="538">
        <v>2</v>
      </c>
      <c r="M185" s="742"/>
      <c r="N185" s="540" t="str">
        <f t="shared" si="26"/>
        <v>INCLUDED</v>
      </c>
      <c r="O185" s="623">
        <f t="shared" si="27"/>
        <v>0</v>
      </c>
      <c r="P185" s="623">
        <f t="shared" si="28"/>
        <v>0</v>
      </c>
      <c r="Q185" s="623">
        <f>Discount!$H$36</f>
        <v>0</v>
      </c>
      <c r="R185" s="628">
        <f t="shared" si="29"/>
        <v>0</v>
      </c>
      <c r="S185" s="628">
        <f t="shared" si="30"/>
        <v>0</v>
      </c>
      <c r="T185" s="739">
        <f t="shared" si="31"/>
        <v>0</v>
      </c>
    </row>
    <row r="186" spans="1:20" ht="31.2">
      <c r="A186" s="528">
        <v>169</v>
      </c>
      <c r="B186" s="538">
        <v>7000016865</v>
      </c>
      <c r="C186" s="538">
        <v>2250</v>
      </c>
      <c r="D186" s="538" t="s">
        <v>545</v>
      </c>
      <c r="E186" s="538">
        <v>1000020991</v>
      </c>
      <c r="F186" s="538">
        <v>73082011</v>
      </c>
      <c r="G186" s="529"/>
      <c r="H186" s="538">
        <v>18</v>
      </c>
      <c r="I186" s="527"/>
      <c r="J186" s="530" t="s">
        <v>635</v>
      </c>
      <c r="K186" s="538" t="s">
        <v>476</v>
      </c>
      <c r="L186" s="538">
        <v>3</v>
      </c>
      <c r="M186" s="742"/>
      <c r="N186" s="540" t="str">
        <f t="shared" si="26"/>
        <v>INCLUDED</v>
      </c>
      <c r="O186" s="623">
        <f t="shared" si="27"/>
        <v>0</v>
      </c>
      <c r="P186" s="623">
        <f t="shared" si="28"/>
        <v>0</v>
      </c>
      <c r="Q186" s="623">
        <f>Discount!$H$36</f>
        <v>0</v>
      </c>
      <c r="R186" s="628">
        <f t="shared" si="29"/>
        <v>0</v>
      </c>
      <c r="S186" s="628">
        <f t="shared" si="30"/>
        <v>0</v>
      </c>
      <c r="T186" s="739">
        <f t="shared" si="31"/>
        <v>0</v>
      </c>
    </row>
    <row r="187" spans="1:20">
      <c r="A187" s="454">
        <v>170</v>
      </c>
      <c r="B187" s="538">
        <v>7000016865</v>
      </c>
      <c r="C187" s="538">
        <v>1830</v>
      </c>
      <c r="D187" s="538" t="s">
        <v>541</v>
      </c>
      <c r="E187" s="538">
        <v>1000010539</v>
      </c>
      <c r="F187" s="538">
        <v>73082011</v>
      </c>
      <c r="G187" s="529"/>
      <c r="H187" s="538">
        <v>18</v>
      </c>
      <c r="I187" s="527"/>
      <c r="J187" s="530" t="s">
        <v>584</v>
      </c>
      <c r="K187" s="538" t="s">
        <v>476</v>
      </c>
      <c r="L187" s="538">
        <v>124</v>
      </c>
      <c r="M187" s="742"/>
      <c r="N187" s="540" t="str">
        <f t="shared" si="26"/>
        <v>INCLUDED</v>
      </c>
      <c r="O187" s="623">
        <f t="shared" si="27"/>
        <v>0</v>
      </c>
      <c r="P187" s="623">
        <f t="shared" si="28"/>
        <v>0</v>
      </c>
      <c r="Q187" s="623">
        <f>Discount!$H$36</f>
        <v>0</v>
      </c>
      <c r="R187" s="628">
        <f t="shared" si="29"/>
        <v>0</v>
      </c>
      <c r="S187" s="628">
        <f t="shared" si="30"/>
        <v>0</v>
      </c>
      <c r="T187" s="739">
        <f t="shared" si="31"/>
        <v>0</v>
      </c>
    </row>
    <row r="188" spans="1:20">
      <c r="A188" s="528">
        <v>171</v>
      </c>
      <c r="B188" s="538">
        <v>7000016865</v>
      </c>
      <c r="C188" s="538">
        <v>1840</v>
      </c>
      <c r="D188" s="538" t="s">
        <v>541</v>
      </c>
      <c r="E188" s="538">
        <v>1000015971</v>
      </c>
      <c r="F188" s="538">
        <v>73082011</v>
      </c>
      <c r="G188" s="529"/>
      <c r="H188" s="538">
        <v>18</v>
      </c>
      <c r="I188" s="527"/>
      <c r="J188" s="530" t="s">
        <v>585</v>
      </c>
      <c r="K188" s="538" t="s">
        <v>476</v>
      </c>
      <c r="L188" s="538">
        <v>124</v>
      </c>
      <c r="M188" s="742"/>
      <c r="N188" s="540" t="str">
        <f t="shared" si="26"/>
        <v>INCLUDED</v>
      </c>
      <c r="O188" s="623">
        <f t="shared" si="27"/>
        <v>0</v>
      </c>
      <c r="P188" s="623">
        <f t="shared" si="28"/>
        <v>0</v>
      </c>
      <c r="Q188" s="623">
        <f>Discount!$H$36</f>
        <v>0</v>
      </c>
      <c r="R188" s="628">
        <f t="shared" si="29"/>
        <v>0</v>
      </c>
      <c r="S188" s="628">
        <f t="shared" si="30"/>
        <v>0</v>
      </c>
      <c r="T188" s="739">
        <f t="shared" si="31"/>
        <v>0</v>
      </c>
    </row>
    <row r="189" spans="1:20">
      <c r="A189" s="454">
        <v>172</v>
      </c>
      <c r="B189" s="538">
        <v>7000016865</v>
      </c>
      <c r="C189" s="538">
        <v>1850</v>
      </c>
      <c r="D189" s="538" t="s">
        <v>541</v>
      </c>
      <c r="E189" s="538">
        <v>1000017508</v>
      </c>
      <c r="F189" s="538">
        <v>73082011</v>
      </c>
      <c r="G189" s="529"/>
      <c r="H189" s="538">
        <v>18</v>
      </c>
      <c r="I189" s="527"/>
      <c r="J189" s="530" t="s">
        <v>480</v>
      </c>
      <c r="K189" s="538" t="s">
        <v>481</v>
      </c>
      <c r="L189" s="538">
        <v>248</v>
      </c>
      <c r="M189" s="742"/>
      <c r="N189" s="540" t="str">
        <f t="shared" si="26"/>
        <v>INCLUDED</v>
      </c>
      <c r="O189" s="623">
        <f t="shared" si="27"/>
        <v>0</v>
      </c>
      <c r="P189" s="623">
        <f t="shared" si="28"/>
        <v>0</v>
      </c>
      <c r="Q189" s="623">
        <f>Discount!$H$36</f>
        <v>0</v>
      </c>
      <c r="R189" s="628">
        <f t="shared" si="29"/>
        <v>0</v>
      </c>
      <c r="S189" s="628">
        <f t="shared" si="30"/>
        <v>0</v>
      </c>
      <c r="T189" s="739">
        <f t="shared" si="31"/>
        <v>0</v>
      </c>
    </row>
    <row r="190" spans="1:20">
      <c r="A190" s="528">
        <v>173</v>
      </c>
      <c r="B190" s="538">
        <v>7000016865</v>
      </c>
      <c r="C190" s="538">
        <v>1860</v>
      </c>
      <c r="D190" s="538" t="s">
        <v>541</v>
      </c>
      <c r="E190" s="538">
        <v>1000009119</v>
      </c>
      <c r="F190" s="538">
        <v>73082011</v>
      </c>
      <c r="G190" s="529"/>
      <c r="H190" s="538">
        <v>18</v>
      </c>
      <c r="I190" s="527"/>
      <c r="J190" s="530" t="s">
        <v>482</v>
      </c>
      <c r="K190" s="538" t="s">
        <v>481</v>
      </c>
      <c r="L190" s="538">
        <v>124</v>
      </c>
      <c r="M190" s="742"/>
      <c r="N190" s="540" t="str">
        <f t="shared" si="26"/>
        <v>INCLUDED</v>
      </c>
      <c r="O190" s="623">
        <f t="shared" si="27"/>
        <v>0</v>
      </c>
      <c r="P190" s="623">
        <f t="shared" si="28"/>
        <v>0</v>
      </c>
      <c r="Q190" s="623">
        <f>Discount!$H$36</f>
        <v>0</v>
      </c>
      <c r="R190" s="628">
        <f t="shared" si="29"/>
        <v>0</v>
      </c>
      <c r="S190" s="628">
        <f t="shared" si="30"/>
        <v>0</v>
      </c>
      <c r="T190" s="739">
        <f t="shared" si="31"/>
        <v>0</v>
      </c>
    </row>
    <row r="191" spans="1:20">
      <c r="A191" s="454">
        <v>174</v>
      </c>
      <c r="B191" s="538">
        <v>7000016865</v>
      </c>
      <c r="C191" s="538">
        <v>1870</v>
      </c>
      <c r="D191" s="538" t="s">
        <v>541</v>
      </c>
      <c r="E191" s="538">
        <v>1000006779</v>
      </c>
      <c r="F191" s="538">
        <v>73082011</v>
      </c>
      <c r="G191" s="529"/>
      <c r="H191" s="538">
        <v>18</v>
      </c>
      <c r="I191" s="527"/>
      <c r="J191" s="530" t="s">
        <v>483</v>
      </c>
      <c r="K191" s="538" t="s">
        <v>481</v>
      </c>
      <c r="L191" s="538">
        <v>124</v>
      </c>
      <c r="M191" s="742"/>
      <c r="N191" s="540" t="str">
        <f t="shared" si="26"/>
        <v>INCLUDED</v>
      </c>
      <c r="O191" s="623">
        <f t="shared" si="27"/>
        <v>0</v>
      </c>
      <c r="P191" s="623">
        <f t="shared" si="28"/>
        <v>0</v>
      </c>
      <c r="Q191" s="623">
        <f>Discount!$H$36</f>
        <v>0</v>
      </c>
      <c r="R191" s="628">
        <f t="shared" si="29"/>
        <v>0</v>
      </c>
      <c r="S191" s="628">
        <f t="shared" si="30"/>
        <v>0</v>
      </c>
      <c r="T191" s="739">
        <f t="shared" si="31"/>
        <v>0</v>
      </c>
    </row>
    <row r="192" spans="1:20">
      <c r="A192" s="528">
        <v>175</v>
      </c>
      <c r="B192" s="538">
        <v>7000016865</v>
      </c>
      <c r="C192" s="538">
        <v>1880</v>
      </c>
      <c r="D192" s="538" t="s">
        <v>541</v>
      </c>
      <c r="E192" s="538">
        <v>1000007735</v>
      </c>
      <c r="F192" s="538">
        <v>73082011</v>
      </c>
      <c r="G192" s="529"/>
      <c r="H192" s="538">
        <v>18</v>
      </c>
      <c r="I192" s="527"/>
      <c r="J192" s="530" t="s">
        <v>586</v>
      </c>
      <c r="K192" s="538" t="s">
        <v>481</v>
      </c>
      <c r="L192" s="538">
        <v>102</v>
      </c>
      <c r="M192" s="742"/>
      <c r="N192" s="540" t="str">
        <f t="shared" si="26"/>
        <v>INCLUDED</v>
      </c>
      <c r="O192" s="623">
        <f t="shared" si="27"/>
        <v>0</v>
      </c>
      <c r="P192" s="623">
        <f t="shared" si="28"/>
        <v>0</v>
      </c>
      <c r="Q192" s="623">
        <f>Discount!$H$36</f>
        <v>0</v>
      </c>
      <c r="R192" s="628">
        <f t="shared" si="29"/>
        <v>0</v>
      </c>
      <c r="S192" s="628">
        <f t="shared" si="30"/>
        <v>0</v>
      </c>
      <c r="T192" s="739">
        <f t="shared" si="31"/>
        <v>0</v>
      </c>
    </row>
    <row r="193" spans="1:20">
      <c r="A193" s="454">
        <v>176</v>
      </c>
      <c r="B193" s="538">
        <v>7000016865</v>
      </c>
      <c r="C193" s="538">
        <v>2270</v>
      </c>
      <c r="D193" s="538" t="s">
        <v>542</v>
      </c>
      <c r="E193" s="538">
        <v>1000019903</v>
      </c>
      <c r="F193" s="538">
        <v>73082011</v>
      </c>
      <c r="G193" s="529"/>
      <c r="H193" s="538">
        <v>18</v>
      </c>
      <c r="I193" s="527"/>
      <c r="J193" s="530" t="s">
        <v>522</v>
      </c>
      <c r="K193" s="538" t="s">
        <v>476</v>
      </c>
      <c r="L193" s="538">
        <v>30</v>
      </c>
      <c r="M193" s="742"/>
      <c r="N193" s="540" t="str">
        <f t="shared" si="26"/>
        <v>INCLUDED</v>
      </c>
      <c r="O193" s="623">
        <f t="shared" si="27"/>
        <v>0</v>
      </c>
      <c r="P193" s="623">
        <f t="shared" si="28"/>
        <v>0</v>
      </c>
      <c r="Q193" s="623">
        <f>Discount!$H$36</f>
        <v>0</v>
      </c>
      <c r="R193" s="628">
        <f t="shared" si="29"/>
        <v>0</v>
      </c>
      <c r="S193" s="628">
        <f t="shared" si="30"/>
        <v>0</v>
      </c>
      <c r="T193" s="739">
        <f t="shared" si="31"/>
        <v>0</v>
      </c>
    </row>
    <row r="194" spans="1:20">
      <c r="A194" s="528">
        <v>177</v>
      </c>
      <c r="B194" s="538">
        <v>7000016865</v>
      </c>
      <c r="C194" s="538">
        <v>2280</v>
      </c>
      <c r="D194" s="538" t="s">
        <v>542</v>
      </c>
      <c r="E194" s="538">
        <v>1000016663</v>
      </c>
      <c r="F194" s="538">
        <v>85391000</v>
      </c>
      <c r="G194" s="529"/>
      <c r="H194" s="538">
        <v>18</v>
      </c>
      <c r="I194" s="527"/>
      <c r="J194" s="530" t="s">
        <v>523</v>
      </c>
      <c r="K194" s="538" t="s">
        <v>481</v>
      </c>
      <c r="L194" s="538">
        <v>14</v>
      </c>
      <c r="M194" s="742"/>
      <c r="N194" s="540" t="str">
        <f t="shared" si="26"/>
        <v>INCLUDED</v>
      </c>
      <c r="O194" s="623">
        <f t="shared" si="27"/>
        <v>0</v>
      </c>
      <c r="P194" s="623">
        <f t="shared" si="28"/>
        <v>0</v>
      </c>
      <c r="Q194" s="623">
        <f>Discount!$H$36</f>
        <v>0</v>
      </c>
      <c r="R194" s="628">
        <f t="shared" si="29"/>
        <v>0</v>
      </c>
      <c r="S194" s="628">
        <f t="shared" si="30"/>
        <v>0</v>
      </c>
      <c r="T194" s="739">
        <f t="shared" si="31"/>
        <v>0</v>
      </c>
    </row>
    <row r="195" spans="1:20">
      <c r="A195" s="454">
        <v>178</v>
      </c>
      <c r="B195" s="538">
        <v>7000016865</v>
      </c>
      <c r="C195" s="538">
        <v>2300</v>
      </c>
      <c r="D195" s="538" t="s">
        <v>543</v>
      </c>
      <c r="E195" s="538">
        <v>1000030940</v>
      </c>
      <c r="F195" s="538">
        <v>85447090</v>
      </c>
      <c r="G195" s="529"/>
      <c r="H195" s="538">
        <v>18</v>
      </c>
      <c r="I195" s="527"/>
      <c r="J195" s="530" t="s">
        <v>485</v>
      </c>
      <c r="K195" s="538" t="s">
        <v>484</v>
      </c>
      <c r="L195" s="538">
        <v>47.4</v>
      </c>
      <c r="M195" s="742"/>
      <c r="N195" s="540" t="str">
        <f t="shared" si="6"/>
        <v>INCLUDED</v>
      </c>
      <c r="O195" s="623">
        <f t="shared" ref="O195:O209" si="32">IF(N195="Included",0,N195)</f>
        <v>0</v>
      </c>
      <c r="P195" s="623">
        <f t="shared" ref="P195:P209" si="33">IF( I195="",H195*(IF(N195="Included",0,N195))/100,I195*(IF(N195="Included",0,N195)))</f>
        <v>0</v>
      </c>
      <c r="Q195" s="623">
        <f>Discount!$H$36</f>
        <v>0</v>
      </c>
      <c r="R195" s="628">
        <f t="shared" ref="R195:R209" si="34">Q195*O195</f>
        <v>0</v>
      </c>
      <c r="S195" s="628">
        <f t="shared" ref="S195:S209" si="35">IF(I195="",H195*R195/100,I195*R195)</f>
        <v>0</v>
      </c>
      <c r="T195" s="739">
        <f t="shared" ref="T195:T209" si="36">M195*L195</f>
        <v>0</v>
      </c>
    </row>
    <row r="196" spans="1:20">
      <c r="A196" s="528">
        <v>179</v>
      </c>
      <c r="B196" s="538">
        <v>7000016865</v>
      </c>
      <c r="C196" s="538">
        <v>2310</v>
      </c>
      <c r="D196" s="538" t="s">
        <v>543</v>
      </c>
      <c r="E196" s="538">
        <v>1000020444</v>
      </c>
      <c r="F196" s="538">
        <v>82057000</v>
      </c>
      <c r="G196" s="529"/>
      <c r="H196" s="538">
        <v>18</v>
      </c>
      <c r="I196" s="527"/>
      <c r="J196" s="530" t="s">
        <v>588</v>
      </c>
      <c r="K196" s="538" t="s">
        <v>476</v>
      </c>
      <c r="L196" s="538">
        <v>162</v>
      </c>
      <c r="M196" s="742"/>
      <c r="N196" s="540" t="str">
        <f t="shared" si="6"/>
        <v>INCLUDED</v>
      </c>
      <c r="O196" s="623">
        <f t="shared" si="32"/>
        <v>0</v>
      </c>
      <c r="P196" s="623">
        <f t="shared" si="33"/>
        <v>0</v>
      </c>
      <c r="Q196" s="623">
        <f>Discount!$H$36</f>
        <v>0</v>
      </c>
      <c r="R196" s="628">
        <f t="shared" si="34"/>
        <v>0</v>
      </c>
      <c r="S196" s="628">
        <f t="shared" si="35"/>
        <v>0</v>
      </c>
      <c r="T196" s="739">
        <f t="shared" si="36"/>
        <v>0</v>
      </c>
    </row>
    <row r="197" spans="1:20">
      <c r="A197" s="454">
        <v>180</v>
      </c>
      <c r="B197" s="538">
        <v>7000016865</v>
      </c>
      <c r="C197" s="538">
        <v>2320</v>
      </c>
      <c r="D197" s="538" t="s">
        <v>543</v>
      </c>
      <c r="E197" s="538">
        <v>1000033144</v>
      </c>
      <c r="F197" s="538">
        <v>82057000</v>
      </c>
      <c r="G197" s="529"/>
      <c r="H197" s="538">
        <v>18</v>
      </c>
      <c r="I197" s="527"/>
      <c r="J197" s="530" t="s">
        <v>486</v>
      </c>
      <c r="K197" s="538" t="s">
        <v>481</v>
      </c>
      <c r="L197" s="538">
        <v>2</v>
      </c>
      <c r="M197" s="742"/>
      <c r="N197" s="540" t="str">
        <f t="shared" si="6"/>
        <v>INCLUDED</v>
      </c>
      <c r="O197" s="623">
        <f t="shared" si="32"/>
        <v>0</v>
      </c>
      <c r="P197" s="623">
        <f t="shared" si="33"/>
        <v>0</v>
      </c>
      <c r="Q197" s="623">
        <f>Discount!$H$36</f>
        <v>0</v>
      </c>
      <c r="R197" s="628">
        <f t="shared" si="34"/>
        <v>0</v>
      </c>
      <c r="S197" s="628">
        <f t="shared" si="35"/>
        <v>0</v>
      </c>
      <c r="T197" s="739">
        <f t="shared" si="36"/>
        <v>0</v>
      </c>
    </row>
    <row r="198" spans="1:20" ht="31.2">
      <c r="A198" s="528">
        <v>181</v>
      </c>
      <c r="B198" s="538">
        <v>7000016865</v>
      </c>
      <c r="C198" s="538">
        <v>2330</v>
      </c>
      <c r="D198" s="538" t="s">
        <v>543</v>
      </c>
      <c r="E198" s="538">
        <v>1000031039</v>
      </c>
      <c r="F198" s="538">
        <v>82057000</v>
      </c>
      <c r="G198" s="529"/>
      <c r="H198" s="538">
        <v>18</v>
      </c>
      <c r="I198" s="527"/>
      <c r="J198" s="530" t="s">
        <v>488</v>
      </c>
      <c r="K198" s="538" t="s">
        <v>481</v>
      </c>
      <c r="L198" s="538">
        <v>9</v>
      </c>
      <c r="M198" s="742"/>
      <c r="N198" s="540" t="str">
        <f t="shared" si="6"/>
        <v>INCLUDED</v>
      </c>
      <c r="O198" s="623">
        <f t="shared" si="32"/>
        <v>0</v>
      </c>
      <c r="P198" s="623">
        <f t="shared" si="33"/>
        <v>0</v>
      </c>
      <c r="Q198" s="623">
        <f>Discount!$H$36</f>
        <v>0</v>
      </c>
      <c r="R198" s="628">
        <f t="shared" si="34"/>
        <v>0</v>
      </c>
      <c r="S198" s="628">
        <f t="shared" si="35"/>
        <v>0</v>
      </c>
      <c r="T198" s="739">
        <f t="shared" si="36"/>
        <v>0</v>
      </c>
    </row>
    <row r="199" spans="1:20">
      <c r="A199" s="454">
        <v>182</v>
      </c>
      <c r="B199" s="538">
        <v>7000016865</v>
      </c>
      <c r="C199" s="538">
        <v>2340</v>
      </c>
      <c r="D199" s="538" t="s">
        <v>543</v>
      </c>
      <c r="E199" s="538">
        <v>1000033146</v>
      </c>
      <c r="F199" s="538">
        <v>82057000</v>
      </c>
      <c r="G199" s="529"/>
      <c r="H199" s="538">
        <v>18</v>
      </c>
      <c r="I199" s="527"/>
      <c r="J199" s="530" t="s">
        <v>489</v>
      </c>
      <c r="K199" s="538" t="s">
        <v>481</v>
      </c>
      <c r="L199" s="538">
        <v>69</v>
      </c>
      <c r="M199" s="742"/>
      <c r="N199" s="540" t="str">
        <f t="shared" si="6"/>
        <v>INCLUDED</v>
      </c>
      <c r="O199" s="623">
        <f t="shared" si="32"/>
        <v>0</v>
      </c>
      <c r="P199" s="623">
        <f t="shared" si="33"/>
        <v>0</v>
      </c>
      <c r="Q199" s="623">
        <f>Discount!$H$36</f>
        <v>0</v>
      </c>
      <c r="R199" s="628">
        <f t="shared" si="34"/>
        <v>0</v>
      </c>
      <c r="S199" s="628">
        <f t="shared" si="35"/>
        <v>0</v>
      </c>
      <c r="T199" s="739">
        <f t="shared" si="36"/>
        <v>0</v>
      </c>
    </row>
    <row r="200" spans="1:20" ht="31.2">
      <c r="A200" s="528">
        <v>183</v>
      </c>
      <c r="B200" s="538">
        <v>7000016865</v>
      </c>
      <c r="C200" s="538">
        <v>2350</v>
      </c>
      <c r="D200" s="538" t="s">
        <v>543</v>
      </c>
      <c r="E200" s="538">
        <v>1000031041</v>
      </c>
      <c r="F200" s="538">
        <v>82057000</v>
      </c>
      <c r="G200" s="529"/>
      <c r="H200" s="538">
        <v>18</v>
      </c>
      <c r="I200" s="527"/>
      <c r="J200" s="530" t="s">
        <v>487</v>
      </c>
      <c r="K200" s="538" t="s">
        <v>481</v>
      </c>
      <c r="L200" s="538">
        <v>1</v>
      </c>
      <c r="M200" s="742"/>
      <c r="N200" s="540" t="str">
        <f t="shared" si="6"/>
        <v>INCLUDED</v>
      </c>
      <c r="O200" s="623">
        <f t="shared" si="32"/>
        <v>0</v>
      </c>
      <c r="P200" s="623">
        <f t="shared" si="33"/>
        <v>0</v>
      </c>
      <c r="Q200" s="623">
        <f>Discount!$H$36</f>
        <v>0</v>
      </c>
      <c r="R200" s="628">
        <f t="shared" si="34"/>
        <v>0</v>
      </c>
      <c r="S200" s="628">
        <f t="shared" si="35"/>
        <v>0</v>
      </c>
      <c r="T200" s="739">
        <f t="shared" si="36"/>
        <v>0</v>
      </c>
    </row>
    <row r="201" spans="1:20">
      <c r="A201" s="454">
        <v>184</v>
      </c>
      <c r="B201" s="538">
        <v>7000016865</v>
      </c>
      <c r="C201" s="538">
        <v>2360</v>
      </c>
      <c r="D201" s="538" t="s">
        <v>543</v>
      </c>
      <c r="E201" s="538">
        <v>1000022417</v>
      </c>
      <c r="F201" s="538">
        <v>82057000</v>
      </c>
      <c r="G201" s="529"/>
      <c r="H201" s="538">
        <v>18</v>
      </c>
      <c r="I201" s="527"/>
      <c r="J201" s="530" t="s">
        <v>490</v>
      </c>
      <c r="K201" s="538" t="s">
        <v>476</v>
      </c>
      <c r="L201" s="538">
        <v>644</v>
      </c>
      <c r="M201" s="742"/>
      <c r="N201" s="540" t="str">
        <f t="shared" si="6"/>
        <v>INCLUDED</v>
      </c>
      <c r="O201" s="623">
        <f t="shared" si="32"/>
        <v>0</v>
      </c>
      <c r="P201" s="623">
        <f t="shared" si="33"/>
        <v>0</v>
      </c>
      <c r="Q201" s="623">
        <f>Discount!$H$36</f>
        <v>0</v>
      </c>
      <c r="R201" s="628">
        <f t="shared" si="34"/>
        <v>0</v>
      </c>
      <c r="S201" s="628">
        <f t="shared" si="35"/>
        <v>0</v>
      </c>
      <c r="T201" s="739">
        <f t="shared" si="36"/>
        <v>0</v>
      </c>
    </row>
    <row r="202" spans="1:20">
      <c r="A202" s="528">
        <v>185</v>
      </c>
      <c r="B202" s="538">
        <v>7000016865</v>
      </c>
      <c r="C202" s="538">
        <v>2370</v>
      </c>
      <c r="D202" s="538" t="s">
        <v>543</v>
      </c>
      <c r="E202" s="538">
        <v>1000010817</v>
      </c>
      <c r="F202" s="538">
        <v>82057000</v>
      </c>
      <c r="G202" s="529"/>
      <c r="H202" s="538">
        <v>18</v>
      </c>
      <c r="I202" s="527"/>
      <c r="J202" s="530" t="s">
        <v>491</v>
      </c>
      <c r="K202" s="538" t="s">
        <v>476</v>
      </c>
      <c r="L202" s="538">
        <v>616</v>
      </c>
      <c r="M202" s="742"/>
      <c r="N202" s="540" t="str">
        <f t="shared" ref="N202:N206" si="37">IF(M202=0, "INCLUDED", IF(ISERROR(M202*L202), M202, M202*L202))</f>
        <v>INCLUDED</v>
      </c>
      <c r="O202" s="623">
        <f t="shared" ref="O202:O206" si="38">IF(N202="Included",0,N202)</f>
        <v>0</v>
      </c>
      <c r="P202" s="623">
        <f t="shared" ref="P202:P206" si="39">IF( I202="",H202*(IF(N202="Included",0,N202))/100,I202*(IF(N202="Included",0,N202)))</f>
        <v>0</v>
      </c>
      <c r="Q202" s="623">
        <f>Discount!$H$36</f>
        <v>0</v>
      </c>
      <c r="R202" s="628">
        <f t="shared" ref="R202:R206" si="40">Q202*O202</f>
        <v>0</v>
      </c>
      <c r="S202" s="628">
        <f t="shared" ref="S202:S206" si="41">IF(I202="",H202*R202/100,I202*R202)</f>
        <v>0</v>
      </c>
      <c r="T202" s="739">
        <f t="shared" ref="T202:T206" si="42">M202*L202</f>
        <v>0</v>
      </c>
    </row>
    <row r="203" spans="1:20">
      <c r="A203" s="454">
        <v>186</v>
      </c>
      <c r="B203" s="538">
        <v>7000016865</v>
      </c>
      <c r="C203" s="538">
        <v>2380</v>
      </c>
      <c r="D203" s="538" t="s">
        <v>543</v>
      </c>
      <c r="E203" s="538">
        <v>1000014198</v>
      </c>
      <c r="F203" s="538">
        <v>85353090</v>
      </c>
      <c r="G203" s="529"/>
      <c r="H203" s="538">
        <v>18</v>
      </c>
      <c r="I203" s="527"/>
      <c r="J203" s="530" t="s">
        <v>492</v>
      </c>
      <c r="K203" s="538" t="s">
        <v>476</v>
      </c>
      <c r="L203" s="538">
        <v>12</v>
      </c>
      <c r="M203" s="742"/>
      <c r="N203" s="540" t="str">
        <f t="shared" si="37"/>
        <v>INCLUDED</v>
      </c>
      <c r="O203" s="623">
        <f t="shared" si="38"/>
        <v>0</v>
      </c>
      <c r="P203" s="623">
        <f t="shared" si="39"/>
        <v>0</v>
      </c>
      <c r="Q203" s="623">
        <f>Discount!$H$36</f>
        <v>0</v>
      </c>
      <c r="R203" s="628">
        <f t="shared" si="40"/>
        <v>0</v>
      </c>
      <c r="S203" s="628">
        <f t="shared" si="41"/>
        <v>0</v>
      </c>
      <c r="T203" s="739">
        <f t="shared" si="42"/>
        <v>0</v>
      </c>
    </row>
    <row r="204" spans="1:20">
      <c r="A204" s="528">
        <v>187</v>
      </c>
      <c r="B204" s="538">
        <v>7000016865</v>
      </c>
      <c r="C204" s="538">
        <v>2390</v>
      </c>
      <c r="D204" s="538" t="s">
        <v>543</v>
      </c>
      <c r="E204" s="538">
        <v>1000030940</v>
      </c>
      <c r="F204" s="538">
        <v>85447090</v>
      </c>
      <c r="G204" s="529"/>
      <c r="H204" s="538">
        <v>18</v>
      </c>
      <c r="I204" s="527"/>
      <c r="J204" s="530" t="s">
        <v>485</v>
      </c>
      <c r="K204" s="538" t="s">
        <v>484</v>
      </c>
      <c r="L204" s="538">
        <v>1.66</v>
      </c>
      <c r="M204" s="742"/>
      <c r="N204" s="540" t="str">
        <f t="shared" si="37"/>
        <v>INCLUDED</v>
      </c>
      <c r="O204" s="623">
        <f t="shared" si="38"/>
        <v>0</v>
      </c>
      <c r="P204" s="623">
        <f t="shared" si="39"/>
        <v>0</v>
      </c>
      <c r="Q204" s="623">
        <f>Discount!$H$36</f>
        <v>0</v>
      </c>
      <c r="R204" s="628">
        <f t="shared" si="40"/>
        <v>0</v>
      </c>
      <c r="S204" s="628">
        <f t="shared" si="41"/>
        <v>0</v>
      </c>
      <c r="T204" s="739">
        <f t="shared" si="42"/>
        <v>0</v>
      </c>
    </row>
    <row r="205" spans="1:20">
      <c r="A205" s="454">
        <v>188</v>
      </c>
      <c r="B205" s="538">
        <v>7000016865</v>
      </c>
      <c r="C205" s="538">
        <v>2400</v>
      </c>
      <c r="D205" s="538" t="s">
        <v>543</v>
      </c>
      <c r="E205" s="538">
        <v>1000020444</v>
      </c>
      <c r="F205" s="538">
        <v>82057000</v>
      </c>
      <c r="G205" s="529"/>
      <c r="H205" s="538">
        <v>18</v>
      </c>
      <c r="I205" s="527"/>
      <c r="J205" s="530" t="s">
        <v>588</v>
      </c>
      <c r="K205" s="538" t="s">
        <v>476</v>
      </c>
      <c r="L205" s="538">
        <v>6</v>
      </c>
      <c r="M205" s="742"/>
      <c r="N205" s="540" t="str">
        <f t="shared" si="37"/>
        <v>INCLUDED</v>
      </c>
      <c r="O205" s="623">
        <f t="shared" si="38"/>
        <v>0</v>
      </c>
      <c r="P205" s="623">
        <f t="shared" si="39"/>
        <v>0</v>
      </c>
      <c r="Q205" s="623">
        <f>Discount!$H$36</f>
        <v>0</v>
      </c>
      <c r="R205" s="628">
        <f t="shared" si="40"/>
        <v>0</v>
      </c>
      <c r="S205" s="628">
        <f t="shared" si="41"/>
        <v>0</v>
      </c>
      <c r="T205" s="739">
        <f t="shared" si="42"/>
        <v>0</v>
      </c>
    </row>
    <row r="206" spans="1:20">
      <c r="A206" s="528">
        <v>189</v>
      </c>
      <c r="B206" s="538">
        <v>7000016865</v>
      </c>
      <c r="C206" s="538">
        <v>2410</v>
      </c>
      <c r="D206" s="538" t="s">
        <v>543</v>
      </c>
      <c r="E206" s="538">
        <v>1000033144</v>
      </c>
      <c r="F206" s="538">
        <v>82057000</v>
      </c>
      <c r="G206" s="529"/>
      <c r="H206" s="538">
        <v>18</v>
      </c>
      <c r="I206" s="527"/>
      <c r="J206" s="530" t="s">
        <v>486</v>
      </c>
      <c r="K206" s="538" t="s">
        <v>481</v>
      </c>
      <c r="L206" s="538">
        <v>1</v>
      </c>
      <c r="M206" s="742"/>
      <c r="N206" s="540" t="str">
        <f t="shared" si="37"/>
        <v>INCLUDED</v>
      </c>
      <c r="O206" s="623">
        <f t="shared" si="38"/>
        <v>0</v>
      </c>
      <c r="P206" s="623">
        <f t="shared" si="39"/>
        <v>0</v>
      </c>
      <c r="Q206" s="623">
        <f>Discount!$H$36</f>
        <v>0</v>
      </c>
      <c r="R206" s="628">
        <f t="shared" si="40"/>
        <v>0</v>
      </c>
      <c r="S206" s="628">
        <f t="shared" si="41"/>
        <v>0</v>
      </c>
      <c r="T206" s="739">
        <f t="shared" si="42"/>
        <v>0</v>
      </c>
    </row>
    <row r="207" spans="1:20" ht="31.2">
      <c r="A207" s="454">
        <v>190</v>
      </c>
      <c r="B207" s="538">
        <v>7000016865</v>
      </c>
      <c r="C207" s="538">
        <v>2420</v>
      </c>
      <c r="D207" s="538" t="s">
        <v>543</v>
      </c>
      <c r="E207" s="538">
        <v>1000031039</v>
      </c>
      <c r="F207" s="538">
        <v>82057000</v>
      </c>
      <c r="G207" s="529"/>
      <c r="H207" s="538">
        <v>18</v>
      </c>
      <c r="I207" s="527"/>
      <c r="J207" s="530" t="s">
        <v>488</v>
      </c>
      <c r="K207" s="538" t="s">
        <v>481</v>
      </c>
      <c r="L207" s="538">
        <v>1</v>
      </c>
      <c r="M207" s="742"/>
      <c r="N207" s="540" t="str">
        <f t="shared" si="6"/>
        <v>INCLUDED</v>
      </c>
      <c r="O207" s="623">
        <f t="shared" si="32"/>
        <v>0</v>
      </c>
      <c r="P207" s="623">
        <f t="shared" si="33"/>
        <v>0</v>
      </c>
      <c r="Q207" s="623">
        <f>Discount!$H$36</f>
        <v>0</v>
      </c>
      <c r="R207" s="628">
        <f t="shared" si="34"/>
        <v>0</v>
      </c>
      <c r="S207" s="628">
        <f t="shared" si="35"/>
        <v>0</v>
      </c>
      <c r="T207" s="739">
        <f t="shared" si="36"/>
        <v>0</v>
      </c>
    </row>
    <row r="208" spans="1:20">
      <c r="A208" s="528">
        <v>191</v>
      </c>
      <c r="B208" s="538">
        <v>7000016865</v>
      </c>
      <c r="C208" s="538">
        <v>2430</v>
      </c>
      <c r="D208" s="538" t="s">
        <v>543</v>
      </c>
      <c r="E208" s="538">
        <v>1000033146</v>
      </c>
      <c r="F208" s="538">
        <v>82057000</v>
      </c>
      <c r="G208" s="529"/>
      <c r="H208" s="538">
        <v>18</v>
      </c>
      <c r="I208" s="527"/>
      <c r="J208" s="530" t="s">
        <v>489</v>
      </c>
      <c r="K208" s="538" t="s">
        <v>481</v>
      </c>
      <c r="L208" s="538">
        <v>1</v>
      </c>
      <c r="M208" s="742"/>
      <c r="N208" s="540" t="str">
        <f t="shared" si="6"/>
        <v>INCLUDED</v>
      </c>
      <c r="O208" s="623">
        <f t="shared" si="32"/>
        <v>0</v>
      </c>
      <c r="P208" s="623">
        <f t="shared" si="33"/>
        <v>0</v>
      </c>
      <c r="Q208" s="623">
        <f>Discount!$H$36</f>
        <v>0</v>
      </c>
      <c r="R208" s="628">
        <f t="shared" si="34"/>
        <v>0</v>
      </c>
      <c r="S208" s="628">
        <f t="shared" si="35"/>
        <v>0</v>
      </c>
      <c r="T208" s="739">
        <f t="shared" si="36"/>
        <v>0</v>
      </c>
    </row>
    <row r="209" spans="1:20" ht="31.2">
      <c r="A209" s="454">
        <v>192</v>
      </c>
      <c r="B209" s="538">
        <v>7000016865</v>
      </c>
      <c r="C209" s="538">
        <v>2440</v>
      </c>
      <c r="D209" s="538" t="s">
        <v>543</v>
      </c>
      <c r="E209" s="538">
        <v>1000031041</v>
      </c>
      <c r="F209" s="538">
        <v>82057000</v>
      </c>
      <c r="G209" s="529"/>
      <c r="H209" s="538">
        <v>18</v>
      </c>
      <c r="I209" s="527"/>
      <c r="J209" s="530" t="s">
        <v>487</v>
      </c>
      <c r="K209" s="538" t="s">
        <v>481</v>
      </c>
      <c r="L209" s="538">
        <v>1</v>
      </c>
      <c r="M209" s="742"/>
      <c r="N209" s="540" t="str">
        <f t="shared" si="6"/>
        <v>INCLUDED</v>
      </c>
      <c r="O209" s="623">
        <f t="shared" si="32"/>
        <v>0</v>
      </c>
      <c r="P209" s="623">
        <f t="shared" si="33"/>
        <v>0</v>
      </c>
      <c r="Q209" s="623">
        <f>Discount!$H$36</f>
        <v>0</v>
      </c>
      <c r="R209" s="628">
        <f t="shared" si="34"/>
        <v>0</v>
      </c>
      <c r="S209" s="628">
        <f t="shared" si="35"/>
        <v>0</v>
      </c>
      <c r="T209" s="739">
        <f t="shared" si="36"/>
        <v>0</v>
      </c>
    </row>
    <row r="210" spans="1:20">
      <c r="A210" s="528">
        <v>193</v>
      </c>
      <c r="B210" s="538">
        <v>7000016865</v>
      </c>
      <c r="C210" s="538">
        <v>2450</v>
      </c>
      <c r="D210" s="538" t="s">
        <v>543</v>
      </c>
      <c r="E210" s="538">
        <v>1000022417</v>
      </c>
      <c r="F210" s="538">
        <v>82057000</v>
      </c>
      <c r="G210" s="529"/>
      <c r="H210" s="538">
        <v>18</v>
      </c>
      <c r="I210" s="527"/>
      <c r="J210" s="530" t="s">
        <v>490</v>
      </c>
      <c r="K210" s="538" t="s">
        <v>476</v>
      </c>
      <c r="L210" s="538">
        <v>23</v>
      </c>
      <c r="M210" s="742"/>
      <c r="N210" s="540" t="str">
        <f t="shared" ref="N210:N212" si="43">IF(M210=0, "INCLUDED", IF(ISERROR(M210*L210), M210, M210*L210))</f>
        <v>INCLUDED</v>
      </c>
      <c r="O210" s="623">
        <f t="shared" ref="O210:O212" si="44">IF(N210="Included",0,N210)</f>
        <v>0</v>
      </c>
      <c r="P210" s="623">
        <f t="shared" ref="P210:P212" si="45">IF( I210="",H210*(IF(N210="Included",0,N210))/100,I210*(IF(N210="Included",0,N210)))</f>
        <v>0</v>
      </c>
      <c r="Q210" s="623">
        <f>Discount!$H$36</f>
        <v>0</v>
      </c>
      <c r="R210" s="628">
        <f t="shared" ref="R210:R212" si="46">Q210*O210</f>
        <v>0</v>
      </c>
      <c r="S210" s="628">
        <f t="shared" ref="S210:S212" si="47">IF(I210="",H210*R210/100,I210*R210)</f>
        <v>0</v>
      </c>
      <c r="T210" s="739">
        <f t="shared" ref="T210:T212" si="48">M210*L210</f>
        <v>0</v>
      </c>
    </row>
    <row r="211" spans="1:20">
      <c r="A211" s="454">
        <v>194</v>
      </c>
      <c r="B211" s="538">
        <v>7000016865</v>
      </c>
      <c r="C211" s="538">
        <v>2460</v>
      </c>
      <c r="D211" s="538" t="s">
        <v>543</v>
      </c>
      <c r="E211" s="538">
        <v>1000010817</v>
      </c>
      <c r="F211" s="538">
        <v>82057000</v>
      </c>
      <c r="G211" s="529"/>
      <c r="H211" s="538">
        <v>18</v>
      </c>
      <c r="I211" s="527"/>
      <c r="J211" s="530" t="s">
        <v>491</v>
      </c>
      <c r="K211" s="538" t="s">
        <v>476</v>
      </c>
      <c r="L211" s="538">
        <v>22</v>
      </c>
      <c r="M211" s="742"/>
      <c r="N211" s="540" t="str">
        <f t="shared" si="43"/>
        <v>INCLUDED</v>
      </c>
      <c r="O211" s="623">
        <f t="shared" si="44"/>
        <v>0</v>
      </c>
      <c r="P211" s="623">
        <f t="shared" si="45"/>
        <v>0</v>
      </c>
      <c r="Q211" s="623">
        <f>Discount!$H$36</f>
        <v>0</v>
      </c>
      <c r="R211" s="628">
        <f t="shared" si="46"/>
        <v>0</v>
      </c>
      <c r="S211" s="628">
        <f t="shared" si="47"/>
        <v>0</v>
      </c>
      <c r="T211" s="739">
        <f t="shared" si="48"/>
        <v>0</v>
      </c>
    </row>
    <row r="212" spans="1:20">
      <c r="A212" s="528">
        <v>195</v>
      </c>
      <c r="B212" s="538">
        <v>7000016865</v>
      </c>
      <c r="C212" s="538">
        <v>2470</v>
      </c>
      <c r="D212" s="538" t="s">
        <v>543</v>
      </c>
      <c r="E212" s="538">
        <v>1000014198</v>
      </c>
      <c r="F212" s="538">
        <v>85353090</v>
      </c>
      <c r="G212" s="529"/>
      <c r="H212" s="538">
        <v>18</v>
      </c>
      <c r="I212" s="527"/>
      <c r="J212" s="530" t="s">
        <v>492</v>
      </c>
      <c r="K212" s="538" t="s">
        <v>476</v>
      </c>
      <c r="L212" s="538">
        <v>1</v>
      </c>
      <c r="M212" s="742"/>
      <c r="N212" s="540" t="str">
        <f t="shared" si="43"/>
        <v>INCLUDED</v>
      </c>
      <c r="O212" s="623">
        <f t="shared" si="44"/>
        <v>0</v>
      </c>
      <c r="P212" s="623">
        <f t="shared" si="45"/>
        <v>0</v>
      </c>
      <c r="Q212" s="623">
        <f>Discount!$H$36</f>
        <v>0</v>
      </c>
      <c r="R212" s="628">
        <f t="shared" si="46"/>
        <v>0</v>
      </c>
      <c r="S212" s="628">
        <f t="shared" si="47"/>
        <v>0</v>
      </c>
      <c r="T212" s="739">
        <f t="shared" si="48"/>
        <v>0</v>
      </c>
    </row>
    <row r="213" spans="1:20" ht="34.5" customHeight="1">
      <c r="A213" s="826"/>
      <c r="B213" s="827"/>
      <c r="C213" s="827"/>
      <c r="D213" s="827"/>
      <c r="E213" s="827"/>
      <c r="F213" s="827"/>
      <c r="G213" s="827"/>
      <c r="H213" s="827"/>
      <c r="I213" s="827"/>
      <c r="J213" s="827"/>
      <c r="K213" s="827"/>
      <c r="L213" s="827"/>
      <c r="M213" s="827"/>
      <c r="N213" s="828"/>
      <c r="O213" s="623"/>
      <c r="P213" s="623"/>
      <c r="Q213" s="623"/>
      <c r="R213" s="628"/>
      <c r="S213" s="628"/>
      <c r="T213" s="739"/>
    </row>
    <row r="214" spans="1:20" ht="16.5" customHeight="1">
      <c r="A214" s="821" t="s">
        <v>462</v>
      </c>
      <c r="B214" s="821"/>
      <c r="C214" s="821"/>
      <c r="D214" s="821"/>
      <c r="E214" s="821"/>
      <c r="F214" s="821"/>
      <c r="G214" s="821"/>
      <c r="H214" s="821"/>
      <c r="I214" s="821"/>
      <c r="J214" s="821"/>
      <c r="K214" s="821"/>
      <c r="L214" s="821"/>
      <c r="M214" s="821"/>
      <c r="N214" s="725">
        <f>SUM(N18:N212)</f>
        <v>0</v>
      </c>
      <c r="O214" s="624"/>
      <c r="P214" s="625">
        <f>SUM(P18:P212)</f>
        <v>0</v>
      </c>
      <c r="Q214" s="626"/>
      <c r="R214" s="727">
        <f>SUM(R18:R212)</f>
        <v>0</v>
      </c>
      <c r="S214" s="627">
        <f>SUM(S18:S212)</f>
        <v>0</v>
      </c>
      <c r="T214" s="739">
        <f>SUM(T18:T212)</f>
        <v>0</v>
      </c>
    </row>
    <row r="215" spans="1:20">
      <c r="A215" s="821" t="s">
        <v>265</v>
      </c>
      <c r="B215" s="821"/>
      <c r="C215" s="821"/>
      <c r="D215" s="821"/>
      <c r="E215" s="821"/>
      <c r="F215" s="821"/>
      <c r="G215" s="821"/>
      <c r="H215" s="821"/>
      <c r="I215" s="821"/>
      <c r="J215" s="821"/>
      <c r="K215" s="821"/>
      <c r="L215" s="821"/>
      <c r="M215" s="821"/>
      <c r="N215" s="725">
        <f>'Sch-7'!M18</f>
        <v>0</v>
      </c>
      <c r="O215" s="533"/>
      <c r="P215" s="533"/>
      <c r="Q215" s="509"/>
      <c r="R215" s="509"/>
      <c r="S215" s="509"/>
    </row>
    <row r="216" spans="1:20">
      <c r="A216" s="821" t="s">
        <v>463</v>
      </c>
      <c r="B216" s="821"/>
      <c r="C216" s="821"/>
      <c r="D216" s="821"/>
      <c r="E216" s="821"/>
      <c r="F216" s="821"/>
      <c r="G216" s="821"/>
      <c r="H216" s="821"/>
      <c r="I216" s="821"/>
      <c r="J216" s="821"/>
      <c r="K216" s="821"/>
      <c r="L216" s="821"/>
      <c r="M216" s="821"/>
      <c r="N216" s="725">
        <f>N214+N215</f>
        <v>0</v>
      </c>
      <c r="O216" s="533"/>
      <c r="P216" s="533"/>
      <c r="Q216" s="509"/>
      <c r="R216" s="509"/>
      <c r="S216" s="509"/>
    </row>
    <row r="217" spans="1:20" ht="32.25" customHeight="1">
      <c r="A217" s="535"/>
      <c r="B217" s="823" t="s">
        <v>302</v>
      </c>
      <c r="C217" s="823"/>
      <c r="D217" s="823"/>
      <c r="E217" s="823"/>
      <c r="F217" s="823"/>
      <c r="G217" s="823"/>
      <c r="H217" s="823"/>
      <c r="I217" s="823"/>
      <c r="J217" s="823"/>
      <c r="K217" s="823"/>
      <c r="L217" s="823"/>
      <c r="M217" s="823"/>
      <c r="N217" s="823"/>
      <c r="O217" s="533"/>
      <c r="P217" s="533"/>
      <c r="Q217" s="509"/>
      <c r="R217" s="509"/>
      <c r="S217" s="509"/>
    </row>
    <row r="218" spans="1:20">
      <c r="A218" s="535"/>
      <c r="B218" s="535"/>
      <c r="C218" s="535"/>
      <c r="D218" s="537"/>
      <c r="E218" s="535"/>
      <c r="F218" s="535"/>
      <c r="G218" s="535"/>
      <c r="H218" s="535"/>
      <c r="I218" s="535"/>
      <c r="J218" s="537"/>
      <c r="K218" s="535"/>
      <c r="L218" s="535"/>
      <c r="M218" s="535"/>
      <c r="N218" s="535"/>
      <c r="O218" s="509"/>
      <c r="P218" s="509"/>
      <c r="Q218" s="509"/>
      <c r="R218" s="509"/>
      <c r="S218" s="509"/>
    </row>
    <row r="219" spans="1:20">
      <c r="A219" s="535"/>
      <c r="B219" s="535" t="s">
        <v>307</v>
      </c>
      <c r="C219" s="825" t="str">
        <f>'Names of Bidder'!C22&amp;" "&amp;'Names of Bidder'!D22&amp;" "&amp;'Names of Bidder'!E22</f>
        <v xml:space="preserve">  </v>
      </c>
      <c r="D219" s="825"/>
      <c r="E219" s="535"/>
      <c r="F219" s="535"/>
      <c r="G219" s="535"/>
      <c r="H219" s="535"/>
      <c r="I219" s="536"/>
      <c r="J219" s="730" t="s">
        <v>309</v>
      </c>
      <c r="K219" s="824" t="str">
        <f>IF('Names of Bidder'!C19="","",'Names of Bidder'!C19)</f>
        <v/>
      </c>
      <c r="L219" s="824"/>
      <c r="M219" s="824"/>
      <c r="N219" s="824"/>
      <c r="O219" s="509"/>
      <c r="P219" s="509"/>
      <c r="Q219" s="509"/>
      <c r="R219" s="509"/>
      <c r="S219" s="509"/>
    </row>
    <row r="220" spans="1:20">
      <c r="A220" s="535"/>
      <c r="B220" s="535" t="s">
        <v>308</v>
      </c>
      <c r="C220" s="822" t="str">
        <f>IF('Names of Bidder'!C23="","",'Names of Bidder'!C23)</f>
        <v/>
      </c>
      <c r="D220" s="822"/>
      <c r="E220" s="535"/>
      <c r="F220" s="535"/>
      <c r="G220" s="535"/>
      <c r="H220" s="535"/>
      <c r="I220" s="536"/>
      <c r="J220" s="730" t="s">
        <v>124</v>
      </c>
      <c r="K220" s="824" t="str">
        <f>IF('Names of Bidder'!C20="","",'Names of Bidder'!C20)</f>
        <v/>
      </c>
      <c r="L220" s="824"/>
      <c r="M220" s="824"/>
      <c r="N220" s="824"/>
      <c r="O220" s="509"/>
      <c r="P220" s="509"/>
      <c r="Q220" s="509"/>
      <c r="R220" s="509"/>
      <c r="S220" s="509"/>
    </row>
    <row r="221" spans="1:20">
      <c r="A221" s="535"/>
      <c r="B221" s="535"/>
      <c r="C221" s="535"/>
      <c r="D221" s="537"/>
      <c r="E221" s="535"/>
      <c r="F221" s="535"/>
      <c r="G221" s="535"/>
      <c r="H221" s="535"/>
      <c r="I221" s="535"/>
      <c r="J221" s="537"/>
      <c r="K221" s="535"/>
      <c r="L221" s="535"/>
      <c r="M221" s="535"/>
      <c r="N221" s="535"/>
      <c r="O221" s="509"/>
      <c r="P221" s="509"/>
      <c r="Q221" s="509"/>
      <c r="R221" s="509"/>
      <c r="S221" s="509"/>
    </row>
    <row r="222" spans="1:20">
      <c r="A222" s="535"/>
      <c r="B222" s="535"/>
      <c r="C222" s="535"/>
      <c r="D222" s="537"/>
      <c r="E222" s="535"/>
      <c r="F222" s="535"/>
      <c r="G222" s="537"/>
      <c r="H222" s="537"/>
      <c r="I222" s="537"/>
      <c r="J222" s="537"/>
      <c r="K222" s="535"/>
      <c r="L222" s="535"/>
      <c r="M222" s="535"/>
      <c r="N222" s="535"/>
    </row>
    <row r="223" spans="1:20">
      <c r="G223" s="718"/>
      <c r="H223" s="718"/>
      <c r="I223" s="718"/>
    </row>
    <row r="224" spans="1:20">
      <c r="G224" s="718"/>
      <c r="H224" s="718"/>
      <c r="I224" s="718"/>
    </row>
    <row r="225" spans="7:9">
      <c r="G225" s="718"/>
      <c r="H225" s="718"/>
      <c r="I225" s="718"/>
    </row>
    <row r="226" spans="7:9">
      <c r="G226" s="718"/>
      <c r="H226" s="718"/>
      <c r="I226" s="718"/>
    </row>
    <row r="227" spans="7:9">
      <c r="G227" s="718"/>
      <c r="H227" s="718"/>
      <c r="I227" s="718"/>
    </row>
    <row r="228" spans="7:9">
      <c r="G228" s="718"/>
      <c r="H228" s="718"/>
      <c r="I228" s="718"/>
    </row>
    <row r="229" spans="7:9">
      <c r="G229" s="718"/>
      <c r="H229" s="718"/>
      <c r="I229" s="718"/>
    </row>
    <row r="230" spans="7:9">
      <c r="G230" s="718"/>
      <c r="H230" s="718"/>
      <c r="I230" s="718"/>
    </row>
    <row r="231" spans="7:9">
      <c r="G231" s="718"/>
      <c r="H231" s="718"/>
      <c r="I231" s="718"/>
    </row>
    <row r="232" spans="7:9">
      <c r="G232" s="718"/>
      <c r="H232" s="718"/>
      <c r="I232" s="718"/>
    </row>
    <row r="233" spans="7:9">
      <c r="G233" s="718"/>
      <c r="H233" s="718"/>
      <c r="I233" s="718"/>
    </row>
    <row r="234" spans="7:9">
      <c r="G234" s="718"/>
      <c r="H234" s="718"/>
      <c r="I234" s="718"/>
    </row>
    <row r="235" spans="7:9">
      <c r="G235" s="718"/>
      <c r="H235" s="718"/>
      <c r="I235" s="718"/>
    </row>
    <row r="236" spans="7:9">
      <c r="G236" s="718"/>
      <c r="H236" s="718"/>
      <c r="I236" s="718"/>
    </row>
    <row r="237" spans="7:9">
      <c r="G237" s="718"/>
      <c r="H237" s="718"/>
      <c r="I237" s="718"/>
    </row>
    <row r="238" spans="7:9">
      <c r="G238" s="718"/>
      <c r="H238" s="718"/>
      <c r="I238" s="718"/>
    </row>
    <row r="239" spans="7:9">
      <c r="G239" s="718"/>
      <c r="H239" s="718"/>
      <c r="I239" s="718"/>
    </row>
    <row r="240" spans="7:9">
      <c r="G240" s="718"/>
      <c r="H240" s="718"/>
      <c r="I240" s="718"/>
    </row>
    <row r="241" spans="7:9">
      <c r="G241" s="718"/>
      <c r="H241" s="718"/>
      <c r="I241" s="718"/>
    </row>
    <row r="242" spans="7:9">
      <c r="G242" s="718"/>
      <c r="H242" s="718"/>
      <c r="I242" s="718"/>
    </row>
    <row r="243" spans="7:9">
      <c r="G243" s="718"/>
      <c r="H243" s="718"/>
      <c r="I243" s="718"/>
    </row>
    <row r="244" spans="7:9">
      <c r="G244" s="718"/>
      <c r="H244" s="718"/>
      <c r="I244" s="718"/>
    </row>
    <row r="245" spans="7:9">
      <c r="G245" s="718"/>
      <c r="H245" s="718"/>
      <c r="I245" s="718"/>
    </row>
    <row r="246" spans="7:9">
      <c r="G246" s="718"/>
      <c r="H246" s="718"/>
      <c r="I246" s="718"/>
    </row>
    <row r="247" spans="7:9">
      <c r="G247" s="718"/>
      <c r="H247" s="718"/>
      <c r="I247" s="718"/>
    </row>
    <row r="248" spans="7:9">
      <c r="G248" s="718"/>
      <c r="H248" s="718"/>
      <c r="I248" s="718"/>
    </row>
    <row r="249" spans="7:9">
      <c r="G249" s="718"/>
      <c r="H249" s="718"/>
      <c r="I249" s="718"/>
    </row>
    <row r="250" spans="7:9">
      <c r="G250" s="718"/>
      <c r="H250" s="718"/>
      <c r="I250" s="718"/>
    </row>
    <row r="251" spans="7:9">
      <c r="G251" s="718"/>
      <c r="H251" s="718"/>
      <c r="I251" s="718"/>
    </row>
    <row r="252" spans="7:9">
      <c r="G252" s="718"/>
      <c r="H252" s="718"/>
      <c r="I252" s="718"/>
    </row>
    <row r="253" spans="7:9">
      <c r="G253" s="718"/>
      <c r="H253" s="718"/>
      <c r="I253" s="718"/>
    </row>
  </sheetData>
  <sheetProtection password="CC6F" sheet="1" formatColumns="0" formatRows="0" selectLockedCells="1"/>
  <customSheetViews>
    <customSheetView guid="{027A88A6-1BB1-46D4-AC44-9DCFC13F5D7E}" scale="60" showPageBreaks="1" fitToPage="1" printArea="1" hiddenColumns="1" view="pageBreakPreview" topLeftCell="A193">
      <selection activeCell="G212" sqref="G212"/>
      <pageMargins left="0.25" right="0.25" top="0.75" bottom="0.5" header="0.3" footer="0.5"/>
      <printOptions horizontalCentered="1"/>
      <pageSetup paperSize="9" scale="43" fitToHeight="0" orientation="landscape" r:id="rId1"/>
      <headerFooter>
        <oddHeader>&amp;RSchedule-1
Page &amp;P of &amp;N</oddHeader>
      </headerFooter>
    </customSheetView>
    <customSheetView guid="{889C3D82-0A24-4765-A688-A80A782F5056}" scale="85" showPageBreaks="1" fitToPage="1" printArea="1" hiddenColumns="1" view="pageBreakPreview">
      <selection activeCell="M111" sqref="M111"/>
      <pageMargins left="0.25" right="0.25" top="0.75" bottom="0.5" header="0.3" footer="0.5"/>
      <printOptions horizontalCentered="1"/>
      <pageSetup paperSize="9" scale="45" fitToHeight="0" orientation="landscape" r:id="rId2"/>
      <headerFooter>
        <oddHeader>&amp;RSchedule-1
Page &amp;P of &amp;N</oddHeader>
      </headerFooter>
    </customSheetView>
    <customSheetView guid="{A58DB4DF-40C7-4BEB-B85E-6BD6F54941CF}" scale="80" showPageBreaks="1" printArea="1" hiddenColumns="1" view="pageBreakPreview" topLeftCell="D7">
      <selection activeCell="M17" sqref="M17"/>
      <pageMargins left="0.25" right="0.25" top="0.75" bottom="0.5" header="0.3" footer="0.5"/>
      <printOptions horizontalCentered="1"/>
      <pageSetup paperSize="9" scale="59" orientation="landscape" r:id="rId3"/>
      <headerFooter>
        <oddHeader>&amp;RSchedule-1
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4"/>
      <headerFooter>
        <oddHeader>&amp;RSchedule-1
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5"/>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6"/>
    </customSheetView>
    <customSheetView guid="{63D51328-7CBC-4A1E-B96D-BAE91416501B}" showPageBreaks="1" printArea="1" hiddenColumns="1" view="pageBreakPreview" topLeftCell="A87">
      <selection activeCell="M113" sqref="M113"/>
      <pageMargins left="0.25" right="0.25" top="0.75" bottom="0.5" header="0.3" footer="0.5"/>
      <printOptions horizontalCentered="1"/>
      <pageSetup paperSize="9" scale="60" orientation="landscape" r:id="rId7"/>
      <headerFooter>
        <oddHeader>&amp;RSchedule-1
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8"/>
      <headerFooter>
        <oddHeader>&amp;RSchedule-1
Page &amp;P of &amp;N</oddHeader>
      </headerFooter>
    </customSheetView>
    <customSheetView guid="{CCA37BAE-906F-43D5-9FD9-B13563E4B9D7}" scale="80" showPageBreaks="1" printArea="1" hiddenColumns="1" view="pageBreakPreview">
      <selection activeCell="M168" sqref="M168:M202"/>
      <pageMargins left="0.25" right="0.25" top="0.75" bottom="0.5" header="0.3" footer="0.5"/>
      <printOptions horizontalCentered="1"/>
      <pageSetup paperSize="9" scale="59" orientation="landscape" r:id="rId9"/>
      <headerFooter>
        <oddHeader>&amp;RSchedule-1
Page &amp;P of &amp;N</oddHeader>
      </headerFooter>
    </customSheetView>
    <customSheetView guid="{18EA11B4-BD82-47BF-99FA-7AB19BF74D0B}" scale="80" showPageBreaks="1" printArea="1" hiddenColumns="1" view="pageBreakPreview" topLeftCell="E10">
      <selection activeCell="M18" sqref="M18"/>
      <pageMargins left="0.25" right="0.25" top="0.75" bottom="0.5" header="0.3" footer="0.5"/>
      <printOptions horizontalCentered="1"/>
      <pageSetup paperSize="9" scale="59" orientation="landscape" r:id="rId10"/>
      <headerFooter>
        <oddHeader>&amp;RSchedule-1
Page &amp;P of &amp;N</oddHeader>
      </headerFooter>
    </customSheetView>
    <customSheetView guid="{915C64AD-BD67-44F0-9117-5B9D998BA799}" scale="80" showPageBreaks="1" printArea="1" hiddenColumns="1" view="pageBreakPreview" topLeftCell="D7">
      <selection activeCell="M17" sqref="M17"/>
      <pageMargins left="0.25" right="0.25" top="0.75" bottom="0.5" header="0.3" footer="0.5"/>
      <printOptions horizontalCentered="1"/>
      <pageSetup paperSize="9" scale="59" orientation="landscape" r:id="rId11"/>
      <headerFooter>
        <oddHeader>&amp;RSchedule-1
Page &amp;P of &amp;N</oddHeader>
      </headerFooter>
    </customSheetView>
    <customSheetView guid="{DACD165C-CB59-4178-94BC-16705741C7B8}" scale="60" showPageBreaks="1" fitToPage="1" printArea="1" hiddenColumns="1" view="pageBreakPreview">
      <selection activeCell="G19" sqref="G19"/>
      <pageMargins left="0.25" right="0.25" top="0.75" bottom="0.5" header="0.3" footer="0.5"/>
      <printOptions horizontalCentered="1"/>
      <pageSetup paperSize="9" scale="43" fitToHeight="0" orientation="landscape" r:id="rId12"/>
      <headerFooter>
        <oddHeader>&amp;RSchedule-1
Page &amp;P of &amp;N</oddHeader>
      </headerFooter>
    </customSheetView>
  </customSheetViews>
  <mergeCells count="24">
    <mergeCell ref="Z10:AL10"/>
    <mergeCell ref="Z8:AL8"/>
    <mergeCell ref="Z9:AL9"/>
    <mergeCell ref="A214:M214"/>
    <mergeCell ref="C220:D220"/>
    <mergeCell ref="B217:N217"/>
    <mergeCell ref="K220:N220"/>
    <mergeCell ref="K219:N219"/>
    <mergeCell ref="A215:M215"/>
    <mergeCell ref="A216:M216"/>
    <mergeCell ref="C219:D219"/>
    <mergeCell ref="A213:N213"/>
    <mergeCell ref="B17:D17"/>
    <mergeCell ref="A3:N3"/>
    <mergeCell ref="A4:N4"/>
    <mergeCell ref="A6:B6"/>
    <mergeCell ref="A8:G8"/>
    <mergeCell ref="K14:N14"/>
    <mergeCell ref="C12:G12"/>
    <mergeCell ref="C10:G10"/>
    <mergeCell ref="C9:G9"/>
    <mergeCell ref="A7:I7"/>
    <mergeCell ref="A13:N13"/>
    <mergeCell ref="C11:G11"/>
  </mergeCells>
  <conditionalFormatting sqref="I18:I212">
    <cfRule type="expression" dxfId="16" priority="23" stopIfTrue="1">
      <formula>H18&gt;0</formula>
    </cfRule>
  </conditionalFormatting>
  <dataValidations count="3">
    <dataValidation type="list" operator="greaterThan" allowBlank="1" showInputMessage="1" showErrorMessage="1" sqref="I18:I212" xr:uid="{00000000-0002-0000-0400-000000000000}">
      <formula1>"0%,5%,12%,18%,28%"</formula1>
    </dataValidation>
    <dataValidation type="whole" operator="greaterThan" allowBlank="1" showInputMessage="1" showErrorMessage="1" sqref="G18:G212" xr:uid="{00000000-0002-0000-0400-000001000000}">
      <formula1>0</formula1>
    </dataValidation>
    <dataValidation type="decimal" operator="greaterThanOrEqual" allowBlank="1" showInputMessage="1" showErrorMessage="1" sqref="M18:M212" xr:uid="{00000000-0002-0000-0400-000002000000}">
      <formula1>0</formula1>
    </dataValidation>
  </dataValidations>
  <printOptions horizontalCentered="1"/>
  <pageMargins left="0.25" right="0.25" top="0.75" bottom="0.5" header="0.3" footer="0.5"/>
  <pageSetup paperSize="9" scale="43" fitToHeight="0" orientation="landscape" r:id="rId13"/>
  <headerFooter>
    <oddHeader>&amp;RSchedule-1
Page &amp;P of &amp;N</oddHeader>
  </headerFooter>
  <drawing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220"/>
  <sheetViews>
    <sheetView view="pageBreakPreview" topLeftCell="A201" zoomScale="70" zoomScaleNormal="100" zoomScaleSheetLayoutView="70" workbookViewId="0">
      <selection activeCell="I211" sqref="I211"/>
    </sheetView>
  </sheetViews>
  <sheetFormatPr defaultColWidth="9.109375" defaultRowHeight="15.6"/>
  <cols>
    <col min="1" max="1" width="6.109375" style="423" customWidth="1"/>
    <col min="2" max="2" width="15" style="423" customWidth="1"/>
    <col min="3" max="3" width="11.33203125" style="423" customWidth="1"/>
    <col min="4" max="4" width="23.88671875" style="423" customWidth="1"/>
    <col min="5" max="5" width="20.33203125" style="423" customWidth="1"/>
    <col min="6" max="6" width="105.6640625" style="415" customWidth="1"/>
    <col min="7" max="7" width="11.33203125" style="423" customWidth="1"/>
    <col min="8" max="8" width="11" style="423" customWidth="1"/>
    <col min="9" max="9" width="18.88671875" style="9" customWidth="1"/>
    <col min="10" max="10" width="24.33203125" style="423" customWidth="1"/>
    <col min="11" max="13" width="10.33203125" style="420" customWidth="1"/>
    <col min="14" max="14" width="9.109375" style="420" customWidth="1"/>
    <col min="15" max="17" width="9.109375" style="420"/>
    <col min="18" max="28" width="9.109375" style="411"/>
    <col min="29" max="16384" width="9.109375" style="419"/>
  </cols>
  <sheetData>
    <row r="1" spans="1:32" ht="27.75" customHeight="1">
      <c r="A1" s="1" t="str">
        <f>Basic!B5</f>
        <v>Specification No. : 5002002268/TOWER/DOM/A00 - CC CS -1</v>
      </c>
      <c r="B1" s="1"/>
      <c r="C1" s="1"/>
      <c r="D1" s="414"/>
      <c r="E1" s="414"/>
      <c r="F1" s="414"/>
      <c r="G1" s="417"/>
      <c r="H1" s="417"/>
      <c r="I1" s="418"/>
      <c r="J1" s="629" t="s">
        <v>14</v>
      </c>
    </row>
    <row r="2" spans="1:32" ht="21.75" customHeight="1">
      <c r="A2" s="413"/>
      <c r="B2" s="413"/>
      <c r="C2" s="413"/>
      <c r="D2" s="413"/>
      <c r="E2" s="413"/>
      <c r="F2" s="413"/>
      <c r="G2" s="347"/>
      <c r="H2" s="347"/>
      <c r="I2" s="421"/>
      <c r="J2" s="347"/>
    </row>
    <row r="3" spans="1:32" ht="68.400000000000006" customHeight="1">
      <c r="A3" s="811" t="str">
        <f>Cover!$B$2</f>
        <v>Transmission Line Tower Package-TW01 including Design &amp; Testing of towers, Design of foundation, Supply of HTLS conductor, Composite long rod insulators, Earthwire/OPGW, Hardware Fittings, Accessories for Conductor &amp; Earthwire for M/C portion of (i) 400 kV D/C (Twin HTLS) Navasari (New) (South Gujarat)-Kala line and (ii) 400 kV D/C (Twin HTLS) Navasari (New) (South Gujarat)-Magarwada line and for D/C portion of (i) 400 kV D/C (twin HTLS) Navasari (New) (South Gujarat)-Kala line (From M/c line common point near Magarwada SS to Kala SS) associated with Transmission Network Expansion in Gujarat to increase its ATC from ISTS: Part B.</v>
      </c>
      <c r="B3" s="811"/>
      <c r="C3" s="811"/>
      <c r="D3" s="811"/>
      <c r="E3" s="811"/>
      <c r="F3" s="811"/>
      <c r="G3" s="811"/>
      <c r="H3" s="811"/>
      <c r="I3" s="811"/>
      <c r="J3" s="811"/>
      <c r="K3" s="422"/>
      <c r="N3" s="832"/>
      <c r="O3" s="832"/>
      <c r="R3" s="420"/>
      <c r="S3" s="420"/>
      <c r="T3" s="420"/>
      <c r="U3" s="420"/>
      <c r="V3" s="420"/>
      <c r="W3" s="420"/>
      <c r="X3" s="420"/>
      <c r="Y3" s="420"/>
      <c r="Z3" s="420"/>
      <c r="AA3" s="420"/>
      <c r="AC3" s="411"/>
      <c r="AD3" s="411"/>
      <c r="AE3" s="411"/>
      <c r="AF3" s="411"/>
    </row>
    <row r="4" spans="1:32" ht="21.9" customHeight="1">
      <c r="A4" s="833" t="s">
        <v>0</v>
      </c>
      <c r="B4" s="833"/>
      <c r="C4" s="833"/>
      <c r="D4" s="833"/>
      <c r="E4" s="833"/>
      <c r="F4" s="833"/>
      <c r="G4" s="833"/>
      <c r="H4" s="833"/>
      <c r="I4" s="833"/>
      <c r="J4" s="833"/>
    </row>
    <row r="5" spans="1:32" ht="15" customHeight="1">
      <c r="J5" s="347"/>
    </row>
    <row r="6" spans="1:32" ht="22.5" customHeight="1">
      <c r="A6" s="813" t="s">
        <v>339</v>
      </c>
      <c r="B6" s="813"/>
      <c r="C6" s="4"/>
      <c r="D6" s="347"/>
      <c r="E6" s="4"/>
      <c r="F6" s="4"/>
      <c r="G6" s="4"/>
      <c r="H6" s="4"/>
      <c r="I6" s="4"/>
      <c r="J6" s="347"/>
    </row>
    <row r="7" spans="1:32" ht="25.5" customHeight="1">
      <c r="A7" s="818">
        <f>'Sch-1'!A7</f>
        <v>0</v>
      </c>
      <c r="B7" s="818"/>
      <c r="C7" s="818"/>
      <c r="D7" s="818"/>
      <c r="E7" s="818"/>
      <c r="F7" s="818"/>
      <c r="G7" s="587"/>
      <c r="H7" s="451" t="s">
        <v>1</v>
      </c>
      <c r="I7" s="587"/>
      <c r="J7" s="347"/>
    </row>
    <row r="8" spans="1:32" ht="29.25" customHeight="1">
      <c r="A8" s="814" t="str">
        <f>"Bidder’s Name and Address  (" &amp; MID('Names of Bidder'!A9,9, 20) &amp; ") :"</f>
        <v>Bidder’s Name and Address  (Sole Bidder) :</v>
      </c>
      <c r="B8" s="814"/>
      <c r="C8" s="814"/>
      <c r="D8" s="814"/>
      <c r="E8" s="814"/>
      <c r="F8" s="814"/>
      <c r="G8" s="814"/>
      <c r="H8" s="452" t="s">
        <v>2</v>
      </c>
      <c r="I8" s="541"/>
      <c r="J8" s="347"/>
    </row>
    <row r="9" spans="1:32" ht="26.25" customHeight="1">
      <c r="A9" s="457" t="s">
        <v>12</v>
      </c>
      <c r="B9" s="403"/>
      <c r="C9" s="817" t="str">
        <f>IF('Names of Bidder'!C9=0, "", 'Names of Bidder'!C9)</f>
        <v/>
      </c>
      <c r="D9" s="817"/>
      <c r="E9" s="817"/>
      <c r="F9" s="589"/>
      <c r="G9" s="589"/>
      <c r="H9" s="452" t="s">
        <v>3</v>
      </c>
      <c r="I9" s="404"/>
      <c r="J9" s="347"/>
    </row>
    <row r="10" spans="1:32" ht="17.25" customHeight="1">
      <c r="A10" s="457" t="s">
        <v>11</v>
      </c>
      <c r="B10" s="403"/>
      <c r="C10" s="816" t="str">
        <f>IF('Names of Bidder'!C10=0, "", 'Names of Bidder'!C10)</f>
        <v/>
      </c>
      <c r="D10" s="816"/>
      <c r="E10" s="816"/>
      <c r="F10" s="589"/>
      <c r="G10" s="589"/>
      <c r="H10" s="452" t="s">
        <v>4</v>
      </c>
      <c r="I10" s="404"/>
      <c r="J10" s="347"/>
    </row>
    <row r="11" spans="1:32" ht="18" customHeight="1">
      <c r="A11" s="404"/>
      <c r="B11" s="404"/>
      <c r="C11" s="816" t="str">
        <f>IF('Names of Bidder'!C11=0, "", 'Names of Bidder'!C11)</f>
        <v/>
      </c>
      <c r="D11" s="816"/>
      <c r="E11" s="816"/>
      <c r="F11" s="589"/>
      <c r="G11" s="589"/>
      <c r="H11" s="452" t="s">
        <v>5</v>
      </c>
      <c r="I11" s="404"/>
      <c r="J11" s="347"/>
    </row>
    <row r="12" spans="1:32" ht="18" customHeight="1">
      <c r="A12" s="404"/>
      <c r="B12" s="404"/>
      <c r="C12" s="816" t="str">
        <f>IF('Names of Bidder'!C12=0, "", 'Names of Bidder'!C12)</f>
        <v/>
      </c>
      <c r="D12" s="816"/>
      <c r="E12" s="816"/>
      <c r="F12" s="589"/>
      <c r="G12" s="589"/>
      <c r="H12" s="452" t="s">
        <v>6</v>
      </c>
      <c r="I12" s="404"/>
      <c r="J12" s="347"/>
    </row>
    <row r="13" spans="1:32" s="467" customFormat="1" ht="26.4" customHeight="1">
      <c r="A13" s="839" t="s">
        <v>353</v>
      </c>
      <c r="B13" s="839"/>
      <c r="C13" s="839"/>
      <c r="D13" s="839"/>
      <c r="E13" s="839"/>
      <c r="F13" s="839"/>
      <c r="G13" s="839"/>
      <c r="H13" s="839"/>
      <c r="I13" s="839"/>
      <c r="J13" s="839"/>
      <c r="K13" s="465"/>
      <c r="L13" s="465"/>
      <c r="M13" s="465"/>
      <c r="N13" s="465"/>
      <c r="O13" s="465"/>
      <c r="P13" s="465"/>
      <c r="Q13" s="465"/>
      <c r="R13" s="466"/>
      <c r="S13" s="466"/>
      <c r="T13" s="466"/>
      <c r="U13" s="466"/>
      <c r="V13" s="466"/>
      <c r="W13" s="466"/>
      <c r="X13" s="466"/>
      <c r="Y13" s="466"/>
      <c r="Z13" s="466"/>
      <c r="AA13" s="466"/>
      <c r="AB13" s="466"/>
    </row>
    <row r="14" spans="1:32" ht="20.25" customHeight="1" thickBot="1">
      <c r="A14" s="424"/>
      <c r="B14" s="424"/>
      <c r="C14" s="424"/>
      <c r="D14" s="424"/>
      <c r="E14" s="424"/>
      <c r="F14" s="416"/>
      <c r="G14" s="425"/>
      <c r="H14" s="425"/>
      <c r="I14" s="835" t="s">
        <v>344</v>
      </c>
      <c r="J14" s="835"/>
    </row>
    <row r="15" spans="1:32" ht="102" customHeight="1">
      <c r="A15" s="13" t="s">
        <v>7</v>
      </c>
      <c r="B15" s="17" t="s">
        <v>260</v>
      </c>
      <c r="C15" s="17" t="s">
        <v>272</v>
      </c>
      <c r="D15" s="17" t="s">
        <v>274</v>
      </c>
      <c r="E15" s="17" t="s">
        <v>13</v>
      </c>
      <c r="F15" s="14" t="s">
        <v>15</v>
      </c>
      <c r="G15" s="14" t="s">
        <v>9</v>
      </c>
      <c r="H15" s="14" t="s">
        <v>16</v>
      </c>
      <c r="I15" s="14" t="s">
        <v>352</v>
      </c>
      <c r="J15" s="15" t="s">
        <v>351</v>
      </c>
    </row>
    <row r="16" spans="1:32" s="602" customFormat="1" ht="16.2">
      <c r="A16" s="596">
        <v>1</v>
      </c>
      <c r="B16" s="596">
        <v>2</v>
      </c>
      <c r="C16" s="596">
        <v>3</v>
      </c>
      <c r="D16" s="596">
        <v>4</v>
      </c>
      <c r="E16" s="596">
        <v>5</v>
      </c>
      <c r="F16" s="596">
        <v>6</v>
      </c>
      <c r="G16" s="596">
        <v>7</v>
      </c>
      <c r="H16" s="596">
        <v>8</v>
      </c>
      <c r="I16" s="596">
        <v>9</v>
      </c>
      <c r="J16" s="596" t="s">
        <v>345</v>
      </c>
      <c r="K16" s="600"/>
      <c r="L16" s="600"/>
      <c r="M16" s="600"/>
      <c r="N16" s="600"/>
      <c r="O16" s="600"/>
      <c r="P16" s="600"/>
      <c r="Q16" s="600"/>
      <c r="R16" s="601"/>
      <c r="S16" s="601"/>
      <c r="T16" s="601"/>
      <c r="U16" s="601"/>
      <c r="V16" s="601"/>
      <c r="W16" s="601"/>
      <c r="X16" s="601"/>
      <c r="Y16" s="601"/>
      <c r="Z16" s="601"/>
      <c r="AA16" s="601"/>
      <c r="AB16" s="601"/>
    </row>
    <row r="17" spans="1:28" s="753" customFormat="1" ht="22.2" customHeight="1">
      <c r="A17" s="749"/>
      <c r="B17" s="844" t="str">
        <f>+'Sch-1'!B17:D17</f>
        <v xml:space="preserve">TW01 Navasari-Magarwada-Kala </v>
      </c>
      <c r="C17" s="845"/>
      <c r="D17" s="845"/>
      <c r="E17" s="846"/>
      <c r="F17" s="749"/>
      <c r="G17" s="749"/>
      <c r="H17" s="749"/>
      <c r="I17" s="750"/>
      <c r="J17" s="749"/>
      <c r="K17" s="751"/>
      <c r="L17" s="751"/>
      <c r="M17" s="751"/>
      <c r="N17" s="751"/>
      <c r="O17" s="751"/>
      <c r="P17" s="751"/>
      <c r="Q17" s="751"/>
      <c r="R17" s="752"/>
      <c r="S17" s="752"/>
      <c r="T17" s="752"/>
      <c r="U17" s="752"/>
      <c r="V17" s="752"/>
      <c r="W17" s="752"/>
      <c r="X17" s="752"/>
      <c r="Y17" s="752"/>
      <c r="Z17" s="752"/>
      <c r="AA17" s="752"/>
      <c r="AB17" s="752"/>
    </row>
    <row r="18" spans="1:28" ht="78">
      <c r="A18" s="757">
        <v>1</v>
      </c>
      <c r="B18" s="538">
        <v>7000016865</v>
      </c>
      <c r="C18" s="538">
        <v>10</v>
      </c>
      <c r="D18" s="538" t="s">
        <v>535</v>
      </c>
      <c r="E18" s="538">
        <v>1000059510</v>
      </c>
      <c r="F18" s="530" t="s">
        <v>546</v>
      </c>
      <c r="G18" s="538" t="s">
        <v>476</v>
      </c>
      <c r="H18" s="538">
        <v>28</v>
      </c>
      <c r="I18" s="539"/>
      <c r="J18" s="540" t="str">
        <f t="shared" ref="J18:J136" si="0">IF(I18=0, "INCLUDED", IF(ISERROR(I18*H18), I18, I18*H18))</f>
        <v>INCLUDED</v>
      </c>
    </row>
    <row r="19" spans="1:28" ht="78">
      <c r="A19" s="757">
        <v>2</v>
      </c>
      <c r="B19" s="538">
        <v>7000016865</v>
      </c>
      <c r="C19" s="538">
        <v>20</v>
      </c>
      <c r="D19" s="538" t="s">
        <v>535</v>
      </c>
      <c r="E19" s="538">
        <v>1000059511</v>
      </c>
      <c r="F19" s="530" t="s">
        <v>547</v>
      </c>
      <c r="G19" s="538" t="s">
        <v>476</v>
      </c>
      <c r="H19" s="538">
        <v>4</v>
      </c>
      <c r="I19" s="539"/>
      <c r="J19" s="540" t="str">
        <f t="shared" si="0"/>
        <v>INCLUDED</v>
      </c>
    </row>
    <row r="20" spans="1:28" ht="78">
      <c r="A20" s="757">
        <v>3</v>
      </c>
      <c r="B20" s="538">
        <v>7000016865</v>
      </c>
      <c r="C20" s="538">
        <v>30</v>
      </c>
      <c r="D20" s="538" t="s">
        <v>535</v>
      </c>
      <c r="E20" s="538">
        <v>1000059512</v>
      </c>
      <c r="F20" s="530" t="s">
        <v>548</v>
      </c>
      <c r="G20" s="538" t="s">
        <v>476</v>
      </c>
      <c r="H20" s="538">
        <v>12</v>
      </c>
      <c r="I20" s="539"/>
      <c r="J20" s="540" t="str">
        <f t="shared" si="0"/>
        <v>INCLUDED</v>
      </c>
    </row>
    <row r="21" spans="1:28" ht="78">
      <c r="A21" s="757">
        <v>4</v>
      </c>
      <c r="B21" s="538">
        <v>7000016865</v>
      </c>
      <c r="C21" s="538">
        <v>40</v>
      </c>
      <c r="D21" s="538" t="s">
        <v>535</v>
      </c>
      <c r="E21" s="538">
        <v>1000059513</v>
      </c>
      <c r="F21" s="530" t="s">
        <v>549</v>
      </c>
      <c r="G21" s="538" t="s">
        <v>476</v>
      </c>
      <c r="H21" s="538">
        <v>48</v>
      </c>
      <c r="I21" s="539"/>
      <c r="J21" s="540" t="str">
        <f t="shared" ref="J21" si="1">IF(I21=0, "INCLUDED", IF(ISERROR(I21*H21), I21, I21*H21))</f>
        <v>INCLUDED</v>
      </c>
    </row>
    <row r="22" spans="1:28" ht="78">
      <c r="A22" s="757">
        <v>5</v>
      </c>
      <c r="B22" s="538">
        <v>7000016865</v>
      </c>
      <c r="C22" s="538">
        <v>50</v>
      </c>
      <c r="D22" s="538" t="s">
        <v>535</v>
      </c>
      <c r="E22" s="538">
        <v>1000059519</v>
      </c>
      <c r="F22" s="530" t="s">
        <v>550</v>
      </c>
      <c r="G22" s="538" t="s">
        <v>476</v>
      </c>
      <c r="H22" s="538">
        <v>1</v>
      </c>
      <c r="I22" s="539"/>
      <c r="J22" s="540" t="str">
        <f t="shared" si="0"/>
        <v>INCLUDED</v>
      </c>
    </row>
    <row r="23" spans="1:28" ht="78">
      <c r="A23" s="757">
        <v>6</v>
      </c>
      <c r="B23" s="538">
        <v>7000016865</v>
      </c>
      <c r="C23" s="538">
        <v>60</v>
      </c>
      <c r="D23" s="538" t="s">
        <v>535</v>
      </c>
      <c r="E23" s="538">
        <v>1000059520</v>
      </c>
      <c r="F23" s="530" t="s">
        <v>551</v>
      </c>
      <c r="G23" s="538" t="s">
        <v>476</v>
      </c>
      <c r="H23" s="538">
        <v>3</v>
      </c>
      <c r="I23" s="539"/>
      <c r="J23" s="540" t="str">
        <f t="shared" si="0"/>
        <v>INCLUDED</v>
      </c>
    </row>
    <row r="24" spans="1:28" ht="78">
      <c r="A24" s="757">
        <v>7</v>
      </c>
      <c r="B24" s="538">
        <v>7000016865</v>
      </c>
      <c r="C24" s="538">
        <v>70</v>
      </c>
      <c r="D24" s="538" t="s">
        <v>535</v>
      </c>
      <c r="E24" s="538">
        <v>1000059528</v>
      </c>
      <c r="F24" s="530" t="s">
        <v>552</v>
      </c>
      <c r="G24" s="538" t="s">
        <v>476</v>
      </c>
      <c r="H24" s="538">
        <v>4</v>
      </c>
      <c r="I24" s="539"/>
      <c r="J24" s="540" t="str">
        <f t="shared" si="0"/>
        <v>INCLUDED</v>
      </c>
    </row>
    <row r="25" spans="1:28" ht="78">
      <c r="A25" s="757">
        <v>8</v>
      </c>
      <c r="B25" s="538">
        <v>7000016865</v>
      </c>
      <c r="C25" s="538">
        <v>80</v>
      </c>
      <c r="D25" s="538" t="s">
        <v>535</v>
      </c>
      <c r="E25" s="538">
        <v>1000059529</v>
      </c>
      <c r="F25" s="530" t="s">
        <v>553</v>
      </c>
      <c r="G25" s="538" t="s">
        <v>476</v>
      </c>
      <c r="H25" s="538">
        <v>2</v>
      </c>
      <c r="I25" s="539"/>
      <c r="J25" s="540" t="str">
        <f t="shared" si="0"/>
        <v>INCLUDED</v>
      </c>
    </row>
    <row r="26" spans="1:28" ht="78">
      <c r="A26" s="757">
        <v>9</v>
      </c>
      <c r="B26" s="538">
        <v>7000016865</v>
      </c>
      <c r="C26" s="538">
        <v>90</v>
      </c>
      <c r="D26" s="538" t="s">
        <v>535</v>
      </c>
      <c r="E26" s="538">
        <v>1000059538</v>
      </c>
      <c r="F26" s="530" t="s">
        <v>554</v>
      </c>
      <c r="G26" s="538" t="s">
        <v>476</v>
      </c>
      <c r="H26" s="538">
        <v>4</v>
      </c>
      <c r="I26" s="539"/>
      <c r="J26" s="540" t="str">
        <f t="shared" si="0"/>
        <v>INCLUDED</v>
      </c>
    </row>
    <row r="27" spans="1:28" ht="78">
      <c r="A27" s="757">
        <v>10</v>
      </c>
      <c r="B27" s="538">
        <v>7000016865</v>
      </c>
      <c r="C27" s="538">
        <v>100</v>
      </c>
      <c r="D27" s="538" t="s">
        <v>535</v>
      </c>
      <c r="E27" s="538">
        <v>1000059539</v>
      </c>
      <c r="F27" s="530" t="s">
        <v>555</v>
      </c>
      <c r="G27" s="538" t="s">
        <v>476</v>
      </c>
      <c r="H27" s="538">
        <v>1</v>
      </c>
      <c r="I27" s="539"/>
      <c r="J27" s="540" t="str">
        <f t="shared" si="0"/>
        <v>INCLUDED</v>
      </c>
    </row>
    <row r="28" spans="1:28" ht="78">
      <c r="A28" s="757">
        <v>11</v>
      </c>
      <c r="B28" s="538">
        <v>7000016865</v>
      </c>
      <c r="C28" s="538">
        <v>110</v>
      </c>
      <c r="D28" s="538" t="s">
        <v>535</v>
      </c>
      <c r="E28" s="538">
        <v>1000059549</v>
      </c>
      <c r="F28" s="530" t="s">
        <v>556</v>
      </c>
      <c r="G28" s="538" t="s">
        <v>476</v>
      </c>
      <c r="H28" s="538">
        <v>3</v>
      </c>
      <c r="I28" s="539"/>
      <c r="J28" s="540" t="str">
        <f t="shared" si="0"/>
        <v>INCLUDED</v>
      </c>
    </row>
    <row r="29" spans="1:28" ht="78">
      <c r="A29" s="757">
        <v>12</v>
      </c>
      <c r="B29" s="538">
        <v>7000016865</v>
      </c>
      <c r="C29" s="538">
        <v>120</v>
      </c>
      <c r="D29" s="538" t="s">
        <v>535</v>
      </c>
      <c r="E29" s="538">
        <v>1000059544</v>
      </c>
      <c r="F29" s="530" t="s">
        <v>557</v>
      </c>
      <c r="G29" s="538" t="s">
        <v>476</v>
      </c>
      <c r="H29" s="538">
        <v>2</v>
      </c>
      <c r="I29" s="539"/>
      <c r="J29" s="540" t="str">
        <f t="shared" si="0"/>
        <v>INCLUDED</v>
      </c>
    </row>
    <row r="30" spans="1:28" ht="62.4">
      <c r="A30" s="757">
        <v>13</v>
      </c>
      <c r="B30" s="538">
        <v>7000016865</v>
      </c>
      <c r="C30" s="538">
        <v>130</v>
      </c>
      <c r="D30" s="538" t="s">
        <v>535</v>
      </c>
      <c r="E30" s="538">
        <v>1000059571</v>
      </c>
      <c r="F30" s="530" t="s">
        <v>558</v>
      </c>
      <c r="G30" s="538" t="s">
        <v>476</v>
      </c>
      <c r="H30" s="538">
        <v>42</v>
      </c>
      <c r="I30" s="539"/>
      <c r="J30" s="540" t="str">
        <f t="shared" si="0"/>
        <v>INCLUDED</v>
      </c>
    </row>
    <row r="31" spans="1:28" ht="62.4">
      <c r="A31" s="757">
        <v>14</v>
      </c>
      <c r="B31" s="538">
        <v>7000016865</v>
      </c>
      <c r="C31" s="538">
        <v>140</v>
      </c>
      <c r="D31" s="538" t="s">
        <v>535</v>
      </c>
      <c r="E31" s="538">
        <v>1000059574</v>
      </c>
      <c r="F31" s="530" t="s">
        <v>559</v>
      </c>
      <c r="G31" s="538" t="s">
        <v>476</v>
      </c>
      <c r="H31" s="538">
        <v>4</v>
      </c>
      <c r="I31" s="539"/>
      <c r="J31" s="540" t="str">
        <f t="shared" si="0"/>
        <v>INCLUDED</v>
      </c>
    </row>
    <row r="32" spans="1:28" ht="62.4">
      <c r="A32" s="757">
        <v>15</v>
      </c>
      <c r="B32" s="538">
        <v>7000016865</v>
      </c>
      <c r="C32" s="538">
        <v>150</v>
      </c>
      <c r="D32" s="538" t="s">
        <v>535</v>
      </c>
      <c r="E32" s="538">
        <v>1000059577</v>
      </c>
      <c r="F32" s="530" t="s">
        <v>560</v>
      </c>
      <c r="G32" s="538" t="s">
        <v>476</v>
      </c>
      <c r="H32" s="538">
        <v>4</v>
      </c>
      <c r="I32" s="539"/>
      <c r="J32" s="540" t="str">
        <f t="shared" si="0"/>
        <v>INCLUDED</v>
      </c>
    </row>
    <row r="33" spans="1:10" ht="62.4">
      <c r="A33" s="757">
        <v>16</v>
      </c>
      <c r="B33" s="538">
        <v>7000016865</v>
      </c>
      <c r="C33" s="538">
        <v>160</v>
      </c>
      <c r="D33" s="538" t="s">
        <v>535</v>
      </c>
      <c r="E33" s="538">
        <v>1000059581</v>
      </c>
      <c r="F33" s="530" t="s">
        <v>561</v>
      </c>
      <c r="G33" s="538" t="s">
        <v>476</v>
      </c>
      <c r="H33" s="538">
        <v>3</v>
      </c>
      <c r="I33" s="539"/>
      <c r="J33" s="540" t="str">
        <f t="shared" si="0"/>
        <v>INCLUDED</v>
      </c>
    </row>
    <row r="34" spans="1:10" ht="62.4">
      <c r="A34" s="757">
        <v>17</v>
      </c>
      <c r="B34" s="538">
        <v>7000016865</v>
      </c>
      <c r="C34" s="538">
        <v>170</v>
      </c>
      <c r="D34" s="538" t="s">
        <v>535</v>
      </c>
      <c r="E34" s="538">
        <v>1000059585</v>
      </c>
      <c r="F34" s="530" t="s">
        <v>562</v>
      </c>
      <c r="G34" s="538" t="s">
        <v>476</v>
      </c>
      <c r="H34" s="538">
        <v>3</v>
      </c>
      <c r="I34" s="539"/>
      <c r="J34" s="540" t="str">
        <f t="shared" si="0"/>
        <v>INCLUDED</v>
      </c>
    </row>
    <row r="35" spans="1:10" ht="62.4">
      <c r="A35" s="757">
        <v>18</v>
      </c>
      <c r="B35" s="538">
        <v>7000016865</v>
      </c>
      <c r="C35" s="538">
        <v>180</v>
      </c>
      <c r="D35" s="538" t="s">
        <v>535</v>
      </c>
      <c r="E35" s="538">
        <v>1000059583</v>
      </c>
      <c r="F35" s="530" t="s">
        <v>563</v>
      </c>
      <c r="G35" s="538" t="s">
        <v>476</v>
      </c>
      <c r="H35" s="538">
        <v>2</v>
      </c>
      <c r="I35" s="539"/>
      <c r="J35" s="540" t="str">
        <f t="shared" si="0"/>
        <v>INCLUDED</v>
      </c>
    </row>
    <row r="36" spans="1:10" ht="62.4">
      <c r="A36" s="757">
        <v>19</v>
      </c>
      <c r="B36" s="538">
        <v>7000016865</v>
      </c>
      <c r="C36" s="538">
        <v>190</v>
      </c>
      <c r="D36" s="538" t="s">
        <v>535</v>
      </c>
      <c r="E36" s="538">
        <v>1000061529</v>
      </c>
      <c r="F36" s="530" t="s">
        <v>564</v>
      </c>
      <c r="G36" s="538" t="s">
        <v>476</v>
      </c>
      <c r="H36" s="538">
        <v>50</v>
      </c>
      <c r="I36" s="539"/>
      <c r="J36" s="540" t="str">
        <f t="shared" si="0"/>
        <v>INCLUDED</v>
      </c>
    </row>
    <row r="37" spans="1:10" ht="62.4">
      <c r="A37" s="757">
        <v>20</v>
      </c>
      <c r="B37" s="538">
        <v>7000016865</v>
      </c>
      <c r="C37" s="538">
        <v>200</v>
      </c>
      <c r="D37" s="538" t="s">
        <v>535</v>
      </c>
      <c r="E37" s="538">
        <v>1000061530</v>
      </c>
      <c r="F37" s="530" t="s">
        <v>565</v>
      </c>
      <c r="G37" s="538" t="s">
        <v>476</v>
      </c>
      <c r="H37" s="538">
        <v>2</v>
      </c>
      <c r="I37" s="539"/>
      <c r="J37" s="540" t="str">
        <f t="shared" si="0"/>
        <v>INCLUDED</v>
      </c>
    </row>
    <row r="38" spans="1:10" ht="62.4">
      <c r="A38" s="757">
        <v>21</v>
      </c>
      <c r="B38" s="538">
        <v>7000016865</v>
      </c>
      <c r="C38" s="538">
        <v>210</v>
      </c>
      <c r="D38" s="538" t="s">
        <v>535</v>
      </c>
      <c r="E38" s="538">
        <v>1000061531</v>
      </c>
      <c r="F38" s="530" t="s">
        <v>566</v>
      </c>
      <c r="G38" s="538" t="s">
        <v>476</v>
      </c>
      <c r="H38" s="538">
        <v>2</v>
      </c>
      <c r="I38" s="539"/>
      <c r="J38" s="540" t="str">
        <f t="shared" si="0"/>
        <v>INCLUDED</v>
      </c>
    </row>
    <row r="39" spans="1:10" ht="78">
      <c r="A39" s="757">
        <v>22</v>
      </c>
      <c r="B39" s="538">
        <v>7000016865</v>
      </c>
      <c r="C39" s="538">
        <v>220</v>
      </c>
      <c r="D39" s="538" t="s">
        <v>535</v>
      </c>
      <c r="E39" s="538">
        <v>1000059513</v>
      </c>
      <c r="F39" s="530" t="s">
        <v>549</v>
      </c>
      <c r="G39" s="538" t="s">
        <v>476</v>
      </c>
      <c r="H39" s="538">
        <v>1</v>
      </c>
      <c r="I39" s="539"/>
      <c r="J39" s="540" t="str">
        <f t="shared" si="0"/>
        <v>INCLUDED</v>
      </c>
    </row>
    <row r="40" spans="1:10" ht="62.4">
      <c r="A40" s="757">
        <v>23</v>
      </c>
      <c r="B40" s="538">
        <v>7000016865</v>
      </c>
      <c r="C40" s="538">
        <v>230</v>
      </c>
      <c r="D40" s="538" t="s">
        <v>535</v>
      </c>
      <c r="E40" s="538">
        <v>1000059571</v>
      </c>
      <c r="F40" s="530" t="s">
        <v>558</v>
      </c>
      <c r="G40" s="538" t="s">
        <v>476</v>
      </c>
      <c r="H40" s="538">
        <v>1</v>
      </c>
      <c r="I40" s="539"/>
      <c r="J40" s="540" t="str">
        <f t="shared" si="0"/>
        <v>INCLUDED</v>
      </c>
    </row>
    <row r="41" spans="1:10">
      <c r="A41" s="757">
        <v>24</v>
      </c>
      <c r="B41" s="538">
        <v>7000016865</v>
      </c>
      <c r="C41" s="538">
        <v>240</v>
      </c>
      <c r="D41" s="538" t="s">
        <v>536</v>
      </c>
      <c r="E41" s="538">
        <v>1000036834</v>
      </c>
      <c r="F41" s="530" t="s">
        <v>567</v>
      </c>
      <c r="G41" s="538" t="s">
        <v>484</v>
      </c>
      <c r="H41" s="538">
        <v>1049.28</v>
      </c>
      <c r="I41" s="539"/>
      <c r="J41" s="540" t="str">
        <f t="shared" si="0"/>
        <v>INCLUDED</v>
      </c>
    </row>
    <row r="42" spans="1:10">
      <c r="A42" s="757">
        <v>25</v>
      </c>
      <c r="B42" s="538">
        <v>7000016865</v>
      </c>
      <c r="C42" s="538">
        <v>250</v>
      </c>
      <c r="D42" s="538" t="s">
        <v>536</v>
      </c>
      <c r="E42" s="538">
        <v>1000036834</v>
      </c>
      <c r="F42" s="530" t="s">
        <v>567</v>
      </c>
      <c r="G42" s="538" t="s">
        <v>484</v>
      </c>
      <c r="H42" s="538">
        <v>40</v>
      </c>
      <c r="I42" s="539"/>
      <c r="J42" s="540" t="str">
        <f t="shared" si="0"/>
        <v>INCLUDED</v>
      </c>
    </row>
    <row r="43" spans="1:10" ht="31.2">
      <c r="A43" s="757">
        <v>26</v>
      </c>
      <c r="B43" s="538">
        <v>7000016865</v>
      </c>
      <c r="C43" s="538">
        <v>260</v>
      </c>
      <c r="D43" s="538" t="s">
        <v>537</v>
      </c>
      <c r="E43" s="538">
        <v>1000009325</v>
      </c>
      <c r="F43" s="530" t="s">
        <v>568</v>
      </c>
      <c r="G43" s="538" t="s">
        <v>476</v>
      </c>
      <c r="H43" s="538">
        <v>1164</v>
      </c>
      <c r="I43" s="539"/>
      <c r="J43" s="540" t="str">
        <f t="shared" si="0"/>
        <v>INCLUDED</v>
      </c>
    </row>
    <row r="44" spans="1:10" ht="31.2">
      <c r="A44" s="757">
        <v>27</v>
      </c>
      <c r="B44" s="538">
        <v>7000016865</v>
      </c>
      <c r="C44" s="538">
        <v>270</v>
      </c>
      <c r="D44" s="538" t="s">
        <v>537</v>
      </c>
      <c r="E44" s="538">
        <v>1000009325</v>
      </c>
      <c r="F44" s="530" t="s">
        <v>568</v>
      </c>
      <c r="G44" s="538" t="s">
        <v>476</v>
      </c>
      <c r="H44" s="538">
        <v>117</v>
      </c>
      <c r="I44" s="539"/>
      <c r="J44" s="540" t="str">
        <f t="shared" si="0"/>
        <v>INCLUDED</v>
      </c>
    </row>
    <row r="45" spans="1:10" ht="31.2">
      <c r="A45" s="757">
        <v>28</v>
      </c>
      <c r="B45" s="538">
        <v>7000016865</v>
      </c>
      <c r="C45" s="538">
        <v>280</v>
      </c>
      <c r="D45" s="538" t="s">
        <v>537</v>
      </c>
      <c r="E45" s="538">
        <v>1000009328</v>
      </c>
      <c r="F45" s="530" t="s">
        <v>569</v>
      </c>
      <c r="G45" s="538" t="s">
        <v>476</v>
      </c>
      <c r="H45" s="538">
        <v>984</v>
      </c>
      <c r="I45" s="539"/>
      <c r="J45" s="540" t="str">
        <f t="shared" si="0"/>
        <v>INCLUDED</v>
      </c>
    </row>
    <row r="46" spans="1:10" ht="31.2">
      <c r="A46" s="757">
        <v>29</v>
      </c>
      <c r="B46" s="538">
        <v>7000016865</v>
      </c>
      <c r="C46" s="538">
        <v>290</v>
      </c>
      <c r="D46" s="538" t="s">
        <v>537</v>
      </c>
      <c r="E46" s="538">
        <v>1000009328</v>
      </c>
      <c r="F46" s="530" t="s">
        <v>569</v>
      </c>
      <c r="G46" s="538" t="s">
        <v>476</v>
      </c>
      <c r="H46" s="538">
        <v>99</v>
      </c>
      <c r="I46" s="539"/>
      <c r="J46" s="540" t="str">
        <f t="shared" si="0"/>
        <v>INCLUDED</v>
      </c>
    </row>
    <row r="47" spans="1:10">
      <c r="A47" s="757">
        <v>30</v>
      </c>
      <c r="B47" s="538">
        <v>7000016865</v>
      </c>
      <c r="C47" s="538">
        <v>300</v>
      </c>
      <c r="D47" s="538" t="s">
        <v>538</v>
      </c>
      <c r="E47" s="538">
        <v>1000019805</v>
      </c>
      <c r="F47" s="530" t="s">
        <v>570</v>
      </c>
      <c r="G47" s="538" t="s">
        <v>481</v>
      </c>
      <c r="H47" s="538">
        <v>1104</v>
      </c>
      <c r="I47" s="539"/>
      <c r="J47" s="540" t="str">
        <f t="shared" si="0"/>
        <v>INCLUDED</v>
      </c>
    </row>
    <row r="48" spans="1:10">
      <c r="A48" s="757">
        <v>31</v>
      </c>
      <c r="B48" s="538">
        <v>7000016865</v>
      </c>
      <c r="C48" s="538">
        <v>310</v>
      </c>
      <c r="D48" s="538" t="s">
        <v>538</v>
      </c>
      <c r="E48" s="538">
        <v>1000019805</v>
      </c>
      <c r="F48" s="530" t="s">
        <v>570</v>
      </c>
      <c r="G48" s="538" t="s">
        <v>481</v>
      </c>
      <c r="H48" s="538">
        <v>23</v>
      </c>
      <c r="I48" s="539"/>
      <c r="J48" s="540" t="str">
        <f t="shared" si="0"/>
        <v>INCLUDED</v>
      </c>
    </row>
    <row r="49" spans="1:10">
      <c r="A49" s="757">
        <v>32</v>
      </c>
      <c r="B49" s="538">
        <v>7000016865</v>
      </c>
      <c r="C49" s="538">
        <v>320</v>
      </c>
      <c r="D49" s="538" t="s">
        <v>538</v>
      </c>
      <c r="E49" s="538">
        <v>1000010803</v>
      </c>
      <c r="F49" s="530" t="s">
        <v>571</v>
      </c>
      <c r="G49" s="538" t="s">
        <v>481</v>
      </c>
      <c r="H49" s="538">
        <v>492</v>
      </c>
      <c r="I49" s="539"/>
      <c r="J49" s="540" t="str">
        <f t="shared" si="0"/>
        <v>INCLUDED</v>
      </c>
    </row>
    <row r="50" spans="1:10">
      <c r="A50" s="757">
        <v>33</v>
      </c>
      <c r="B50" s="538">
        <v>7000016865</v>
      </c>
      <c r="C50" s="538">
        <v>330</v>
      </c>
      <c r="D50" s="538" t="s">
        <v>538</v>
      </c>
      <c r="E50" s="538">
        <v>1000010803</v>
      </c>
      <c r="F50" s="530" t="s">
        <v>571</v>
      </c>
      <c r="G50" s="538" t="s">
        <v>481</v>
      </c>
      <c r="H50" s="538">
        <v>10</v>
      </c>
      <c r="I50" s="539"/>
      <c r="J50" s="540" t="str">
        <f t="shared" si="0"/>
        <v>INCLUDED</v>
      </c>
    </row>
    <row r="51" spans="1:10">
      <c r="A51" s="757">
        <v>34</v>
      </c>
      <c r="B51" s="538">
        <v>7000016865</v>
      </c>
      <c r="C51" s="538">
        <v>340</v>
      </c>
      <c r="D51" s="538" t="s">
        <v>538</v>
      </c>
      <c r="E51" s="538">
        <v>1000019783</v>
      </c>
      <c r="F51" s="530" t="s">
        <v>572</v>
      </c>
      <c r="G51" s="538" t="s">
        <v>481</v>
      </c>
      <c r="H51" s="538">
        <v>60</v>
      </c>
      <c r="I51" s="539"/>
      <c r="J51" s="540" t="str">
        <f t="shared" si="0"/>
        <v>INCLUDED</v>
      </c>
    </row>
    <row r="52" spans="1:10">
      <c r="A52" s="757">
        <v>35</v>
      </c>
      <c r="B52" s="538">
        <v>7000016865</v>
      </c>
      <c r="C52" s="538">
        <v>350</v>
      </c>
      <c r="D52" s="538" t="s">
        <v>538</v>
      </c>
      <c r="E52" s="538">
        <v>1000019783</v>
      </c>
      <c r="F52" s="530" t="s">
        <v>572</v>
      </c>
      <c r="G52" s="538" t="s">
        <v>481</v>
      </c>
      <c r="H52" s="538">
        <v>2</v>
      </c>
      <c r="I52" s="539"/>
      <c r="J52" s="540" t="str">
        <f t="shared" si="0"/>
        <v>INCLUDED</v>
      </c>
    </row>
    <row r="53" spans="1:10" ht="46.8">
      <c r="A53" s="757">
        <v>36</v>
      </c>
      <c r="B53" s="538">
        <v>7000016865</v>
      </c>
      <c r="C53" s="538">
        <v>360</v>
      </c>
      <c r="D53" s="538" t="s">
        <v>538</v>
      </c>
      <c r="E53" s="538">
        <v>1000036855</v>
      </c>
      <c r="F53" s="530" t="s">
        <v>573</v>
      </c>
      <c r="G53" s="538" t="s">
        <v>476</v>
      </c>
      <c r="H53" s="538">
        <v>2208</v>
      </c>
      <c r="I53" s="539"/>
      <c r="J53" s="540" t="str">
        <f t="shared" si="0"/>
        <v>INCLUDED</v>
      </c>
    </row>
    <row r="54" spans="1:10" ht="46.8">
      <c r="A54" s="757">
        <v>37</v>
      </c>
      <c r="B54" s="538">
        <v>7000016865</v>
      </c>
      <c r="C54" s="538">
        <v>370</v>
      </c>
      <c r="D54" s="538" t="s">
        <v>538</v>
      </c>
      <c r="E54" s="538">
        <v>1000036855</v>
      </c>
      <c r="F54" s="530" t="s">
        <v>573</v>
      </c>
      <c r="G54" s="538" t="s">
        <v>476</v>
      </c>
      <c r="H54" s="538">
        <v>240</v>
      </c>
      <c r="I54" s="539"/>
      <c r="J54" s="540" t="str">
        <f t="shared" ref="J54:J135" si="2">IF(I54=0, "INCLUDED", IF(ISERROR(I54*H54), I54, I54*H54))</f>
        <v>INCLUDED</v>
      </c>
    </row>
    <row r="55" spans="1:10" ht="31.2">
      <c r="A55" s="757">
        <v>38</v>
      </c>
      <c r="B55" s="538">
        <v>7000016865</v>
      </c>
      <c r="C55" s="538">
        <v>380</v>
      </c>
      <c r="D55" s="538" t="s">
        <v>538</v>
      </c>
      <c r="E55" s="538">
        <v>1000036825</v>
      </c>
      <c r="F55" s="530" t="s">
        <v>574</v>
      </c>
      <c r="G55" s="538" t="s">
        <v>476</v>
      </c>
      <c r="H55" s="538">
        <v>984</v>
      </c>
      <c r="I55" s="539"/>
      <c r="J55" s="540" t="str">
        <f t="shared" si="2"/>
        <v>INCLUDED</v>
      </c>
    </row>
    <row r="56" spans="1:10" ht="31.2">
      <c r="A56" s="757">
        <v>39</v>
      </c>
      <c r="B56" s="538">
        <v>7000016865</v>
      </c>
      <c r="C56" s="538">
        <v>390</v>
      </c>
      <c r="D56" s="538" t="s">
        <v>538</v>
      </c>
      <c r="E56" s="538">
        <v>1000036825</v>
      </c>
      <c r="F56" s="530" t="s">
        <v>574</v>
      </c>
      <c r="G56" s="538" t="s">
        <v>476</v>
      </c>
      <c r="H56" s="538">
        <v>192</v>
      </c>
      <c r="I56" s="539"/>
      <c r="J56" s="540" t="str">
        <f t="shared" si="2"/>
        <v>INCLUDED</v>
      </c>
    </row>
    <row r="57" spans="1:10" ht="31.2">
      <c r="A57" s="757">
        <v>40</v>
      </c>
      <c r="B57" s="538">
        <v>7000016865</v>
      </c>
      <c r="C57" s="538">
        <v>400</v>
      </c>
      <c r="D57" s="538" t="s">
        <v>538</v>
      </c>
      <c r="E57" s="538">
        <v>1000036856</v>
      </c>
      <c r="F57" s="530" t="s">
        <v>575</v>
      </c>
      <c r="G57" s="538" t="s">
        <v>476</v>
      </c>
      <c r="H57" s="538">
        <v>120</v>
      </c>
      <c r="I57" s="539"/>
      <c r="J57" s="540" t="str">
        <f t="shared" si="2"/>
        <v>INCLUDED</v>
      </c>
    </row>
    <row r="58" spans="1:10" ht="31.2">
      <c r="A58" s="757">
        <v>41</v>
      </c>
      <c r="B58" s="538">
        <v>7000016865</v>
      </c>
      <c r="C58" s="538">
        <v>410</v>
      </c>
      <c r="D58" s="538" t="s">
        <v>538</v>
      </c>
      <c r="E58" s="538">
        <v>1000036856</v>
      </c>
      <c r="F58" s="530" t="s">
        <v>575</v>
      </c>
      <c r="G58" s="538" t="s">
        <v>476</v>
      </c>
      <c r="H58" s="538">
        <v>24</v>
      </c>
      <c r="I58" s="539"/>
      <c r="J58" s="540" t="str">
        <f t="shared" si="2"/>
        <v>INCLUDED</v>
      </c>
    </row>
    <row r="59" spans="1:10">
      <c r="A59" s="757">
        <v>42</v>
      </c>
      <c r="B59" s="538">
        <v>7000016865</v>
      </c>
      <c r="C59" s="538">
        <v>420</v>
      </c>
      <c r="D59" s="538" t="s">
        <v>539</v>
      </c>
      <c r="E59" s="538">
        <v>1000036839</v>
      </c>
      <c r="F59" s="530" t="s">
        <v>576</v>
      </c>
      <c r="G59" s="538" t="s">
        <v>476</v>
      </c>
      <c r="H59" s="538">
        <v>550</v>
      </c>
      <c r="I59" s="539"/>
      <c r="J59" s="540" t="str">
        <f t="shared" si="2"/>
        <v>INCLUDED</v>
      </c>
    </row>
    <row r="60" spans="1:10">
      <c r="A60" s="757">
        <v>43</v>
      </c>
      <c r="B60" s="538">
        <v>7000016865</v>
      </c>
      <c r="C60" s="538">
        <v>430</v>
      </c>
      <c r="D60" s="538" t="s">
        <v>539</v>
      </c>
      <c r="E60" s="538">
        <v>1000036839</v>
      </c>
      <c r="F60" s="530" t="s">
        <v>576</v>
      </c>
      <c r="G60" s="538" t="s">
        <v>476</v>
      </c>
      <c r="H60" s="538">
        <v>50</v>
      </c>
      <c r="I60" s="539"/>
      <c r="J60" s="540" t="str">
        <f t="shared" si="2"/>
        <v>INCLUDED</v>
      </c>
    </row>
    <row r="61" spans="1:10">
      <c r="A61" s="757">
        <v>44</v>
      </c>
      <c r="B61" s="538">
        <v>7000016865</v>
      </c>
      <c r="C61" s="538">
        <v>440</v>
      </c>
      <c r="D61" s="538" t="s">
        <v>539</v>
      </c>
      <c r="E61" s="538">
        <v>1000036851</v>
      </c>
      <c r="F61" s="530" t="s">
        <v>577</v>
      </c>
      <c r="G61" s="538" t="s">
        <v>476</v>
      </c>
      <c r="H61" s="538">
        <v>184</v>
      </c>
      <c r="I61" s="539"/>
      <c r="J61" s="540" t="str">
        <f t="shared" si="2"/>
        <v>INCLUDED</v>
      </c>
    </row>
    <row r="62" spans="1:10">
      <c r="A62" s="757">
        <v>45</v>
      </c>
      <c r="B62" s="538">
        <v>7000016865</v>
      </c>
      <c r="C62" s="538">
        <v>450</v>
      </c>
      <c r="D62" s="538" t="s">
        <v>539</v>
      </c>
      <c r="E62" s="538">
        <v>1000036851</v>
      </c>
      <c r="F62" s="530" t="s">
        <v>577</v>
      </c>
      <c r="G62" s="538" t="s">
        <v>476</v>
      </c>
      <c r="H62" s="538">
        <v>50</v>
      </c>
      <c r="I62" s="539"/>
      <c r="J62" s="540" t="str">
        <f t="shared" si="2"/>
        <v>INCLUDED</v>
      </c>
    </row>
    <row r="63" spans="1:10">
      <c r="A63" s="757">
        <v>46</v>
      </c>
      <c r="B63" s="538">
        <v>7000016865</v>
      </c>
      <c r="C63" s="538">
        <v>460</v>
      </c>
      <c r="D63" s="538" t="s">
        <v>539</v>
      </c>
      <c r="E63" s="538">
        <v>1000036854</v>
      </c>
      <c r="F63" s="530" t="s">
        <v>578</v>
      </c>
      <c r="G63" s="538" t="s">
        <v>476</v>
      </c>
      <c r="H63" s="538">
        <v>9408</v>
      </c>
      <c r="I63" s="539"/>
      <c r="J63" s="540" t="str">
        <f t="shared" si="2"/>
        <v>INCLUDED</v>
      </c>
    </row>
    <row r="64" spans="1:10">
      <c r="A64" s="757">
        <v>47</v>
      </c>
      <c r="B64" s="538">
        <v>7000016865</v>
      </c>
      <c r="C64" s="538">
        <v>470</v>
      </c>
      <c r="D64" s="538" t="s">
        <v>539</v>
      </c>
      <c r="E64" s="538">
        <v>1000036854</v>
      </c>
      <c r="F64" s="530" t="s">
        <v>578</v>
      </c>
      <c r="G64" s="538" t="s">
        <v>476</v>
      </c>
      <c r="H64" s="538">
        <v>1008</v>
      </c>
      <c r="I64" s="539"/>
      <c r="J64" s="540" t="str">
        <f t="shared" si="2"/>
        <v>INCLUDED</v>
      </c>
    </row>
    <row r="65" spans="1:10">
      <c r="A65" s="757">
        <v>48</v>
      </c>
      <c r="B65" s="538">
        <v>7000016865</v>
      </c>
      <c r="C65" s="538">
        <v>480</v>
      </c>
      <c r="D65" s="538" t="s">
        <v>539</v>
      </c>
      <c r="E65" s="538">
        <v>1000036852</v>
      </c>
      <c r="F65" s="530" t="s">
        <v>579</v>
      </c>
      <c r="G65" s="538" t="s">
        <v>476</v>
      </c>
      <c r="H65" s="538">
        <v>720</v>
      </c>
      <c r="I65" s="539"/>
      <c r="J65" s="540" t="str">
        <f t="shared" si="2"/>
        <v>INCLUDED</v>
      </c>
    </row>
    <row r="66" spans="1:10">
      <c r="A66" s="757">
        <v>49</v>
      </c>
      <c r="B66" s="538">
        <v>7000016865</v>
      </c>
      <c r="C66" s="538">
        <v>490</v>
      </c>
      <c r="D66" s="538" t="s">
        <v>539</v>
      </c>
      <c r="E66" s="538">
        <v>1000036852</v>
      </c>
      <c r="F66" s="530" t="s">
        <v>579</v>
      </c>
      <c r="G66" s="538" t="s">
        <v>476</v>
      </c>
      <c r="H66" s="538">
        <v>72</v>
      </c>
      <c r="I66" s="539"/>
      <c r="J66" s="540" t="str">
        <f t="shared" si="2"/>
        <v>INCLUDED</v>
      </c>
    </row>
    <row r="67" spans="1:10">
      <c r="A67" s="757">
        <v>50</v>
      </c>
      <c r="B67" s="538">
        <v>7000016865</v>
      </c>
      <c r="C67" s="538">
        <v>500</v>
      </c>
      <c r="D67" s="538" t="s">
        <v>540</v>
      </c>
      <c r="E67" s="538">
        <v>1000017587</v>
      </c>
      <c r="F67" s="530" t="s">
        <v>475</v>
      </c>
      <c r="G67" s="538" t="s">
        <v>476</v>
      </c>
      <c r="H67" s="538">
        <v>106</v>
      </c>
      <c r="I67" s="539"/>
      <c r="J67" s="540" t="str">
        <f t="shared" si="2"/>
        <v>INCLUDED</v>
      </c>
    </row>
    <row r="68" spans="1:10">
      <c r="A68" s="757">
        <v>51</v>
      </c>
      <c r="B68" s="538">
        <v>7000016865</v>
      </c>
      <c r="C68" s="538">
        <v>510</v>
      </c>
      <c r="D68" s="538" t="s">
        <v>540</v>
      </c>
      <c r="E68" s="538">
        <v>1000045873</v>
      </c>
      <c r="F68" s="530" t="s">
        <v>580</v>
      </c>
      <c r="G68" s="538" t="s">
        <v>476</v>
      </c>
      <c r="H68" s="538">
        <v>2</v>
      </c>
      <c r="I68" s="539"/>
      <c r="J68" s="540" t="str">
        <f t="shared" si="2"/>
        <v>INCLUDED</v>
      </c>
    </row>
    <row r="69" spans="1:10">
      <c r="A69" s="757">
        <v>52</v>
      </c>
      <c r="B69" s="538">
        <v>7000016865</v>
      </c>
      <c r="C69" s="538">
        <v>520</v>
      </c>
      <c r="D69" s="538" t="s">
        <v>540</v>
      </c>
      <c r="E69" s="538">
        <v>1000010003</v>
      </c>
      <c r="F69" s="530" t="s">
        <v>477</v>
      </c>
      <c r="G69" s="538" t="s">
        <v>476</v>
      </c>
      <c r="H69" s="538">
        <v>2</v>
      </c>
      <c r="I69" s="539"/>
      <c r="J69" s="540" t="str">
        <f t="shared" si="2"/>
        <v>INCLUDED</v>
      </c>
    </row>
    <row r="70" spans="1:10">
      <c r="A70" s="757">
        <v>53</v>
      </c>
      <c r="B70" s="538">
        <v>7000016865</v>
      </c>
      <c r="C70" s="538">
        <v>530</v>
      </c>
      <c r="D70" s="538" t="s">
        <v>540</v>
      </c>
      <c r="E70" s="538">
        <v>1000048808</v>
      </c>
      <c r="F70" s="530" t="s">
        <v>581</v>
      </c>
      <c r="G70" s="538" t="s">
        <v>476</v>
      </c>
      <c r="H70" s="538">
        <v>1</v>
      </c>
      <c r="I70" s="539"/>
      <c r="J70" s="540" t="str">
        <f t="shared" si="2"/>
        <v>INCLUDED</v>
      </c>
    </row>
    <row r="71" spans="1:10">
      <c r="A71" s="757">
        <v>54</v>
      </c>
      <c r="B71" s="538">
        <v>7000016865</v>
      </c>
      <c r="C71" s="538">
        <v>540</v>
      </c>
      <c r="D71" s="538" t="s">
        <v>540</v>
      </c>
      <c r="E71" s="538">
        <v>1000038340</v>
      </c>
      <c r="F71" s="530" t="s">
        <v>478</v>
      </c>
      <c r="G71" s="538" t="s">
        <v>476</v>
      </c>
      <c r="H71" s="538">
        <v>108</v>
      </c>
      <c r="I71" s="539"/>
      <c r="J71" s="540" t="str">
        <f t="shared" si="2"/>
        <v>INCLUDED</v>
      </c>
    </row>
    <row r="72" spans="1:10" ht="31.2">
      <c r="A72" s="757">
        <v>55</v>
      </c>
      <c r="B72" s="538">
        <v>7000016865</v>
      </c>
      <c r="C72" s="538">
        <v>550</v>
      </c>
      <c r="D72" s="538" t="s">
        <v>540</v>
      </c>
      <c r="E72" s="538">
        <v>1000019718</v>
      </c>
      <c r="F72" s="530" t="s">
        <v>479</v>
      </c>
      <c r="G72" s="538" t="s">
        <v>476</v>
      </c>
      <c r="H72" s="538">
        <v>6</v>
      </c>
      <c r="I72" s="539"/>
      <c r="J72" s="540" t="str">
        <f t="shared" si="2"/>
        <v>INCLUDED</v>
      </c>
    </row>
    <row r="73" spans="1:10" ht="31.2">
      <c r="A73" s="757">
        <v>56</v>
      </c>
      <c r="B73" s="538">
        <v>7000016865</v>
      </c>
      <c r="C73" s="538">
        <v>560</v>
      </c>
      <c r="D73" s="538" t="s">
        <v>540</v>
      </c>
      <c r="E73" s="538">
        <v>1000057380</v>
      </c>
      <c r="F73" s="530" t="s">
        <v>582</v>
      </c>
      <c r="G73" s="538" t="s">
        <v>476</v>
      </c>
      <c r="H73" s="538">
        <v>1</v>
      </c>
      <c r="I73" s="539"/>
      <c r="J73" s="540" t="str">
        <f t="shared" si="2"/>
        <v>INCLUDED</v>
      </c>
    </row>
    <row r="74" spans="1:10">
      <c r="A74" s="757">
        <v>57</v>
      </c>
      <c r="B74" s="538">
        <v>7000016865</v>
      </c>
      <c r="C74" s="538">
        <v>570</v>
      </c>
      <c r="D74" s="538" t="s">
        <v>540</v>
      </c>
      <c r="E74" s="538">
        <v>1000034135</v>
      </c>
      <c r="F74" s="530" t="s">
        <v>583</v>
      </c>
      <c r="G74" s="538" t="s">
        <v>514</v>
      </c>
      <c r="H74" s="538">
        <v>0.5</v>
      </c>
      <c r="I74" s="539"/>
      <c r="J74" s="540" t="str">
        <f t="shared" si="2"/>
        <v>INCLUDED</v>
      </c>
    </row>
    <row r="75" spans="1:10">
      <c r="A75" s="757">
        <v>58</v>
      </c>
      <c r="B75" s="538">
        <v>7000016865</v>
      </c>
      <c r="C75" s="538">
        <v>580</v>
      </c>
      <c r="D75" s="538" t="s">
        <v>541</v>
      </c>
      <c r="E75" s="538">
        <v>1000010539</v>
      </c>
      <c r="F75" s="530" t="s">
        <v>584</v>
      </c>
      <c r="G75" s="538" t="s">
        <v>476</v>
      </c>
      <c r="H75" s="538">
        <v>112</v>
      </c>
      <c r="I75" s="539"/>
      <c r="J75" s="540" t="str">
        <f t="shared" si="2"/>
        <v>INCLUDED</v>
      </c>
    </row>
    <row r="76" spans="1:10">
      <c r="A76" s="757">
        <v>59</v>
      </c>
      <c r="B76" s="538">
        <v>7000016865</v>
      </c>
      <c r="C76" s="538">
        <v>590</v>
      </c>
      <c r="D76" s="538" t="s">
        <v>541</v>
      </c>
      <c r="E76" s="538">
        <v>1000015971</v>
      </c>
      <c r="F76" s="530" t="s">
        <v>585</v>
      </c>
      <c r="G76" s="538" t="s">
        <v>476</v>
      </c>
      <c r="H76" s="538">
        <v>112</v>
      </c>
      <c r="I76" s="539"/>
      <c r="J76" s="540" t="str">
        <f t="shared" si="2"/>
        <v>INCLUDED</v>
      </c>
    </row>
    <row r="77" spans="1:10">
      <c r="A77" s="757">
        <v>60</v>
      </c>
      <c r="B77" s="538">
        <v>7000016865</v>
      </c>
      <c r="C77" s="538">
        <v>600</v>
      </c>
      <c r="D77" s="538" t="s">
        <v>541</v>
      </c>
      <c r="E77" s="538">
        <v>1000017508</v>
      </c>
      <c r="F77" s="530" t="s">
        <v>480</v>
      </c>
      <c r="G77" s="538" t="s">
        <v>481</v>
      </c>
      <c r="H77" s="538">
        <v>448</v>
      </c>
      <c r="I77" s="539"/>
      <c r="J77" s="540" t="str">
        <f t="shared" si="2"/>
        <v>INCLUDED</v>
      </c>
    </row>
    <row r="78" spans="1:10">
      <c r="A78" s="757">
        <v>61</v>
      </c>
      <c r="B78" s="538">
        <v>7000016865</v>
      </c>
      <c r="C78" s="538">
        <v>610</v>
      </c>
      <c r="D78" s="538" t="s">
        <v>541</v>
      </c>
      <c r="E78" s="538">
        <v>1000009119</v>
      </c>
      <c r="F78" s="530" t="s">
        <v>482</v>
      </c>
      <c r="G78" s="538" t="s">
        <v>481</v>
      </c>
      <c r="H78" s="538">
        <v>224</v>
      </c>
      <c r="I78" s="539"/>
      <c r="J78" s="540" t="str">
        <f t="shared" si="2"/>
        <v>INCLUDED</v>
      </c>
    </row>
    <row r="79" spans="1:10">
      <c r="A79" s="757">
        <v>62</v>
      </c>
      <c r="B79" s="538">
        <v>7000016865</v>
      </c>
      <c r="C79" s="538">
        <v>620</v>
      </c>
      <c r="D79" s="538" t="s">
        <v>541</v>
      </c>
      <c r="E79" s="538">
        <v>1000006779</v>
      </c>
      <c r="F79" s="530" t="s">
        <v>483</v>
      </c>
      <c r="G79" s="538" t="s">
        <v>481</v>
      </c>
      <c r="H79" s="538">
        <v>112</v>
      </c>
      <c r="I79" s="539"/>
      <c r="J79" s="540" t="str">
        <f t="shared" si="2"/>
        <v>INCLUDED</v>
      </c>
    </row>
    <row r="80" spans="1:10">
      <c r="A80" s="757">
        <v>63</v>
      </c>
      <c r="B80" s="538">
        <v>7000016865</v>
      </c>
      <c r="C80" s="538">
        <v>630</v>
      </c>
      <c r="D80" s="538" t="s">
        <v>541</v>
      </c>
      <c r="E80" s="538">
        <v>1000007735</v>
      </c>
      <c r="F80" s="530" t="s">
        <v>586</v>
      </c>
      <c r="G80" s="538" t="s">
        <v>481</v>
      </c>
      <c r="H80" s="538">
        <v>368</v>
      </c>
      <c r="I80" s="539"/>
      <c r="J80" s="540" t="str">
        <f t="shared" si="2"/>
        <v>INCLUDED</v>
      </c>
    </row>
    <row r="81" spans="1:10">
      <c r="A81" s="757">
        <v>64</v>
      </c>
      <c r="B81" s="538">
        <v>7000016865</v>
      </c>
      <c r="C81" s="538">
        <v>640</v>
      </c>
      <c r="D81" s="538" t="s">
        <v>541</v>
      </c>
      <c r="E81" s="538">
        <v>1000045871</v>
      </c>
      <c r="F81" s="530" t="s">
        <v>587</v>
      </c>
      <c r="G81" s="538" t="s">
        <v>476</v>
      </c>
      <c r="H81" s="538">
        <v>315</v>
      </c>
      <c r="I81" s="539"/>
      <c r="J81" s="540" t="str">
        <f t="shared" si="2"/>
        <v>INCLUDED</v>
      </c>
    </row>
    <row r="82" spans="1:10">
      <c r="A82" s="757">
        <v>65</v>
      </c>
      <c r="B82" s="538">
        <v>7000016865</v>
      </c>
      <c r="C82" s="538">
        <v>860</v>
      </c>
      <c r="D82" s="538" t="s">
        <v>542</v>
      </c>
      <c r="E82" s="538">
        <v>1000019903</v>
      </c>
      <c r="F82" s="530" t="s">
        <v>522</v>
      </c>
      <c r="G82" s="538" t="s">
        <v>476</v>
      </c>
      <c r="H82" s="538">
        <v>70</v>
      </c>
      <c r="I82" s="539"/>
      <c r="J82" s="540" t="str">
        <f t="shared" si="2"/>
        <v>INCLUDED</v>
      </c>
    </row>
    <row r="83" spans="1:10">
      <c r="A83" s="757">
        <v>66</v>
      </c>
      <c r="B83" s="538">
        <v>7000016865</v>
      </c>
      <c r="C83" s="538">
        <v>870</v>
      </c>
      <c r="D83" s="538" t="s">
        <v>542</v>
      </c>
      <c r="E83" s="538">
        <v>1000016663</v>
      </c>
      <c r="F83" s="530" t="s">
        <v>523</v>
      </c>
      <c r="G83" s="538" t="s">
        <v>481</v>
      </c>
      <c r="H83" s="538">
        <v>34</v>
      </c>
      <c r="I83" s="539"/>
      <c r="J83" s="540" t="str">
        <f t="shared" si="2"/>
        <v>INCLUDED</v>
      </c>
    </row>
    <row r="84" spans="1:10">
      <c r="A84" s="757">
        <v>67</v>
      </c>
      <c r="B84" s="538">
        <v>7000016865</v>
      </c>
      <c r="C84" s="538">
        <v>890</v>
      </c>
      <c r="D84" s="538" t="s">
        <v>543</v>
      </c>
      <c r="E84" s="538">
        <v>1000030940</v>
      </c>
      <c r="F84" s="530" t="s">
        <v>485</v>
      </c>
      <c r="G84" s="538" t="s">
        <v>484</v>
      </c>
      <c r="H84" s="538">
        <v>90.9</v>
      </c>
      <c r="I84" s="539"/>
      <c r="J84" s="540" t="str">
        <f t="shared" si="2"/>
        <v>INCLUDED</v>
      </c>
    </row>
    <row r="85" spans="1:10">
      <c r="A85" s="757">
        <v>68</v>
      </c>
      <c r="B85" s="538">
        <v>7000016865</v>
      </c>
      <c r="C85" s="538">
        <v>900</v>
      </c>
      <c r="D85" s="538" t="s">
        <v>543</v>
      </c>
      <c r="E85" s="538">
        <v>1000020444</v>
      </c>
      <c r="F85" s="530" t="s">
        <v>588</v>
      </c>
      <c r="G85" s="538" t="s">
        <v>476</v>
      </c>
      <c r="H85" s="538">
        <v>162</v>
      </c>
      <c r="I85" s="539"/>
      <c r="J85" s="540" t="str">
        <f t="shared" si="2"/>
        <v>INCLUDED</v>
      </c>
    </row>
    <row r="86" spans="1:10">
      <c r="A86" s="757">
        <v>69</v>
      </c>
      <c r="B86" s="538">
        <v>7000016865</v>
      </c>
      <c r="C86" s="538">
        <v>910</v>
      </c>
      <c r="D86" s="538" t="s">
        <v>543</v>
      </c>
      <c r="E86" s="538">
        <v>1000033144</v>
      </c>
      <c r="F86" s="530" t="s">
        <v>486</v>
      </c>
      <c r="G86" s="538" t="s">
        <v>481</v>
      </c>
      <c r="H86" s="538">
        <v>2</v>
      </c>
      <c r="I86" s="539"/>
      <c r="J86" s="540" t="str">
        <f t="shared" si="2"/>
        <v>INCLUDED</v>
      </c>
    </row>
    <row r="87" spans="1:10" ht="31.2">
      <c r="A87" s="757">
        <v>70</v>
      </c>
      <c r="B87" s="538">
        <v>7000016865</v>
      </c>
      <c r="C87" s="538">
        <v>920</v>
      </c>
      <c r="D87" s="538" t="s">
        <v>543</v>
      </c>
      <c r="E87" s="538">
        <v>1000031039</v>
      </c>
      <c r="F87" s="530" t="s">
        <v>488</v>
      </c>
      <c r="G87" s="538" t="s">
        <v>481</v>
      </c>
      <c r="H87" s="538">
        <v>18</v>
      </c>
      <c r="I87" s="539"/>
      <c r="J87" s="540" t="str">
        <f t="shared" si="2"/>
        <v>INCLUDED</v>
      </c>
    </row>
    <row r="88" spans="1:10">
      <c r="A88" s="757">
        <v>71</v>
      </c>
      <c r="B88" s="538">
        <v>7000016865</v>
      </c>
      <c r="C88" s="538">
        <v>930</v>
      </c>
      <c r="D88" s="538" t="s">
        <v>543</v>
      </c>
      <c r="E88" s="538">
        <v>1000033146</v>
      </c>
      <c r="F88" s="530" t="s">
        <v>489</v>
      </c>
      <c r="G88" s="538" t="s">
        <v>481</v>
      </c>
      <c r="H88" s="538">
        <v>20</v>
      </c>
      <c r="I88" s="539"/>
      <c r="J88" s="540" t="str">
        <f t="shared" si="2"/>
        <v>INCLUDED</v>
      </c>
    </row>
    <row r="89" spans="1:10" ht="31.2">
      <c r="A89" s="757">
        <v>72</v>
      </c>
      <c r="B89" s="538">
        <v>7000016865</v>
      </c>
      <c r="C89" s="538">
        <v>940</v>
      </c>
      <c r="D89" s="538" t="s">
        <v>543</v>
      </c>
      <c r="E89" s="538">
        <v>1000031041</v>
      </c>
      <c r="F89" s="530" t="s">
        <v>487</v>
      </c>
      <c r="G89" s="538" t="s">
        <v>481</v>
      </c>
      <c r="H89" s="538">
        <v>1</v>
      </c>
      <c r="I89" s="539"/>
      <c r="J89" s="540" t="str">
        <f t="shared" si="2"/>
        <v>INCLUDED</v>
      </c>
    </row>
    <row r="90" spans="1:10">
      <c r="A90" s="757">
        <v>73</v>
      </c>
      <c r="B90" s="538">
        <v>7000016865</v>
      </c>
      <c r="C90" s="538">
        <v>950</v>
      </c>
      <c r="D90" s="538" t="s">
        <v>543</v>
      </c>
      <c r="E90" s="538">
        <v>1000022417</v>
      </c>
      <c r="F90" s="530" t="s">
        <v>490</v>
      </c>
      <c r="G90" s="538" t="s">
        <v>476</v>
      </c>
      <c r="H90" s="538">
        <v>484</v>
      </c>
      <c r="I90" s="539"/>
      <c r="J90" s="540" t="str">
        <f t="shared" si="2"/>
        <v>INCLUDED</v>
      </c>
    </row>
    <row r="91" spans="1:10">
      <c r="A91" s="757">
        <v>74</v>
      </c>
      <c r="B91" s="538">
        <v>7000016865</v>
      </c>
      <c r="C91" s="538">
        <v>960</v>
      </c>
      <c r="D91" s="538" t="s">
        <v>543</v>
      </c>
      <c r="E91" s="538">
        <v>1000010817</v>
      </c>
      <c r="F91" s="530" t="s">
        <v>491</v>
      </c>
      <c r="G91" s="538" t="s">
        <v>476</v>
      </c>
      <c r="H91" s="538">
        <v>1022</v>
      </c>
      <c r="I91" s="539"/>
      <c r="J91" s="540" t="str">
        <f t="shared" si="2"/>
        <v>INCLUDED</v>
      </c>
    </row>
    <row r="92" spans="1:10">
      <c r="A92" s="757">
        <v>75</v>
      </c>
      <c r="B92" s="538">
        <v>7000016865</v>
      </c>
      <c r="C92" s="538">
        <v>970</v>
      </c>
      <c r="D92" s="538" t="s">
        <v>543</v>
      </c>
      <c r="E92" s="538">
        <v>1000014198</v>
      </c>
      <c r="F92" s="530" t="s">
        <v>492</v>
      </c>
      <c r="G92" s="538" t="s">
        <v>476</v>
      </c>
      <c r="H92" s="538">
        <v>21</v>
      </c>
      <c r="I92" s="539"/>
      <c r="J92" s="540" t="str">
        <f t="shared" si="2"/>
        <v>INCLUDED</v>
      </c>
    </row>
    <row r="93" spans="1:10">
      <c r="A93" s="757">
        <v>76</v>
      </c>
      <c r="B93" s="538">
        <v>7000016865</v>
      </c>
      <c r="C93" s="538">
        <v>980</v>
      </c>
      <c r="D93" s="538" t="s">
        <v>543</v>
      </c>
      <c r="E93" s="538">
        <v>1000030940</v>
      </c>
      <c r="F93" s="530" t="s">
        <v>485</v>
      </c>
      <c r="G93" s="538" t="s">
        <v>484</v>
      </c>
      <c r="H93" s="538">
        <v>3.18</v>
      </c>
      <c r="I93" s="539"/>
      <c r="J93" s="540" t="str">
        <f t="shared" si="2"/>
        <v>INCLUDED</v>
      </c>
    </row>
    <row r="94" spans="1:10">
      <c r="A94" s="757">
        <v>77</v>
      </c>
      <c r="B94" s="538">
        <v>7000016865</v>
      </c>
      <c r="C94" s="538">
        <v>990</v>
      </c>
      <c r="D94" s="538" t="s">
        <v>543</v>
      </c>
      <c r="E94" s="538">
        <v>1000020444</v>
      </c>
      <c r="F94" s="530" t="s">
        <v>588</v>
      </c>
      <c r="G94" s="538" t="s">
        <v>476</v>
      </c>
      <c r="H94" s="538">
        <v>6</v>
      </c>
      <c r="I94" s="539"/>
      <c r="J94" s="540" t="str">
        <f t="shared" si="2"/>
        <v>INCLUDED</v>
      </c>
    </row>
    <row r="95" spans="1:10">
      <c r="A95" s="757">
        <v>78</v>
      </c>
      <c r="B95" s="538">
        <v>7000016865</v>
      </c>
      <c r="C95" s="538">
        <v>1000</v>
      </c>
      <c r="D95" s="538" t="s">
        <v>543</v>
      </c>
      <c r="E95" s="538">
        <v>1000033144</v>
      </c>
      <c r="F95" s="530" t="s">
        <v>486</v>
      </c>
      <c r="G95" s="538" t="s">
        <v>481</v>
      </c>
      <c r="H95" s="538">
        <v>1</v>
      </c>
      <c r="I95" s="539"/>
      <c r="J95" s="540" t="str">
        <f t="shared" si="2"/>
        <v>INCLUDED</v>
      </c>
    </row>
    <row r="96" spans="1:10" ht="31.2">
      <c r="A96" s="757">
        <v>79</v>
      </c>
      <c r="B96" s="538">
        <v>7000016865</v>
      </c>
      <c r="C96" s="538">
        <v>1010</v>
      </c>
      <c r="D96" s="538" t="s">
        <v>543</v>
      </c>
      <c r="E96" s="538">
        <v>1000031039</v>
      </c>
      <c r="F96" s="530" t="s">
        <v>488</v>
      </c>
      <c r="G96" s="538" t="s">
        <v>481</v>
      </c>
      <c r="H96" s="538">
        <v>1</v>
      </c>
      <c r="I96" s="539"/>
      <c r="J96" s="540" t="str">
        <f t="shared" si="2"/>
        <v>INCLUDED</v>
      </c>
    </row>
    <row r="97" spans="1:10">
      <c r="A97" s="757">
        <v>80</v>
      </c>
      <c r="B97" s="538">
        <v>7000016865</v>
      </c>
      <c r="C97" s="538">
        <v>1020</v>
      </c>
      <c r="D97" s="538" t="s">
        <v>543</v>
      </c>
      <c r="E97" s="538">
        <v>1000033146</v>
      </c>
      <c r="F97" s="530" t="s">
        <v>489</v>
      </c>
      <c r="G97" s="538" t="s">
        <v>481</v>
      </c>
      <c r="H97" s="538">
        <v>1</v>
      </c>
      <c r="I97" s="539"/>
      <c r="J97" s="540" t="str">
        <f t="shared" si="2"/>
        <v>INCLUDED</v>
      </c>
    </row>
    <row r="98" spans="1:10" ht="31.2">
      <c r="A98" s="757">
        <v>81</v>
      </c>
      <c r="B98" s="538">
        <v>7000016865</v>
      </c>
      <c r="C98" s="538">
        <v>1030</v>
      </c>
      <c r="D98" s="538" t="s">
        <v>543</v>
      </c>
      <c r="E98" s="538">
        <v>1000031041</v>
      </c>
      <c r="F98" s="530" t="s">
        <v>487</v>
      </c>
      <c r="G98" s="538" t="s">
        <v>481</v>
      </c>
      <c r="H98" s="538">
        <v>1</v>
      </c>
      <c r="I98" s="539"/>
      <c r="J98" s="540" t="str">
        <f t="shared" si="2"/>
        <v>INCLUDED</v>
      </c>
    </row>
    <row r="99" spans="1:10">
      <c r="A99" s="757">
        <v>82</v>
      </c>
      <c r="B99" s="538">
        <v>7000016865</v>
      </c>
      <c r="C99" s="538">
        <v>1040</v>
      </c>
      <c r="D99" s="538" t="s">
        <v>543</v>
      </c>
      <c r="E99" s="538">
        <v>1000022417</v>
      </c>
      <c r="F99" s="530" t="s">
        <v>490</v>
      </c>
      <c r="G99" s="538" t="s">
        <v>476</v>
      </c>
      <c r="H99" s="538">
        <v>17</v>
      </c>
      <c r="I99" s="539"/>
      <c r="J99" s="540" t="str">
        <f t="shared" si="2"/>
        <v>INCLUDED</v>
      </c>
    </row>
    <row r="100" spans="1:10">
      <c r="A100" s="757">
        <v>83</v>
      </c>
      <c r="B100" s="538">
        <v>7000016865</v>
      </c>
      <c r="C100" s="538">
        <v>1050</v>
      </c>
      <c r="D100" s="538" t="s">
        <v>543</v>
      </c>
      <c r="E100" s="538">
        <v>1000010817</v>
      </c>
      <c r="F100" s="530" t="s">
        <v>491</v>
      </c>
      <c r="G100" s="538" t="s">
        <v>476</v>
      </c>
      <c r="H100" s="538">
        <v>36</v>
      </c>
      <c r="I100" s="539"/>
      <c r="J100" s="540" t="str">
        <f t="shared" si="2"/>
        <v>INCLUDED</v>
      </c>
    </row>
    <row r="101" spans="1:10">
      <c r="A101" s="757">
        <v>84</v>
      </c>
      <c r="B101" s="538">
        <v>7000016865</v>
      </c>
      <c r="C101" s="538">
        <v>1060</v>
      </c>
      <c r="D101" s="538" t="s">
        <v>543</v>
      </c>
      <c r="E101" s="538">
        <v>1000014198</v>
      </c>
      <c r="F101" s="530" t="s">
        <v>492</v>
      </c>
      <c r="G101" s="538" t="s">
        <v>476</v>
      </c>
      <c r="H101" s="538">
        <v>1</v>
      </c>
      <c r="I101" s="539"/>
      <c r="J101" s="540" t="str">
        <f t="shared" si="2"/>
        <v>INCLUDED</v>
      </c>
    </row>
    <row r="102" spans="1:10" ht="78">
      <c r="A102" s="757">
        <v>85</v>
      </c>
      <c r="B102" s="538">
        <v>7000016865</v>
      </c>
      <c r="C102" s="538">
        <v>1090</v>
      </c>
      <c r="D102" s="538" t="s">
        <v>535</v>
      </c>
      <c r="E102" s="538">
        <v>1000059520</v>
      </c>
      <c r="F102" s="530" t="s">
        <v>551</v>
      </c>
      <c r="G102" s="538" t="s">
        <v>476</v>
      </c>
      <c r="H102" s="538">
        <v>1</v>
      </c>
      <c r="I102" s="539"/>
      <c r="J102" s="540" t="str">
        <f t="shared" si="2"/>
        <v>INCLUDED</v>
      </c>
    </row>
    <row r="103" spans="1:10" ht="78">
      <c r="A103" s="757">
        <v>86</v>
      </c>
      <c r="B103" s="538">
        <v>7000016865</v>
      </c>
      <c r="C103" s="538">
        <v>1100</v>
      </c>
      <c r="D103" s="538" t="s">
        <v>535</v>
      </c>
      <c r="E103" s="538">
        <v>1000059528</v>
      </c>
      <c r="F103" s="530" t="s">
        <v>552</v>
      </c>
      <c r="G103" s="538" t="s">
        <v>476</v>
      </c>
      <c r="H103" s="538">
        <v>2</v>
      </c>
      <c r="I103" s="539"/>
      <c r="J103" s="540" t="str">
        <f t="shared" si="2"/>
        <v>INCLUDED</v>
      </c>
    </row>
    <row r="104" spans="1:10" ht="78">
      <c r="A104" s="757">
        <v>87</v>
      </c>
      <c r="B104" s="538">
        <v>7000016865</v>
      </c>
      <c r="C104" s="538">
        <v>1110</v>
      </c>
      <c r="D104" s="538" t="s">
        <v>535</v>
      </c>
      <c r="E104" s="538">
        <v>1000059540</v>
      </c>
      <c r="F104" s="530" t="s">
        <v>589</v>
      </c>
      <c r="G104" s="538" t="s">
        <v>476</v>
      </c>
      <c r="H104" s="538">
        <v>1</v>
      </c>
      <c r="I104" s="539"/>
      <c r="J104" s="540" t="str">
        <f t="shared" si="2"/>
        <v>INCLUDED</v>
      </c>
    </row>
    <row r="105" spans="1:10" ht="78">
      <c r="A105" s="757">
        <v>88</v>
      </c>
      <c r="B105" s="538">
        <v>7000016865</v>
      </c>
      <c r="C105" s="538">
        <v>1120</v>
      </c>
      <c r="D105" s="538" t="s">
        <v>535</v>
      </c>
      <c r="E105" s="538">
        <v>1000059549</v>
      </c>
      <c r="F105" s="530" t="s">
        <v>556</v>
      </c>
      <c r="G105" s="538" t="s">
        <v>476</v>
      </c>
      <c r="H105" s="538">
        <v>3</v>
      </c>
      <c r="I105" s="539"/>
      <c r="J105" s="540" t="str">
        <f t="shared" si="2"/>
        <v>INCLUDED</v>
      </c>
    </row>
    <row r="106" spans="1:10" ht="78">
      <c r="A106" s="757">
        <v>89</v>
      </c>
      <c r="B106" s="538">
        <v>7000016865</v>
      </c>
      <c r="C106" s="538">
        <v>1130</v>
      </c>
      <c r="D106" s="538" t="s">
        <v>535</v>
      </c>
      <c r="E106" s="538">
        <v>1000059736</v>
      </c>
      <c r="F106" s="530" t="s">
        <v>590</v>
      </c>
      <c r="G106" s="538" t="s">
        <v>476</v>
      </c>
      <c r="H106" s="538">
        <v>1</v>
      </c>
      <c r="I106" s="539"/>
      <c r="J106" s="540" t="str">
        <f t="shared" si="2"/>
        <v>INCLUDED</v>
      </c>
    </row>
    <row r="107" spans="1:10" ht="78">
      <c r="A107" s="757">
        <v>90</v>
      </c>
      <c r="B107" s="538">
        <v>7000016865</v>
      </c>
      <c r="C107" s="538">
        <v>1140</v>
      </c>
      <c r="D107" s="538" t="s">
        <v>535</v>
      </c>
      <c r="E107" s="538">
        <v>1000059737</v>
      </c>
      <c r="F107" s="530" t="s">
        <v>591</v>
      </c>
      <c r="G107" s="538" t="s">
        <v>476</v>
      </c>
      <c r="H107" s="538">
        <v>7</v>
      </c>
      <c r="I107" s="539"/>
      <c r="J107" s="540" t="str">
        <f t="shared" si="2"/>
        <v>INCLUDED</v>
      </c>
    </row>
    <row r="108" spans="1:10" ht="78">
      <c r="A108" s="757">
        <v>91</v>
      </c>
      <c r="B108" s="538">
        <v>7000016865</v>
      </c>
      <c r="C108" s="538">
        <v>1150</v>
      </c>
      <c r="D108" s="538" t="s">
        <v>535</v>
      </c>
      <c r="E108" s="538">
        <v>1000059738</v>
      </c>
      <c r="F108" s="530" t="s">
        <v>592</v>
      </c>
      <c r="G108" s="538" t="s">
        <v>476</v>
      </c>
      <c r="H108" s="538">
        <v>12</v>
      </c>
      <c r="I108" s="539"/>
      <c r="J108" s="540" t="str">
        <f t="shared" si="2"/>
        <v>INCLUDED</v>
      </c>
    </row>
    <row r="109" spans="1:10" ht="78">
      <c r="A109" s="757">
        <v>92</v>
      </c>
      <c r="B109" s="538">
        <v>7000016865</v>
      </c>
      <c r="C109" s="538">
        <v>1160</v>
      </c>
      <c r="D109" s="538" t="s">
        <v>535</v>
      </c>
      <c r="E109" s="538">
        <v>1000059739</v>
      </c>
      <c r="F109" s="530" t="s">
        <v>593</v>
      </c>
      <c r="G109" s="538" t="s">
        <v>476</v>
      </c>
      <c r="H109" s="538">
        <v>31</v>
      </c>
      <c r="I109" s="539"/>
      <c r="J109" s="540" t="str">
        <f t="shared" si="2"/>
        <v>INCLUDED</v>
      </c>
    </row>
    <row r="110" spans="1:10" ht="78">
      <c r="A110" s="757">
        <v>93</v>
      </c>
      <c r="B110" s="538">
        <v>7000016865</v>
      </c>
      <c r="C110" s="538">
        <v>1170</v>
      </c>
      <c r="D110" s="538" t="s">
        <v>535</v>
      </c>
      <c r="E110" s="538">
        <v>1000059870</v>
      </c>
      <c r="F110" s="530" t="s">
        <v>594</v>
      </c>
      <c r="G110" s="538" t="s">
        <v>476</v>
      </c>
      <c r="H110" s="538">
        <v>1</v>
      </c>
      <c r="I110" s="539"/>
      <c r="J110" s="540" t="str">
        <f t="shared" si="2"/>
        <v>INCLUDED</v>
      </c>
    </row>
    <row r="111" spans="1:10" ht="78">
      <c r="A111" s="757">
        <v>94</v>
      </c>
      <c r="B111" s="538">
        <v>7000016865</v>
      </c>
      <c r="C111" s="538">
        <v>1180</v>
      </c>
      <c r="D111" s="538" t="s">
        <v>535</v>
      </c>
      <c r="E111" s="538">
        <v>1000059877</v>
      </c>
      <c r="F111" s="530" t="s">
        <v>595</v>
      </c>
      <c r="G111" s="538" t="s">
        <v>476</v>
      </c>
      <c r="H111" s="538">
        <v>5</v>
      </c>
      <c r="I111" s="539"/>
      <c r="J111" s="540" t="str">
        <f t="shared" si="2"/>
        <v>INCLUDED</v>
      </c>
    </row>
    <row r="112" spans="1:10" ht="78">
      <c r="A112" s="757">
        <v>95</v>
      </c>
      <c r="B112" s="538">
        <v>7000016865</v>
      </c>
      <c r="C112" s="538">
        <v>1190</v>
      </c>
      <c r="D112" s="538" t="s">
        <v>535</v>
      </c>
      <c r="E112" s="538">
        <v>1000059871</v>
      </c>
      <c r="F112" s="530" t="s">
        <v>596</v>
      </c>
      <c r="G112" s="538" t="s">
        <v>476</v>
      </c>
      <c r="H112" s="538">
        <v>1</v>
      </c>
      <c r="I112" s="539"/>
      <c r="J112" s="540" t="str">
        <f t="shared" si="2"/>
        <v>INCLUDED</v>
      </c>
    </row>
    <row r="113" spans="1:10" ht="78">
      <c r="A113" s="757">
        <v>96</v>
      </c>
      <c r="B113" s="538">
        <v>7000016865</v>
      </c>
      <c r="C113" s="538">
        <v>1200</v>
      </c>
      <c r="D113" s="538" t="s">
        <v>535</v>
      </c>
      <c r="E113" s="538">
        <v>1000059878</v>
      </c>
      <c r="F113" s="530" t="s">
        <v>597</v>
      </c>
      <c r="G113" s="538" t="s">
        <v>476</v>
      </c>
      <c r="H113" s="538">
        <v>1</v>
      </c>
      <c r="I113" s="539"/>
      <c r="J113" s="540" t="str">
        <f t="shared" si="2"/>
        <v>INCLUDED</v>
      </c>
    </row>
    <row r="114" spans="1:10" ht="78">
      <c r="A114" s="757">
        <v>97</v>
      </c>
      <c r="B114" s="538">
        <v>7000016865</v>
      </c>
      <c r="C114" s="538">
        <v>1210</v>
      </c>
      <c r="D114" s="538" t="s">
        <v>535</v>
      </c>
      <c r="E114" s="538">
        <v>1000059883</v>
      </c>
      <c r="F114" s="530" t="s">
        <v>598</v>
      </c>
      <c r="G114" s="538" t="s">
        <v>476</v>
      </c>
      <c r="H114" s="538">
        <v>1</v>
      </c>
      <c r="I114" s="539"/>
      <c r="J114" s="540" t="str">
        <f t="shared" si="2"/>
        <v>INCLUDED</v>
      </c>
    </row>
    <row r="115" spans="1:10" ht="78">
      <c r="A115" s="757">
        <v>98</v>
      </c>
      <c r="B115" s="538">
        <v>7000016865</v>
      </c>
      <c r="C115" s="538">
        <v>1220</v>
      </c>
      <c r="D115" s="538" t="s">
        <v>535</v>
      </c>
      <c r="E115" s="538">
        <v>1000059884</v>
      </c>
      <c r="F115" s="530" t="s">
        <v>599</v>
      </c>
      <c r="G115" s="538" t="s">
        <v>476</v>
      </c>
      <c r="H115" s="538">
        <v>7</v>
      </c>
      <c r="I115" s="539"/>
      <c r="J115" s="540" t="str">
        <f t="shared" si="2"/>
        <v>INCLUDED</v>
      </c>
    </row>
    <row r="116" spans="1:10" ht="78">
      <c r="A116" s="757">
        <v>99</v>
      </c>
      <c r="B116" s="538">
        <v>7000016865</v>
      </c>
      <c r="C116" s="538">
        <v>1230</v>
      </c>
      <c r="D116" s="538" t="s">
        <v>535</v>
      </c>
      <c r="E116" s="538">
        <v>1000059885</v>
      </c>
      <c r="F116" s="530" t="s">
        <v>600</v>
      </c>
      <c r="G116" s="538" t="s">
        <v>476</v>
      </c>
      <c r="H116" s="538">
        <v>6</v>
      </c>
      <c r="I116" s="539"/>
      <c r="J116" s="540" t="str">
        <f t="shared" si="2"/>
        <v>INCLUDED</v>
      </c>
    </row>
    <row r="117" spans="1:10" ht="78">
      <c r="A117" s="757">
        <v>100</v>
      </c>
      <c r="B117" s="538">
        <v>7000016865</v>
      </c>
      <c r="C117" s="538">
        <v>1240</v>
      </c>
      <c r="D117" s="538" t="s">
        <v>535</v>
      </c>
      <c r="E117" s="538">
        <v>1000059881</v>
      </c>
      <c r="F117" s="530" t="s">
        <v>601</v>
      </c>
      <c r="G117" s="538" t="s">
        <v>476</v>
      </c>
      <c r="H117" s="538">
        <v>1</v>
      </c>
      <c r="I117" s="743"/>
      <c r="J117" s="540" t="str">
        <f t="shared" si="2"/>
        <v>INCLUDED</v>
      </c>
    </row>
    <row r="118" spans="1:10" ht="78">
      <c r="A118" s="757">
        <v>101</v>
      </c>
      <c r="B118" s="538">
        <v>7000016865</v>
      </c>
      <c r="C118" s="538">
        <v>1250</v>
      </c>
      <c r="D118" s="538" t="s">
        <v>535</v>
      </c>
      <c r="E118" s="538">
        <v>1000059893</v>
      </c>
      <c r="F118" s="530" t="s">
        <v>602</v>
      </c>
      <c r="G118" s="538" t="s">
        <v>476</v>
      </c>
      <c r="H118" s="538">
        <v>2</v>
      </c>
      <c r="I118" s="743"/>
      <c r="J118" s="540" t="str">
        <f t="shared" si="2"/>
        <v>INCLUDED</v>
      </c>
    </row>
    <row r="119" spans="1:10" ht="78">
      <c r="A119" s="757">
        <v>102</v>
      </c>
      <c r="B119" s="538">
        <v>7000016865</v>
      </c>
      <c r="C119" s="538">
        <v>1260</v>
      </c>
      <c r="D119" s="538" t="s">
        <v>535</v>
      </c>
      <c r="E119" s="538">
        <v>1000059894</v>
      </c>
      <c r="F119" s="530" t="s">
        <v>603</v>
      </c>
      <c r="G119" s="538" t="s">
        <v>476</v>
      </c>
      <c r="H119" s="538">
        <v>1</v>
      </c>
      <c r="I119" s="743"/>
      <c r="J119" s="540" t="str">
        <f t="shared" si="2"/>
        <v>INCLUDED</v>
      </c>
    </row>
    <row r="120" spans="1:10" ht="78">
      <c r="A120" s="757">
        <v>103</v>
      </c>
      <c r="B120" s="538">
        <v>7000016865</v>
      </c>
      <c r="C120" s="538">
        <v>1270</v>
      </c>
      <c r="D120" s="538" t="s">
        <v>535</v>
      </c>
      <c r="E120" s="538">
        <v>1000059895</v>
      </c>
      <c r="F120" s="530" t="s">
        <v>604</v>
      </c>
      <c r="G120" s="538" t="s">
        <v>476</v>
      </c>
      <c r="H120" s="538">
        <v>3</v>
      </c>
      <c r="I120" s="743"/>
      <c r="J120" s="540" t="str">
        <f t="shared" si="2"/>
        <v>INCLUDED</v>
      </c>
    </row>
    <row r="121" spans="1:10" ht="78">
      <c r="A121" s="757">
        <v>104</v>
      </c>
      <c r="B121" s="538">
        <v>7000016865</v>
      </c>
      <c r="C121" s="538">
        <v>1280</v>
      </c>
      <c r="D121" s="538" t="s">
        <v>535</v>
      </c>
      <c r="E121" s="538">
        <v>1000059887</v>
      </c>
      <c r="F121" s="530" t="s">
        <v>605</v>
      </c>
      <c r="G121" s="538" t="s">
        <v>476</v>
      </c>
      <c r="H121" s="538">
        <v>1</v>
      </c>
      <c r="I121" s="743"/>
      <c r="J121" s="540" t="str">
        <f t="shared" si="2"/>
        <v>INCLUDED</v>
      </c>
    </row>
    <row r="122" spans="1:10" ht="78">
      <c r="A122" s="757">
        <v>105</v>
      </c>
      <c r="B122" s="538">
        <v>7000016865</v>
      </c>
      <c r="C122" s="538">
        <v>1290</v>
      </c>
      <c r="D122" s="538" t="s">
        <v>535</v>
      </c>
      <c r="E122" s="538">
        <v>1000059890</v>
      </c>
      <c r="F122" s="530" t="s">
        <v>606</v>
      </c>
      <c r="G122" s="538" t="s">
        <v>476</v>
      </c>
      <c r="H122" s="538">
        <v>1</v>
      </c>
      <c r="I122" s="743"/>
      <c r="J122" s="540" t="str">
        <f t="shared" si="2"/>
        <v>INCLUDED</v>
      </c>
    </row>
    <row r="123" spans="1:10" ht="78">
      <c r="A123" s="757">
        <v>106</v>
      </c>
      <c r="B123" s="538">
        <v>7000016865</v>
      </c>
      <c r="C123" s="538">
        <v>1300</v>
      </c>
      <c r="D123" s="538" t="s">
        <v>535</v>
      </c>
      <c r="E123" s="538">
        <v>1000059896</v>
      </c>
      <c r="F123" s="530" t="s">
        <v>607</v>
      </c>
      <c r="G123" s="538" t="s">
        <v>476</v>
      </c>
      <c r="H123" s="538">
        <v>1</v>
      </c>
      <c r="I123" s="743"/>
      <c r="J123" s="540" t="str">
        <f t="shared" si="2"/>
        <v>INCLUDED</v>
      </c>
    </row>
    <row r="124" spans="1:10" ht="78">
      <c r="A124" s="757">
        <v>107</v>
      </c>
      <c r="B124" s="538">
        <v>7000016865</v>
      </c>
      <c r="C124" s="538">
        <v>1310</v>
      </c>
      <c r="D124" s="538" t="s">
        <v>535</v>
      </c>
      <c r="E124" s="538">
        <v>1000059903</v>
      </c>
      <c r="F124" s="530" t="s">
        <v>608</v>
      </c>
      <c r="G124" s="538" t="s">
        <v>476</v>
      </c>
      <c r="H124" s="538">
        <v>1</v>
      </c>
      <c r="I124" s="743"/>
      <c r="J124" s="540" t="str">
        <f t="shared" si="2"/>
        <v>INCLUDED</v>
      </c>
    </row>
    <row r="125" spans="1:10" ht="78">
      <c r="A125" s="757">
        <v>108</v>
      </c>
      <c r="B125" s="538">
        <v>7000016865</v>
      </c>
      <c r="C125" s="538">
        <v>1320</v>
      </c>
      <c r="D125" s="538" t="s">
        <v>535</v>
      </c>
      <c r="E125" s="538">
        <v>1000059904</v>
      </c>
      <c r="F125" s="530" t="s">
        <v>609</v>
      </c>
      <c r="G125" s="538" t="s">
        <v>476</v>
      </c>
      <c r="H125" s="538">
        <v>4</v>
      </c>
      <c r="I125" s="743"/>
      <c r="J125" s="540" t="str">
        <f t="shared" si="2"/>
        <v>INCLUDED</v>
      </c>
    </row>
    <row r="126" spans="1:10" ht="78">
      <c r="A126" s="757">
        <v>109</v>
      </c>
      <c r="B126" s="538">
        <v>7000016865</v>
      </c>
      <c r="C126" s="538">
        <v>1330</v>
      </c>
      <c r="D126" s="538" t="s">
        <v>535</v>
      </c>
      <c r="E126" s="538">
        <v>1000059905</v>
      </c>
      <c r="F126" s="530" t="s">
        <v>610</v>
      </c>
      <c r="G126" s="538" t="s">
        <v>476</v>
      </c>
      <c r="H126" s="538">
        <v>7</v>
      </c>
      <c r="I126" s="743"/>
      <c r="J126" s="540" t="str">
        <f t="shared" si="2"/>
        <v>INCLUDED</v>
      </c>
    </row>
    <row r="127" spans="1:10" ht="78">
      <c r="A127" s="757">
        <v>110</v>
      </c>
      <c r="B127" s="538">
        <v>7000016865</v>
      </c>
      <c r="C127" s="538">
        <v>1340</v>
      </c>
      <c r="D127" s="538" t="s">
        <v>535</v>
      </c>
      <c r="E127" s="538">
        <v>1000059897</v>
      </c>
      <c r="F127" s="530" t="s">
        <v>611</v>
      </c>
      <c r="G127" s="538" t="s">
        <v>476</v>
      </c>
      <c r="H127" s="538">
        <v>2</v>
      </c>
      <c r="I127" s="743"/>
      <c r="J127" s="540" t="str">
        <f t="shared" si="2"/>
        <v>INCLUDED</v>
      </c>
    </row>
    <row r="128" spans="1:10" ht="78">
      <c r="A128" s="757">
        <v>111</v>
      </c>
      <c r="B128" s="538">
        <v>7000016865</v>
      </c>
      <c r="C128" s="538">
        <v>1350</v>
      </c>
      <c r="D128" s="538" t="s">
        <v>535</v>
      </c>
      <c r="E128" s="538">
        <v>1000059899</v>
      </c>
      <c r="F128" s="530" t="s">
        <v>612</v>
      </c>
      <c r="G128" s="538" t="s">
        <v>476</v>
      </c>
      <c r="H128" s="538">
        <v>2</v>
      </c>
      <c r="I128" s="743"/>
      <c r="J128" s="540" t="str">
        <f t="shared" si="2"/>
        <v>INCLUDED</v>
      </c>
    </row>
    <row r="129" spans="1:10" ht="78">
      <c r="A129" s="757">
        <v>112</v>
      </c>
      <c r="B129" s="538">
        <v>7000016865</v>
      </c>
      <c r="C129" s="538">
        <v>1360</v>
      </c>
      <c r="D129" s="538" t="s">
        <v>535</v>
      </c>
      <c r="E129" s="538">
        <v>1000059900</v>
      </c>
      <c r="F129" s="530" t="s">
        <v>613</v>
      </c>
      <c r="G129" s="538" t="s">
        <v>476</v>
      </c>
      <c r="H129" s="538">
        <v>14</v>
      </c>
      <c r="I129" s="743"/>
      <c r="J129" s="540" t="str">
        <f t="shared" si="2"/>
        <v>INCLUDED</v>
      </c>
    </row>
    <row r="130" spans="1:10" ht="78">
      <c r="A130" s="757">
        <v>113</v>
      </c>
      <c r="B130" s="538">
        <v>7000016865</v>
      </c>
      <c r="C130" s="538">
        <v>1370</v>
      </c>
      <c r="D130" s="538" t="s">
        <v>535</v>
      </c>
      <c r="E130" s="538">
        <v>1000059901</v>
      </c>
      <c r="F130" s="530" t="s">
        <v>614</v>
      </c>
      <c r="G130" s="538" t="s">
        <v>476</v>
      </c>
      <c r="H130" s="538">
        <v>2</v>
      </c>
      <c r="I130" s="743"/>
      <c r="J130" s="540" t="str">
        <f t="shared" si="2"/>
        <v>INCLUDED</v>
      </c>
    </row>
    <row r="131" spans="1:10" ht="62.4">
      <c r="A131" s="757">
        <v>114</v>
      </c>
      <c r="B131" s="538">
        <v>7000016865</v>
      </c>
      <c r="C131" s="538">
        <v>1380</v>
      </c>
      <c r="D131" s="538" t="s">
        <v>535</v>
      </c>
      <c r="E131" s="538">
        <v>1000059574</v>
      </c>
      <c r="F131" s="530" t="s">
        <v>559</v>
      </c>
      <c r="G131" s="538" t="s">
        <v>476</v>
      </c>
      <c r="H131" s="538">
        <v>1</v>
      </c>
      <c r="I131" s="743"/>
      <c r="J131" s="540" t="str">
        <f t="shared" si="2"/>
        <v>INCLUDED</v>
      </c>
    </row>
    <row r="132" spans="1:10" ht="62.4">
      <c r="A132" s="757">
        <v>115</v>
      </c>
      <c r="B132" s="538">
        <v>7000016865</v>
      </c>
      <c r="C132" s="538">
        <v>1390</v>
      </c>
      <c r="D132" s="538" t="s">
        <v>535</v>
      </c>
      <c r="E132" s="538">
        <v>1000059577</v>
      </c>
      <c r="F132" s="530" t="s">
        <v>560</v>
      </c>
      <c r="G132" s="538" t="s">
        <v>476</v>
      </c>
      <c r="H132" s="538">
        <v>2</v>
      </c>
      <c r="I132" s="743"/>
      <c r="J132" s="540" t="str">
        <f t="shared" si="2"/>
        <v>INCLUDED</v>
      </c>
    </row>
    <row r="133" spans="1:10" ht="62.4">
      <c r="A133" s="757">
        <v>116</v>
      </c>
      <c r="B133" s="538">
        <v>7000016865</v>
      </c>
      <c r="C133" s="538">
        <v>1400</v>
      </c>
      <c r="D133" s="538" t="s">
        <v>535</v>
      </c>
      <c r="E133" s="538">
        <v>1000059585</v>
      </c>
      <c r="F133" s="530" t="s">
        <v>562</v>
      </c>
      <c r="G133" s="538" t="s">
        <v>476</v>
      </c>
      <c r="H133" s="538">
        <v>4</v>
      </c>
      <c r="I133" s="743"/>
      <c r="J133" s="540" t="str">
        <f t="shared" si="2"/>
        <v>INCLUDED</v>
      </c>
    </row>
    <row r="134" spans="1:10" ht="62.4">
      <c r="A134" s="757">
        <v>117</v>
      </c>
      <c r="B134" s="538">
        <v>7000016865</v>
      </c>
      <c r="C134" s="538">
        <v>1410</v>
      </c>
      <c r="D134" s="538" t="s">
        <v>535</v>
      </c>
      <c r="E134" s="538">
        <v>1000059946</v>
      </c>
      <c r="F134" s="530" t="s">
        <v>615</v>
      </c>
      <c r="G134" s="538" t="s">
        <v>476</v>
      </c>
      <c r="H134" s="538">
        <v>51</v>
      </c>
      <c r="I134" s="743"/>
      <c r="J134" s="540" t="str">
        <f t="shared" si="2"/>
        <v>INCLUDED</v>
      </c>
    </row>
    <row r="135" spans="1:10" ht="62.4">
      <c r="A135" s="757">
        <v>118</v>
      </c>
      <c r="B135" s="538">
        <v>7000016865</v>
      </c>
      <c r="C135" s="538">
        <v>1420</v>
      </c>
      <c r="D135" s="538" t="s">
        <v>535</v>
      </c>
      <c r="E135" s="538">
        <v>1000059949</v>
      </c>
      <c r="F135" s="530" t="s">
        <v>616</v>
      </c>
      <c r="G135" s="538" t="s">
        <v>476</v>
      </c>
      <c r="H135" s="538">
        <v>6</v>
      </c>
      <c r="I135" s="743"/>
      <c r="J135" s="540" t="str">
        <f t="shared" si="2"/>
        <v>INCLUDED</v>
      </c>
    </row>
    <row r="136" spans="1:10" ht="62.4">
      <c r="A136" s="757">
        <v>119</v>
      </c>
      <c r="B136" s="538">
        <v>7000016865</v>
      </c>
      <c r="C136" s="538">
        <v>1430</v>
      </c>
      <c r="D136" s="538" t="s">
        <v>535</v>
      </c>
      <c r="E136" s="538">
        <v>1000059947</v>
      </c>
      <c r="F136" s="530" t="s">
        <v>617</v>
      </c>
      <c r="G136" s="538" t="s">
        <v>476</v>
      </c>
      <c r="H136" s="538">
        <v>1</v>
      </c>
      <c r="I136" s="539"/>
      <c r="J136" s="540" t="str">
        <f t="shared" si="0"/>
        <v>INCLUDED</v>
      </c>
    </row>
    <row r="137" spans="1:10" ht="62.4">
      <c r="A137" s="757">
        <v>120</v>
      </c>
      <c r="B137" s="538">
        <v>7000016865</v>
      </c>
      <c r="C137" s="538">
        <v>1440</v>
      </c>
      <c r="D137" s="538" t="s">
        <v>535</v>
      </c>
      <c r="E137" s="538">
        <v>1000059952</v>
      </c>
      <c r="F137" s="530" t="s">
        <v>618</v>
      </c>
      <c r="G137" s="538" t="s">
        <v>476</v>
      </c>
      <c r="H137" s="538">
        <v>15</v>
      </c>
      <c r="I137" s="539"/>
      <c r="J137" s="540" t="str">
        <f t="shared" ref="J137:J194" si="3">IF(I137=0, "INCLUDED", IF(ISERROR(I137*H137), I137, I137*H137))</f>
        <v>INCLUDED</v>
      </c>
    </row>
    <row r="138" spans="1:10" ht="62.4">
      <c r="A138" s="757">
        <v>121</v>
      </c>
      <c r="B138" s="538">
        <v>7000016865</v>
      </c>
      <c r="C138" s="538">
        <v>1450</v>
      </c>
      <c r="D138" s="538" t="s">
        <v>535</v>
      </c>
      <c r="E138" s="538">
        <v>1000059951</v>
      </c>
      <c r="F138" s="530" t="s">
        <v>619</v>
      </c>
      <c r="G138" s="538" t="s">
        <v>476</v>
      </c>
      <c r="H138" s="538">
        <v>1</v>
      </c>
      <c r="I138" s="539"/>
      <c r="J138" s="540" t="str">
        <f t="shared" si="3"/>
        <v>INCLUDED</v>
      </c>
    </row>
    <row r="139" spans="1:10" ht="62.4">
      <c r="A139" s="757">
        <v>122</v>
      </c>
      <c r="B139" s="538">
        <v>7000016865</v>
      </c>
      <c r="C139" s="538">
        <v>1460</v>
      </c>
      <c r="D139" s="538" t="s">
        <v>535</v>
      </c>
      <c r="E139" s="538">
        <v>1000059956</v>
      </c>
      <c r="F139" s="530" t="s">
        <v>620</v>
      </c>
      <c r="G139" s="538" t="s">
        <v>476</v>
      </c>
      <c r="H139" s="538">
        <v>6</v>
      </c>
      <c r="I139" s="539"/>
      <c r="J139" s="540" t="str">
        <f t="shared" si="3"/>
        <v>INCLUDED</v>
      </c>
    </row>
    <row r="140" spans="1:10" ht="62.4">
      <c r="A140" s="757">
        <v>123</v>
      </c>
      <c r="B140" s="538">
        <v>7000016865</v>
      </c>
      <c r="C140" s="538">
        <v>1470</v>
      </c>
      <c r="D140" s="538" t="s">
        <v>535</v>
      </c>
      <c r="E140" s="538">
        <v>1000059953</v>
      </c>
      <c r="F140" s="530" t="s">
        <v>621</v>
      </c>
      <c r="G140" s="538" t="s">
        <v>476</v>
      </c>
      <c r="H140" s="538">
        <v>1</v>
      </c>
      <c r="I140" s="539"/>
      <c r="J140" s="540" t="str">
        <f t="shared" si="3"/>
        <v>INCLUDED</v>
      </c>
    </row>
    <row r="141" spans="1:10" ht="62.4">
      <c r="A141" s="757">
        <v>124</v>
      </c>
      <c r="B141" s="538">
        <v>7000016865</v>
      </c>
      <c r="C141" s="538">
        <v>1480</v>
      </c>
      <c r="D141" s="538" t="s">
        <v>535</v>
      </c>
      <c r="E141" s="538">
        <v>1000059954</v>
      </c>
      <c r="F141" s="530" t="s">
        <v>622</v>
      </c>
      <c r="G141" s="538" t="s">
        <v>476</v>
      </c>
      <c r="H141" s="538">
        <v>1</v>
      </c>
      <c r="I141" s="539"/>
      <c r="J141" s="540" t="str">
        <f t="shared" si="3"/>
        <v>INCLUDED</v>
      </c>
    </row>
    <row r="142" spans="1:10" ht="62.4">
      <c r="A142" s="757">
        <v>125</v>
      </c>
      <c r="B142" s="538">
        <v>7000016865</v>
      </c>
      <c r="C142" s="538">
        <v>1490</v>
      </c>
      <c r="D142" s="538" t="s">
        <v>535</v>
      </c>
      <c r="E142" s="538">
        <v>1000059960</v>
      </c>
      <c r="F142" s="530" t="s">
        <v>623</v>
      </c>
      <c r="G142" s="538" t="s">
        <v>476</v>
      </c>
      <c r="H142" s="538">
        <v>13</v>
      </c>
      <c r="I142" s="539"/>
      <c r="J142" s="540" t="str">
        <f t="shared" si="3"/>
        <v>INCLUDED</v>
      </c>
    </row>
    <row r="143" spans="1:10" ht="62.4">
      <c r="A143" s="757">
        <v>126</v>
      </c>
      <c r="B143" s="538">
        <v>7000016865</v>
      </c>
      <c r="C143" s="538">
        <v>1500</v>
      </c>
      <c r="D143" s="538" t="s">
        <v>535</v>
      </c>
      <c r="E143" s="538">
        <v>1000059957</v>
      </c>
      <c r="F143" s="530" t="s">
        <v>624</v>
      </c>
      <c r="G143" s="538" t="s">
        <v>476</v>
      </c>
      <c r="H143" s="538">
        <v>2</v>
      </c>
      <c r="I143" s="539"/>
      <c r="J143" s="540" t="str">
        <f t="shared" si="3"/>
        <v>INCLUDED</v>
      </c>
    </row>
    <row r="144" spans="1:10" ht="62.4">
      <c r="A144" s="757">
        <v>127</v>
      </c>
      <c r="B144" s="538">
        <v>7000016865</v>
      </c>
      <c r="C144" s="538">
        <v>1510</v>
      </c>
      <c r="D144" s="538" t="s">
        <v>535</v>
      </c>
      <c r="E144" s="538">
        <v>1000059958</v>
      </c>
      <c r="F144" s="530" t="s">
        <v>625</v>
      </c>
      <c r="G144" s="538" t="s">
        <v>476</v>
      </c>
      <c r="H144" s="538">
        <v>16</v>
      </c>
      <c r="I144" s="539"/>
      <c r="J144" s="540" t="str">
        <f t="shared" si="3"/>
        <v>INCLUDED</v>
      </c>
    </row>
    <row r="145" spans="1:10" ht="62.4">
      <c r="A145" s="757">
        <v>128</v>
      </c>
      <c r="B145" s="538">
        <v>7000016865</v>
      </c>
      <c r="C145" s="538">
        <v>1520</v>
      </c>
      <c r="D145" s="538" t="s">
        <v>535</v>
      </c>
      <c r="E145" s="538">
        <v>1000059959</v>
      </c>
      <c r="F145" s="530" t="s">
        <v>626</v>
      </c>
      <c r="G145" s="538" t="s">
        <v>476</v>
      </c>
      <c r="H145" s="538">
        <v>2</v>
      </c>
      <c r="I145" s="539"/>
      <c r="J145" s="540" t="str">
        <f t="shared" si="3"/>
        <v>INCLUDED</v>
      </c>
    </row>
    <row r="146" spans="1:10" ht="62.4">
      <c r="A146" s="757">
        <v>129</v>
      </c>
      <c r="B146" s="538">
        <v>7000016865</v>
      </c>
      <c r="C146" s="538">
        <v>1530</v>
      </c>
      <c r="D146" s="538" t="s">
        <v>535</v>
      </c>
      <c r="E146" s="538">
        <v>1000031890</v>
      </c>
      <c r="F146" s="530" t="s">
        <v>627</v>
      </c>
      <c r="G146" s="538" t="s">
        <v>514</v>
      </c>
      <c r="H146" s="538">
        <v>123.91</v>
      </c>
      <c r="I146" s="539"/>
      <c r="J146" s="540" t="str">
        <f t="shared" si="3"/>
        <v>INCLUDED</v>
      </c>
    </row>
    <row r="147" spans="1:10" ht="62.4">
      <c r="A147" s="757">
        <v>130</v>
      </c>
      <c r="B147" s="538">
        <v>7000016865</v>
      </c>
      <c r="C147" s="538">
        <v>1540</v>
      </c>
      <c r="D147" s="538" t="s">
        <v>535</v>
      </c>
      <c r="E147" s="538">
        <v>1000031894</v>
      </c>
      <c r="F147" s="530" t="s">
        <v>628</v>
      </c>
      <c r="G147" s="538" t="s">
        <v>514</v>
      </c>
      <c r="H147" s="538">
        <v>21.68</v>
      </c>
      <c r="I147" s="539"/>
      <c r="J147" s="540" t="str">
        <f t="shared" si="3"/>
        <v>INCLUDED</v>
      </c>
    </row>
    <row r="148" spans="1:10" ht="46.8">
      <c r="A148" s="757">
        <v>131</v>
      </c>
      <c r="B148" s="538">
        <v>7000016865</v>
      </c>
      <c r="C148" s="538">
        <v>1550</v>
      </c>
      <c r="D148" s="538" t="s">
        <v>535</v>
      </c>
      <c r="E148" s="538">
        <v>1000031892</v>
      </c>
      <c r="F148" s="530" t="s">
        <v>629</v>
      </c>
      <c r="G148" s="538" t="s">
        <v>514</v>
      </c>
      <c r="H148" s="538">
        <v>3.13</v>
      </c>
      <c r="I148" s="539"/>
      <c r="J148" s="540" t="str">
        <f t="shared" si="3"/>
        <v>INCLUDED</v>
      </c>
    </row>
    <row r="149" spans="1:10">
      <c r="A149" s="757">
        <v>132</v>
      </c>
      <c r="B149" s="538">
        <v>7000016865</v>
      </c>
      <c r="C149" s="538">
        <v>1560</v>
      </c>
      <c r="D149" s="538" t="s">
        <v>535</v>
      </c>
      <c r="E149" s="538">
        <v>1000013472</v>
      </c>
      <c r="F149" s="530" t="s">
        <v>520</v>
      </c>
      <c r="G149" s="538" t="s">
        <v>514</v>
      </c>
      <c r="H149" s="538">
        <v>3.71</v>
      </c>
      <c r="I149" s="539"/>
      <c r="J149" s="540" t="str">
        <f t="shared" si="3"/>
        <v>INCLUDED</v>
      </c>
    </row>
    <row r="150" spans="1:10">
      <c r="A150" s="757">
        <v>133</v>
      </c>
      <c r="B150" s="538">
        <v>7000016865</v>
      </c>
      <c r="C150" s="538">
        <v>1570</v>
      </c>
      <c r="D150" s="538" t="s">
        <v>535</v>
      </c>
      <c r="E150" s="538">
        <v>1000007847</v>
      </c>
      <c r="F150" s="530" t="s">
        <v>521</v>
      </c>
      <c r="G150" s="538" t="s">
        <v>514</v>
      </c>
      <c r="H150" s="538">
        <v>0.06</v>
      </c>
      <c r="I150" s="539"/>
      <c r="J150" s="540" t="str">
        <f t="shared" si="3"/>
        <v>INCLUDED</v>
      </c>
    </row>
    <row r="151" spans="1:10">
      <c r="A151" s="757">
        <v>134</v>
      </c>
      <c r="B151" s="538">
        <v>7000016865</v>
      </c>
      <c r="C151" s="538">
        <v>1580</v>
      </c>
      <c r="D151" s="538" t="s">
        <v>536</v>
      </c>
      <c r="E151" s="538">
        <v>1000036834</v>
      </c>
      <c r="F151" s="530" t="s">
        <v>567</v>
      </c>
      <c r="G151" s="538" t="s">
        <v>484</v>
      </c>
      <c r="H151" s="538">
        <v>529.20799999999997</v>
      </c>
      <c r="I151" s="539"/>
      <c r="J151" s="540" t="str">
        <f t="shared" si="3"/>
        <v>INCLUDED</v>
      </c>
    </row>
    <row r="152" spans="1:10">
      <c r="A152" s="757">
        <v>135</v>
      </c>
      <c r="B152" s="538">
        <v>7000016865</v>
      </c>
      <c r="C152" s="538">
        <v>2150</v>
      </c>
      <c r="D152" s="538" t="s">
        <v>544</v>
      </c>
      <c r="E152" s="538">
        <v>1000030841</v>
      </c>
      <c r="F152" s="530" t="s">
        <v>630</v>
      </c>
      <c r="G152" s="538" t="s">
        <v>484</v>
      </c>
      <c r="H152" s="538">
        <v>44.100999999999999</v>
      </c>
      <c r="I152" s="539"/>
      <c r="J152" s="540" t="str">
        <f t="shared" si="3"/>
        <v>INCLUDED</v>
      </c>
    </row>
    <row r="153" spans="1:10" ht="31.2">
      <c r="A153" s="757">
        <v>136</v>
      </c>
      <c r="B153" s="538">
        <v>7000016865</v>
      </c>
      <c r="C153" s="538">
        <v>1590</v>
      </c>
      <c r="D153" s="538" t="s">
        <v>537</v>
      </c>
      <c r="E153" s="538">
        <v>1000009325</v>
      </c>
      <c r="F153" s="530" t="s">
        <v>568</v>
      </c>
      <c r="G153" s="538" t="s">
        <v>476</v>
      </c>
      <c r="H153" s="538">
        <v>441</v>
      </c>
      <c r="I153" s="539"/>
      <c r="J153" s="540" t="str">
        <f t="shared" si="3"/>
        <v>INCLUDED</v>
      </c>
    </row>
    <row r="154" spans="1:10" ht="31.2">
      <c r="A154" s="757">
        <v>137</v>
      </c>
      <c r="B154" s="538">
        <v>7000016865</v>
      </c>
      <c r="C154" s="538">
        <v>1600</v>
      </c>
      <c r="D154" s="538" t="s">
        <v>537</v>
      </c>
      <c r="E154" s="538">
        <v>1000009325</v>
      </c>
      <c r="F154" s="530" t="s">
        <v>568</v>
      </c>
      <c r="G154" s="538" t="s">
        <v>476</v>
      </c>
      <c r="H154" s="538">
        <v>45</v>
      </c>
      <c r="I154" s="539"/>
      <c r="J154" s="540" t="str">
        <f t="shared" si="3"/>
        <v>INCLUDED</v>
      </c>
    </row>
    <row r="155" spans="1:10" ht="31.2">
      <c r="A155" s="757">
        <v>138</v>
      </c>
      <c r="B155" s="538">
        <v>7000016865</v>
      </c>
      <c r="C155" s="538">
        <v>1610</v>
      </c>
      <c r="D155" s="538" t="s">
        <v>537</v>
      </c>
      <c r="E155" s="538">
        <v>1000009328</v>
      </c>
      <c r="F155" s="530" t="s">
        <v>569</v>
      </c>
      <c r="G155" s="538" t="s">
        <v>476</v>
      </c>
      <c r="H155" s="538">
        <v>1764</v>
      </c>
      <c r="I155" s="539"/>
      <c r="J155" s="540" t="str">
        <f t="shared" si="3"/>
        <v>INCLUDED</v>
      </c>
    </row>
    <row r="156" spans="1:10" ht="31.2">
      <c r="A156" s="757">
        <v>139</v>
      </c>
      <c r="B156" s="538">
        <v>7000016865</v>
      </c>
      <c r="C156" s="538">
        <v>1620</v>
      </c>
      <c r="D156" s="538" t="s">
        <v>537</v>
      </c>
      <c r="E156" s="538">
        <v>1000009328</v>
      </c>
      <c r="F156" s="530" t="s">
        <v>569</v>
      </c>
      <c r="G156" s="538" t="s">
        <v>476</v>
      </c>
      <c r="H156" s="538">
        <v>177</v>
      </c>
      <c r="I156" s="539"/>
      <c r="J156" s="540" t="str">
        <f t="shared" si="3"/>
        <v>INCLUDED</v>
      </c>
    </row>
    <row r="157" spans="1:10">
      <c r="A157" s="757">
        <v>140</v>
      </c>
      <c r="B157" s="538">
        <v>7000016865</v>
      </c>
      <c r="C157" s="538">
        <v>1630</v>
      </c>
      <c r="D157" s="538" t="s">
        <v>538</v>
      </c>
      <c r="E157" s="538">
        <v>1000019805</v>
      </c>
      <c r="F157" s="530" t="s">
        <v>570</v>
      </c>
      <c r="G157" s="538" t="s">
        <v>481</v>
      </c>
      <c r="H157" s="538">
        <v>306</v>
      </c>
      <c r="I157" s="539"/>
      <c r="J157" s="540" t="str">
        <f t="shared" si="3"/>
        <v>INCLUDED</v>
      </c>
    </row>
    <row r="158" spans="1:10">
      <c r="A158" s="757">
        <v>141</v>
      </c>
      <c r="B158" s="538">
        <v>7000016865</v>
      </c>
      <c r="C158" s="538">
        <v>1640</v>
      </c>
      <c r="D158" s="538" t="s">
        <v>538</v>
      </c>
      <c r="E158" s="538">
        <v>1000019805</v>
      </c>
      <c r="F158" s="530" t="s">
        <v>570</v>
      </c>
      <c r="G158" s="538" t="s">
        <v>481</v>
      </c>
      <c r="H158" s="538">
        <v>7</v>
      </c>
      <c r="I158" s="539"/>
      <c r="J158" s="540" t="str">
        <f t="shared" si="3"/>
        <v>INCLUDED</v>
      </c>
    </row>
    <row r="159" spans="1:10">
      <c r="A159" s="757">
        <v>142</v>
      </c>
      <c r="B159" s="538">
        <v>7000016865</v>
      </c>
      <c r="C159" s="538">
        <v>1650</v>
      </c>
      <c r="D159" s="538" t="s">
        <v>538</v>
      </c>
      <c r="E159" s="538">
        <v>1000010803</v>
      </c>
      <c r="F159" s="530" t="s">
        <v>571</v>
      </c>
      <c r="G159" s="538" t="s">
        <v>481</v>
      </c>
      <c r="H159" s="538">
        <v>882</v>
      </c>
      <c r="I159" s="539"/>
      <c r="J159" s="540" t="str">
        <f t="shared" si="3"/>
        <v>INCLUDED</v>
      </c>
    </row>
    <row r="160" spans="1:10">
      <c r="A160" s="757">
        <v>143</v>
      </c>
      <c r="B160" s="538">
        <v>7000016865</v>
      </c>
      <c r="C160" s="538">
        <v>1660</v>
      </c>
      <c r="D160" s="538" t="s">
        <v>538</v>
      </c>
      <c r="E160" s="538">
        <v>1000010803</v>
      </c>
      <c r="F160" s="530" t="s">
        <v>571</v>
      </c>
      <c r="G160" s="538" t="s">
        <v>481</v>
      </c>
      <c r="H160" s="538">
        <v>18</v>
      </c>
      <c r="I160" s="539"/>
      <c r="J160" s="540" t="str">
        <f t="shared" si="3"/>
        <v>INCLUDED</v>
      </c>
    </row>
    <row r="161" spans="1:10">
      <c r="A161" s="757">
        <v>144</v>
      </c>
      <c r="B161" s="538">
        <v>7000016865</v>
      </c>
      <c r="C161" s="538">
        <v>1670</v>
      </c>
      <c r="D161" s="538" t="s">
        <v>538</v>
      </c>
      <c r="E161" s="538">
        <v>1000019783</v>
      </c>
      <c r="F161" s="530" t="s">
        <v>572</v>
      </c>
      <c r="G161" s="538" t="s">
        <v>481</v>
      </c>
      <c r="H161" s="538">
        <v>135</v>
      </c>
      <c r="I161" s="539"/>
      <c r="J161" s="540" t="str">
        <f t="shared" si="3"/>
        <v>INCLUDED</v>
      </c>
    </row>
    <row r="162" spans="1:10">
      <c r="A162" s="757">
        <v>145</v>
      </c>
      <c r="B162" s="538">
        <v>7000016865</v>
      </c>
      <c r="C162" s="538">
        <v>1680</v>
      </c>
      <c r="D162" s="538" t="s">
        <v>538</v>
      </c>
      <c r="E162" s="538">
        <v>1000019783</v>
      </c>
      <c r="F162" s="530" t="s">
        <v>572</v>
      </c>
      <c r="G162" s="538" t="s">
        <v>481</v>
      </c>
      <c r="H162" s="538">
        <v>3</v>
      </c>
      <c r="I162" s="539"/>
      <c r="J162" s="540" t="str">
        <f t="shared" si="3"/>
        <v>INCLUDED</v>
      </c>
    </row>
    <row r="163" spans="1:10" ht="46.8">
      <c r="A163" s="757">
        <v>146</v>
      </c>
      <c r="B163" s="538">
        <v>7000016865</v>
      </c>
      <c r="C163" s="538">
        <v>1690</v>
      </c>
      <c r="D163" s="538" t="s">
        <v>538</v>
      </c>
      <c r="E163" s="538">
        <v>1000036855</v>
      </c>
      <c r="F163" s="530" t="s">
        <v>573</v>
      </c>
      <c r="G163" s="538" t="s">
        <v>476</v>
      </c>
      <c r="H163" s="538">
        <v>612</v>
      </c>
      <c r="I163" s="539"/>
      <c r="J163" s="540" t="str">
        <f t="shared" si="3"/>
        <v>INCLUDED</v>
      </c>
    </row>
    <row r="164" spans="1:10" ht="31.2">
      <c r="A164" s="757">
        <v>147</v>
      </c>
      <c r="B164" s="538">
        <v>7000016865</v>
      </c>
      <c r="C164" s="538">
        <v>1700</v>
      </c>
      <c r="D164" s="538" t="s">
        <v>538</v>
      </c>
      <c r="E164" s="538">
        <v>1000036825</v>
      </c>
      <c r="F164" s="530" t="s">
        <v>574</v>
      </c>
      <c r="G164" s="538" t="s">
        <v>476</v>
      </c>
      <c r="H164" s="538">
        <v>1764</v>
      </c>
      <c r="I164" s="539"/>
      <c r="J164" s="540" t="str">
        <f t="shared" si="3"/>
        <v>INCLUDED</v>
      </c>
    </row>
    <row r="165" spans="1:10" ht="31.2">
      <c r="A165" s="757">
        <v>148</v>
      </c>
      <c r="B165" s="538">
        <v>7000016865</v>
      </c>
      <c r="C165" s="538">
        <v>1710</v>
      </c>
      <c r="D165" s="538" t="s">
        <v>538</v>
      </c>
      <c r="E165" s="538">
        <v>1000036856</v>
      </c>
      <c r="F165" s="530" t="s">
        <v>575</v>
      </c>
      <c r="G165" s="538" t="s">
        <v>476</v>
      </c>
      <c r="H165" s="538">
        <v>270</v>
      </c>
      <c r="I165" s="539"/>
      <c r="J165" s="540" t="str">
        <f t="shared" si="3"/>
        <v>INCLUDED</v>
      </c>
    </row>
    <row r="166" spans="1:10">
      <c r="A166" s="757">
        <v>149</v>
      </c>
      <c r="B166" s="538">
        <v>7000016865</v>
      </c>
      <c r="C166" s="538">
        <v>1720</v>
      </c>
      <c r="D166" s="538" t="s">
        <v>539</v>
      </c>
      <c r="E166" s="538">
        <v>1000036839</v>
      </c>
      <c r="F166" s="530" t="s">
        <v>576</v>
      </c>
      <c r="G166" s="538" t="s">
        <v>476</v>
      </c>
      <c r="H166" s="538">
        <v>278</v>
      </c>
      <c r="I166" s="539"/>
      <c r="J166" s="540" t="str">
        <f t="shared" si="3"/>
        <v>INCLUDED</v>
      </c>
    </row>
    <row r="167" spans="1:10">
      <c r="A167" s="757">
        <v>150</v>
      </c>
      <c r="B167" s="538">
        <v>7000016865</v>
      </c>
      <c r="C167" s="538">
        <v>1730</v>
      </c>
      <c r="D167" s="538" t="s">
        <v>539</v>
      </c>
      <c r="E167" s="538">
        <v>1000036851</v>
      </c>
      <c r="F167" s="530" t="s">
        <v>577</v>
      </c>
      <c r="G167" s="538" t="s">
        <v>476</v>
      </c>
      <c r="H167" s="538">
        <v>93</v>
      </c>
      <c r="I167" s="539"/>
      <c r="J167" s="540" t="str">
        <f t="shared" si="3"/>
        <v>INCLUDED</v>
      </c>
    </row>
    <row r="168" spans="1:10">
      <c r="A168" s="757">
        <v>151</v>
      </c>
      <c r="B168" s="538">
        <v>7000016865</v>
      </c>
      <c r="C168" s="538">
        <v>1740</v>
      </c>
      <c r="D168" s="538" t="s">
        <v>539</v>
      </c>
      <c r="E168" s="538">
        <v>1000036854</v>
      </c>
      <c r="F168" s="530" t="s">
        <v>578</v>
      </c>
      <c r="G168" s="538" t="s">
        <v>476</v>
      </c>
      <c r="H168" s="538">
        <v>5208</v>
      </c>
      <c r="I168" s="539"/>
      <c r="J168" s="540" t="str">
        <f t="shared" si="3"/>
        <v>INCLUDED</v>
      </c>
    </row>
    <row r="169" spans="1:10">
      <c r="A169" s="757">
        <v>152</v>
      </c>
      <c r="B169" s="538">
        <v>7000016865</v>
      </c>
      <c r="C169" s="538">
        <v>1750</v>
      </c>
      <c r="D169" s="538" t="s">
        <v>539</v>
      </c>
      <c r="E169" s="538">
        <v>1000036852</v>
      </c>
      <c r="F169" s="530" t="s">
        <v>579</v>
      </c>
      <c r="G169" s="538" t="s">
        <v>476</v>
      </c>
      <c r="H169" s="538">
        <v>1332</v>
      </c>
      <c r="I169" s="539"/>
      <c r="J169" s="540" t="str">
        <f t="shared" si="3"/>
        <v>INCLUDED</v>
      </c>
    </row>
    <row r="170" spans="1:10">
      <c r="A170" s="757">
        <v>153</v>
      </c>
      <c r="B170" s="538">
        <v>7000016865</v>
      </c>
      <c r="C170" s="538">
        <v>1760</v>
      </c>
      <c r="D170" s="538" t="s">
        <v>540</v>
      </c>
      <c r="E170" s="538">
        <v>1000017587</v>
      </c>
      <c r="F170" s="530" t="s">
        <v>475</v>
      </c>
      <c r="G170" s="538" t="s">
        <v>476</v>
      </c>
      <c r="H170" s="538">
        <v>114</v>
      </c>
      <c r="I170" s="539"/>
      <c r="J170" s="540" t="str">
        <f t="shared" si="3"/>
        <v>INCLUDED</v>
      </c>
    </row>
    <row r="171" spans="1:10">
      <c r="A171" s="757">
        <v>154</v>
      </c>
      <c r="B171" s="538">
        <v>7000016865</v>
      </c>
      <c r="C171" s="538">
        <v>1770</v>
      </c>
      <c r="D171" s="538" t="s">
        <v>540</v>
      </c>
      <c r="E171" s="538">
        <v>1000045873</v>
      </c>
      <c r="F171" s="530" t="s">
        <v>580</v>
      </c>
      <c r="G171" s="538" t="s">
        <v>476</v>
      </c>
      <c r="H171" s="538">
        <v>4</v>
      </c>
      <c r="I171" s="539"/>
      <c r="J171" s="540" t="str">
        <f t="shared" si="3"/>
        <v>INCLUDED</v>
      </c>
    </row>
    <row r="172" spans="1:10">
      <c r="A172" s="757">
        <v>155</v>
      </c>
      <c r="B172" s="538">
        <v>7000016865</v>
      </c>
      <c r="C172" s="538">
        <v>1780</v>
      </c>
      <c r="D172" s="538" t="s">
        <v>540</v>
      </c>
      <c r="E172" s="538">
        <v>1000010003</v>
      </c>
      <c r="F172" s="530" t="s">
        <v>477</v>
      </c>
      <c r="G172" s="538" t="s">
        <v>476</v>
      </c>
      <c r="H172" s="538">
        <v>4</v>
      </c>
      <c r="I172" s="539"/>
      <c r="J172" s="540" t="str">
        <f t="shared" si="3"/>
        <v>INCLUDED</v>
      </c>
    </row>
    <row r="173" spans="1:10">
      <c r="A173" s="757">
        <v>156</v>
      </c>
      <c r="B173" s="538">
        <v>7000016865</v>
      </c>
      <c r="C173" s="538">
        <v>1790</v>
      </c>
      <c r="D173" s="538" t="s">
        <v>540</v>
      </c>
      <c r="E173" s="538">
        <v>1000048808</v>
      </c>
      <c r="F173" s="530" t="s">
        <v>581</v>
      </c>
      <c r="G173" s="538" t="s">
        <v>476</v>
      </c>
      <c r="H173" s="538">
        <v>2</v>
      </c>
      <c r="I173" s="539"/>
      <c r="J173" s="540" t="str">
        <f t="shared" si="3"/>
        <v>INCLUDED</v>
      </c>
    </row>
    <row r="174" spans="1:10">
      <c r="A174" s="757">
        <v>157</v>
      </c>
      <c r="B174" s="538">
        <v>7000016865</v>
      </c>
      <c r="C174" s="538">
        <v>1800</v>
      </c>
      <c r="D174" s="538" t="s">
        <v>540</v>
      </c>
      <c r="E174" s="538">
        <v>1000038340</v>
      </c>
      <c r="F174" s="530" t="s">
        <v>478</v>
      </c>
      <c r="G174" s="538" t="s">
        <v>476</v>
      </c>
      <c r="H174" s="538">
        <v>118</v>
      </c>
      <c r="I174" s="539"/>
      <c r="J174" s="540" t="str">
        <f t="shared" si="3"/>
        <v>INCLUDED</v>
      </c>
    </row>
    <row r="175" spans="1:10" ht="31.2">
      <c r="A175" s="757">
        <v>158</v>
      </c>
      <c r="B175" s="538">
        <v>7000016865</v>
      </c>
      <c r="C175" s="538">
        <v>1810</v>
      </c>
      <c r="D175" s="538" t="s">
        <v>540</v>
      </c>
      <c r="E175" s="538">
        <v>1000019718</v>
      </c>
      <c r="F175" s="530" t="s">
        <v>479</v>
      </c>
      <c r="G175" s="538" t="s">
        <v>476</v>
      </c>
      <c r="H175" s="538">
        <v>6</v>
      </c>
      <c r="I175" s="539"/>
      <c r="J175" s="540" t="str">
        <f t="shared" si="3"/>
        <v>INCLUDED</v>
      </c>
    </row>
    <row r="176" spans="1:10" ht="31.2">
      <c r="A176" s="757">
        <v>159</v>
      </c>
      <c r="B176" s="538">
        <v>7000016865</v>
      </c>
      <c r="C176" s="538">
        <v>1820</v>
      </c>
      <c r="D176" s="538" t="s">
        <v>540</v>
      </c>
      <c r="E176" s="538">
        <v>1000057380</v>
      </c>
      <c r="F176" s="530" t="s">
        <v>582</v>
      </c>
      <c r="G176" s="538" t="s">
        <v>476</v>
      </c>
      <c r="H176" s="538">
        <v>1</v>
      </c>
      <c r="I176" s="539"/>
      <c r="J176" s="540" t="str">
        <f t="shared" si="3"/>
        <v>INCLUDED</v>
      </c>
    </row>
    <row r="177" spans="1:10" ht="31.2">
      <c r="A177" s="757">
        <v>160</v>
      </c>
      <c r="B177" s="538">
        <v>7000016865</v>
      </c>
      <c r="C177" s="538">
        <v>2160</v>
      </c>
      <c r="D177" s="538" t="s">
        <v>545</v>
      </c>
      <c r="E177" s="538">
        <v>1000015505</v>
      </c>
      <c r="F177" s="530" t="s">
        <v>631</v>
      </c>
      <c r="G177" s="538" t="s">
        <v>476</v>
      </c>
      <c r="H177" s="538">
        <v>22</v>
      </c>
      <c r="I177" s="539"/>
      <c r="J177" s="540" t="str">
        <f t="shared" si="3"/>
        <v>INCLUDED</v>
      </c>
    </row>
    <row r="178" spans="1:10" ht="31.2">
      <c r="A178" s="757">
        <v>161</v>
      </c>
      <c r="B178" s="538">
        <v>7000016865</v>
      </c>
      <c r="C178" s="538">
        <v>2170</v>
      </c>
      <c r="D178" s="538" t="s">
        <v>545</v>
      </c>
      <c r="E178" s="538">
        <v>1000034136</v>
      </c>
      <c r="F178" s="530" t="s">
        <v>632</v>
      </c>
      <c r="G178" s="538" t="s">
        <v>476</v>
      </c>
      <c r="H178" s="538">
        <v>199</v>
      </c>
      <c r="I178" s="539"/>
      <c r="J178" s="540" t="str">
        <f t="shared" si="3"/>
        <v>INCLUDED</v>
      </c>
    </row>
    <row r="179" spans="1:10" ht="31.2">
      <c r="A179" s="757">
        <v>162</v>
      </c>
      <c r="B179" s="538">
        <v>7000016865</v>
      </c>
      <c r="C179" s="538">
        <v>2180</v>
      </c>
      <c r="D179" s="538" t="s">
        <v>545</v>
      </c>
      <c r="E179" s="538">
        <v>1000022420</v>
      </c>
      <c r="F179" s="530" t="s">
        <v>633</v>
      </c>
      <c r="G179" s="538" t="s">
        <v>476</v>
      </c>
      <c r="H179" s="538">
        <v>398</v>
      </c>
      <c r="I179" s="539"/>
      <c r="J179" s="540" t="str">
        <f t="shared" si="3"/>
        <v>INCLUDED</v>
      </c>
    </row>
    <row r="180" spans="1:10" ht="31.2">
      <c r="A180" s="757">
        <v>163</v>
      </c>
      <c r="B180" s="538">
        <v>7000016865</v>
      </c>
      <c r="C180" s="538">
        <v>2190</v>
      </c>
      <c r="D180" s="538" t="s">
        <v>545</v>
      </c>
      <c r="E180" s="538">
        <v>1000020447</v>
      </c>
      <c r="F180" s="530" t="s">
        <v>634</v>
      </c>
      <c r="G180" s="538" t="s">
        <v>476</v>
      </c>
      <c r="H180" s="538">
        <v>51</v>
      </c>
      <c r="I180" s="539"/>
      <c r="J180" s="540" t="str">
        <f t="shared" si="3"/>
        <v>INCLUDED</v>
      </c>
    </row>
    <row r="181" spans="1:10" ht="31.2">
      <c r="A181" s="757">
        <v>164</v>
      </c>
      <c r="B181" s="538">
        <v>7000016865</v>
      </c>
      <c r="C181" s="538">
        <v>2200</v>
      </c>
      <c r="D181" s="538" t="s">
        <v>545</v>
      </c>
      <c r="E181" s="538">
        <v>1000020991</v>
      </c>
      <c r="F181" s="530" t="s">
        <v>635</v>
      </c>
      <c r="G181" s="538" t="s">
        <v>476</v>
      </c>
      <c r="H181" s="538">
        <v>148</v>
      </c>
      <c r="I181" s="539"/>
      <c r="J181" s="540" t="str">
        <f t="shared" si="3"/>
        <v>INCLUDED</v>
      </c>
    </row>
    <row r="182" spans="1:10" ht="31.2">
      <c r="A182" s="757">
        <v>165</v>
      </c>
      <c r="B182" s="538">
        <v>7000016865</v>
      </c>
      <c r="C182" s="538">
        <v>2210</v>
      </c>
      <c r="D182" s="538" t="s">
        <v>545</v>
      </c>
      <c r="E182" s="538">
        <v>1000015505</v>
      </c>
      <c r="F182" s="530" t="s">
        <v>631</v>
      </c>
      <c r="G182" s="538" t="s">
        <v>476</v>
      </c>
      <c r="H182" s="538">
        <v>1</v>
      </c>
      <c r="I182" s="539"/>
      <c r="J182" s="540" t="str">
        <f t="shared" si="3"/>
        <v>INCLUDED</v>
      </c>
    </row>
    <row r="183" spans="1:10" ht="31.2">
      <c r="A183" s="757">
        <v>166</v>
      </c>
      <c r="B183" s="538">
        <v>7000016865</v>
      </c>
      <c r="C183" s="538">
        <v>2220</v>
      </c>
      <c r="D183" s="538" t="s">
        <v>545</v>
      </c>
      <c r="E183" s="538">
        <v>1000034136</v>
      </c>
      <c r="F183" s="530" t="s">
        <v>632</v>
      </c>
      <c r="G183" s="538" t="s">
        <v>476</v>
      </c>
      <c r="H183" s="538">
        <v>4</v>
      </c>
      <c r="I183" s="539"/>
      <c r="J183" s="540" t="str">
        <f t="shared" si="3"/>
        <v>INCLUDED</v>
      </c>
    </row>
    <row r="184" spans="1:10" ht="31.2">
      <c r="A184" s="757">
        <v>167</v>
      </c>
      <c r="B184" s="538">
        <v>7000016865</v>
      </c>
      <c r="C184" s="538">
        <v>2230</v>
      </c>
      <c r="D184" s="538" t="s">
        <v>545</v>
      </c>
      <c r="E184" s="538">
        <v>1000022420</v>
      </c>
      <c r="F184" s="530" t="s">
        <v>633</v>
      </c>
      <c r="G184" s="538" t="s">
        <v>476</v>
      </c>
      <c r="H184" s="538">
        <v>8</v>
      </c>
      <c r="I184" s="539"/>
      <c r="J184" s="540" t="str">
        <f t="shared" si="3"/>
        <v>INCLUDED</v>
      </c>
    </row>
    <row r="185" spans="1:10" ht="31.2">
      <c r="A185" s="757">
        <v>168</v>
      </c>
      <c r="B185" s="538">
        <v>7000016865</v>
      </c>
      <c r="C185" s="538">
        <v>2240</v>
      </c>
      <c r="D185" s="538" t="s">
        <v>545</v>
      </c>
      <c r="E185" s="538">
        <v>1000020447</v>
      </c>
      <c r="F185" s="530" t="s">
        <v>634</v>
      </c>
      <c r="G185" s="538" t="s">
        <v>476</v>
      </c>
      <c r="H185" s="538">
        <v>2</v>
      </c>
      <c r="I185" s="539"/>
      <c r="J185" s="540" t="str">
        <f t="shared" si="3"/>
        <v>INCLUDED</v>
      </c>
    </row>
    <row r="186" spans="1:10" ht="31.2">
      <c r="A186" s="757">
        <v>169</v>
      </c>
      <c r="B186" s="538">
        <v>7000016865</v>
      </c>
      <c r="C186" s="538">
        <v>2250</v>
      </c>
      <c r="D186" s="538" t="s">
        <v>545</v>
      </c>
      <c r="E186" s="538">
        <v>1000020991</v>
      </c>
      <c r="F186" s="530" t="s">
        <v>635</v>
      </c>
      <c r="G186" s="538" t="s">
        <v>476</v>
      </c>
      <c r="H186" s="538">
        <v>3</v>
      </c>
      <c r="I186" s="539"/>
      <c r="J186" s="540" t="str">
        <f t="shared" si="3"/>
        <v>INCLUDED</v>
      </c>
    </row>
    <row r="187" spans="1:10">
      <c r="A187" s="757">
        <v>170</v>
      </c>
      <c r="B187" s="538">
        <v>7000016865</v>
      </c>
      <c r="C187" s="538">
        <v>1830</v>
      </c>
      <c r="D187" s="538" t="s">
        <v>541</v>
      </c>
      <c r="E187" s="538">
        <v>1000010539</v>
      </c>
      <c r="F187" s="530" t="s">
        <v>584</v>
      </c>
      <c r="G187" s="538" t="s">
        <v>476</v>
      </c>
      <c r="H187" s="538">
        <v>124</v>
      </c>
      <c r="I187" s="539"/>
      <c r="J187" s="540" t="str">
        <f t="shared" si="3"/>
        <v>INCLUDED</v>
      </c>
    </row>
    <row r="188" spans="1:10">
      <c r="A188" s="757">
        <v>171</v>
      </c>
      <c r="B188" s="538">
        <v>7000016865</v>
      </c>
      <c r="C188" s="538">
        <v>1840</v>
      </c>
      <c r="D188" s="538" t="s">
        <v>541</v>
      </c>
      <c r="E188" s="538">
        <v>1000015971</v>
      </c>
      <c r="F188" s="530" t="s">
        <v>585</v>
      </c>
      <c r="G188" s="538" t="s">
        <v>476</v>
      </c>
      <c r="H188" s="538">
        <v>124</v>
      </c>
      <c r="I188" s="539"/>
      <c r="J188" s="540" t="str">
        <f t="shared" si="3"/>
        <v>INCLUDED</v>
      </c>
    </row>
    <row r="189" spans="1:10">
      <c r="A189" s="757">
        <v>172</v>
      </c>
      <c r="B189" s="538">
        <v>7000016865</v>
      </c>
      <c r="C189" s="538">
        <v>1850</v>
      </c>
      <c r="D189" s="538" t="s">
        <v>541</v>
      </c>
      <c r="E189" s="538">
        <v>1000017508</v>
      </c>
      <c r="F189" s="530" t="s">
        <v>480</v>
      </c>
      <c r="G189" s="538" t="s">
        <v>481</v>
      </c>
      <c r="H189" s="538">
        <v>248</v>
      </c>
      <c r="I189" s="539"/>
      <c r="J189" s="540" t="str">
        <f t="shared" si="3"/>
        <v>INCLUDED</v>
      </c>
    </row>
    <row r="190" spans="1:10">
      <c r="A190" s="757">
        <v>173</v>
      </c>
      <c r="B190" s="538">
        <v>7000016865</v>
      </c>
      <c r="C190" s="538">
        <v>1860</v>
      </c>
      <c r="D190" s="538" t="s">
        <v>541</v>
      </c>
      <c r="E190" s="538">
        <v>1000009119</v>
      </c>
      <c r="F190" s="530" t="s">
        <v>482</v>
      </c>
      <c r="G190" s="538" t="s">
        <v>481</v>
      </c>
      <c r="H190" s="538">
        <v>124</v>
      </c>
      <c r="I190" s="539"/>
      <c r="J190" s="540" t="str">
        <f t="shared" si="3"/>
        <v>INCLUDED</v>
      </c>
    </row>
    <row r="191" spans="1:10">
      <c r="A191" s="757">
        <v>174</v>
      </c>
      <c r="B191" s="538">
        <v>7000016865</v>
      </c>
      <c r="C191" s="538">
        <v>1870</v>
      </c>
      <c r="D191" s="538" t="s">
        <v>541</v>
      </c>
      <c r="E191" s="538">
        <v>1000006779</v>
      </c>
      <c r="F191" s="530" t="s">
        <v>483</v>
      </c>
      <c r="G191" s="538" t="s">
        <v>481</v>
      </c>
      <c r="H191" s="538">
        <v>124</v>
      </c>
      <c r="I191" s="539"/>
      <c r="J191" s="540" t="str">
        <f t="shared" si="3"/>
        <v>INCLUDED</v>
      </c>
    </row>
    <row r="192" spans="1:10">
      <c r="A192" s="757">
        <v>175</v>
      </c>
      <c r="B192" s="538">
        <v>7000016865</v>
      </c>
      <c r="C192" s="538">
        <v>1880</v>
      </c>
      <c r="D192" s="538" t="s">
        <v>541</v>
      </c>
      <c r="E192" s="538">
        <v>1000007735</v>
      </c>
      <c r="F192" s="530" t="s">
        <v>586</v>
      </c>
      <c r="G192" s="538" t="s">
        <v>481</v>
      </c>
      <c r="H192" s="538">
        <v>102</v>
      </c>
      <c r="I192" s="539"/>
      <c r="J192" s="540" t="str">
        <f t="shared" si="3"/>
        <v>INCLUDED</v>
      </c>
    </row>
    <row r="193" spans="1:10">
      <c r="A193" s="757">
        <v>176</v>
      </c>
      <c r="B193" s="538">
        <v>7000016865</v>
      </c>
      <c r="C193" s="538">
        <v>2270</v>
      </c>
      <c r="D193" s="538" t="s">
        <v>542</v>
      </c>
      <c r="E193" s="538">
        <v>1000019903</v>
      </c>
      <c r="F193" s="530" t="s">
        <v>522</v>
      </c>
      <c r="G193" s="538" t="s">
        <v>476</v>
      </c>
      <c r="H193" s="538">
        <v>30</v>
      </c>
      <c r="I193" s="539"/>
      <c r="J193" s="540" t="str">
        <f t="shared" si="3"/>
        <v>INCLUDED</v>
      </c>
    </row>
    <row r="194" spans="1:10">
      <c r="A194" s="757">
        <v>177</v>
      </c>
      <c r="B194" s="538">
        <v>7000016865</v>
      </c>
      <c r="C194" s="538">
        <v>2280</v>
      </c>
      <c r="D194" s="538" t="s">
        <v>542</v>
      </c>
      <c r="E194" s="538">
        <v>1000016663</v>
      </c>
      <c r="F194" s="530" t="s">
        <v>523</v>
      </c>
      <c r="G194" s="538" t="s">
        <v>481</v>
      </c>
      <c r="H194" s="538">
        <v>14</v>
      </c>
      <c r="I194" s="539"/>
      <c r="J194" s="540" t="str">
        <f t="shared" si="3"/>
        <v>INCLUDED</v>
      </c>
    </row>
    <row r="195" spans="1:10">
      <c r="A195" s="757">
        <v>178</v>
      </c>
      <c r="B195" s="538">
        <v>7000016865</v>
      </c>
      <c r="C195" s="538">
        <v>2300</v>
      </c>
      <c r="D195" s="538" t="s">
        <v>543</v>
      </c>
      <c r="E195" s="538">
        <v>1000030940</v>
      </c>
      <c r="F195" s="530" t="s">
        <v>485</v>
      </c>
      <c r="G195" s="538" t="s">
        <v>484</v>
      </c>
      <c r="H195" s="538">
        <v>47.4</v>
      </c>
      <c r="I195" s="743"/>
      <c r="J195" s="540" t="str">
        <f t="shared" ref="J195:J210" si="4">IF(I195=0, "INCLUDED", IF(ISERROR(I195*H195), I195, I195*H195))</f>
        <v>INCLUDED</v>
      </c>
    </row>
    <row r="196" spans="1:10">
      <c r="A196" s="757">
        <v>179</v>
      </c>
      <c r="B196" s="538">
        <v>7000016865</v>
      </c>
      <c r="C196" s="538">
        <v>2310</v>
      </c>
      <c r="D196" s="538" t="s">
        <v>543</v>
      </c>
      <c r="E196" s="538">
        <v>1000020444</v>
      </c>
      <c r="F196" s="530" t="s">
        <v>588</v>
      </c>
      <c r="G196" s="538" t="s">
        <v>476</v>
      </c>
      <c r="H196" s="538">
        <v>162</v>
      </c>
      <c r="I196" s="743"/>
      <c r="J196" s="540" t="str">
        <f t="shared" si="4"/>
        <v>INCLUDED</v>
      </c>
    </row>
    <row r="197" spans="1:10">
      <c r="A197" s="757">
        <v>180</v>
      </c>
      <c r="B197" s="538">
        <v>7000016865</v>
      </c>
      <c r="C197" s="538">
        <v>2320</v>
      </c>
      <c r="D197" s="538" t="s">
        <v>543</v>
      </c>
      <c r="E197" s="538">
        <v>1000033144</v>
      </c>
      <c r="F197" s="530" t="s">
        <v>486</v>
      </c>
      <c r="G197" s="538" t="s">
        <v>481</v>
      </c>
      <c r="H197" s="538">
        <v>2</v>
      </c>
      <c r="I197" s="743"/>
      <c r="J197" s="540" t="str">
        <f t="shared" si="4"/>
        <v>INCLUDED</v>
      </c>
    </row>
    <row r="198" spans="1:10" ht="31.2">
      <c r="A198" s="757">
        <v>181</v>
      </c>
      <c r="B198" s="538">
        <v>7000016865</v>
      </c>
      <c r="C198" s="538">
        <v>2330</v>
      </c>
      <c r="D198" s="538" t="s">
        <v>543</v>
      </c>
      <c r="E198" s="538">
        <v>1000031039</v>
      </c>
      <c r="F198" s="530" t="s">
        <v>488</v>
      </c>
      <c r="G198" s="538" t="s">
        <v>481</v>
      </c>
      <c r="H198" s="538">
        <v>9</v>
      </c>
      <c r="I198" s="743"/>
      <c r="J198" s="540" t="str">
        <f t="shared" si="4"/>
        <v>INCLUDED</v>
      </c>
    </row>
    <row r="199" spans="1:10">
      <c r="A199" s="757">
        <v>182</v>
      </c>
      <c r="B199" s="538">
        <v>7000016865</v>
      </c>
      <c r="C199" s="538">
        <v>2340</v>
      </c>
      <c r="D199" s="538" t="s">
        <v>543</v>
      </c>
      <c r="E199" s="538">
        <v>1000033146</v>
      </c>
      <c r="F199" s="530" t="s">
        <v>489</v>
      </c>
      <c r="G199" s="538" t="s">
        <v>481</v>
      </c>
      <c r="H199" s="538">
        <v>69</v>
      </c>
      <c r="I199" s="743"/>
      <c r="J199" s="540" t="str">
        <f t="shared" si="4"/>
        <v>INCLUDED</v>
      </c>
    </row>
    <row r="200" spans="1:10" ht="31.2">
      <c r="A200" s="757">
        <v>183</v>
      </c>
      <c r="B200" s="538">
        <v>7000016865</v>
      </c>
      <c r="C200" s="538">
        <v>2350</v>
      </c>
      <c r="D200" s="538" t="s">
        <v>543</v>
      </c>
      <c r="E200" s="538">
        <v>1000031041</v>
      </c>
      <c r="F200" s="530" t="s">
        <v>487</v>
      </c>
      <c r="G200" s="538" t="s">
        <v>481</v>
      </c>
      <c r="H200" s="538">
        <v>1</v>
      </c>
      <c r="I200" s="743"/>
      <c r="J200" s="540" t="str">
        <f t="shared" si="4"/>
        <v>INCLUDED</v>
      </c>
    </row>
    <row r="201" spans="1:10">
      <c r="A201" s="757">
        <v>184</v>
      </c>
      <c r="B201" s="538">
        <v>7000016865</v>
      </c>
      <c r="C201" s="538">
        <v>2360</v>
      </c>
      <c r="D201" s="538" t="s">
        <v>543</v>
      </c>
      <c r="E201" s="538">
        <v>1000022417</v>
      </c>
      <c r="F201" s="530" t="s">
        <v>490</v>
      </c>
      <c r="G201" s="538" t="s">
        <v>476</v>
      </c>
      <c r="H201" s="538">
        <v>644</v>
      </c>
      <c r="I201" s="743"/>
      <c r="J201" s="540" t="str">
        <f t="shared" si="4"/>
        <v>INCLUDED</v>
      </c>
    </row>
    <row r="202" spans="1:10">
      <c r="A202" s="757">
        <v>185</v>
      </c>
      <c r="B202" s="538">
        <v>7000016865</v>
      </c>
      <c r="C202" s="538">
        <v>2370</v>
      </c>
      <c r="D202" s="538" t="s">
        <v>543</v>
      </c>
      <c r="E202" s="538">
        <v>1000010817</v>
      </c>
      <c r="F202" s="530" t="s">
        <v>491</v>
      </c>
      <c r="G202" s="538" t="s">
        <v>476</v>
      </c>
      <c r="H202" s="538">
        <v>616</v>
      </c>
      <c r="I202" s="743"/>
      <c r="J202" s="540" t="str">
        <f t="shared" si="4"/>
        <v>INCLUDED</v>
      </c>
    </row>
    <row r="203" spans="1:10">
      <c r="A203" s="757">
        <v>186</v>
      </c>
      <c r="B203" s="538">
        <v>7000016865</v>
      </c>
      <c r="C203" s="538">
        <v>2380</v>
      </c>
      <c r="D203" s="538" t="s">
        <v>543</v>
      </c>
      <c r="E203" s="538">
        <v>1000014198</v>
      </c>
      <c r="F203" s="530" t="s">
        <v>492</v>
      </c>
      <c r="G203" s="538" t="s">
        <v>476</v>
      </c>
      <c r="H203" s="538">
        <v>12</v>
      </c>
      <c r="I203" s="743"/>
      <c r="J203" s="540" t="str">
        <f t="shared" si="4"/>
        <v>INCLUDED</v>
      </c>
    </row>
    <row r="204" spans="1:10">
      <c r="A204" s="757">
        <v>187</v>
      </c>
      <c r="B204" s="538">
        <v>7000016865</v>
      </c>
      <c r="C204" s="538">
        <v>2390</v>
      </c>
      <c r="D204" s="538" t="s">
        <v>543</v>
      </c>
      <c r="E204" s="538">
        <v>1000030940</v>
      </c>
      <c r="F204" s="530" t="s">
        <v>485</v>
      </c>
      <c r="G204" s="538" t="s">
        <v>484</v>
      </c>
      <c r="H204" s="538">
        <v>1.66</v>
      </c>
      <c r="I204" s="743"/>
      <c r="J204" s="540" t="str">
        <f t="shared" si="4"/>
        <v>INCLUDED</v>
      </c>
    </row>
    <row r="205" spans="1:10">
      <c r="A205" s="757">
        <v>188</v>
      </c>
      <c r="B205" s="538">
        <v>7000016865</v>
      </c>
      <c r="C205" s="538">
        <v>2400</v>
      </c>
      <c r="D205" s="538" t="s">
        <v>543</v>
      </c>
      <c r="E205" s="538">
        <v>1000020444</v>
      </c>
      <c r="F205" s="530" t="s">
        <v>588</v>
      </c>
      <c r="G205" s="538" t="s">
        <v>476</v>
      </c>
      <c r="H205" s="538">
        <v>6</v>
      </c>
      <c r="I205" s="743"/>
      <c r="J205" s="540" t="str">
        <f t="shared" si="4"/>
        <v>INCLUDED</v>
      </c>
    </row>
    <row r="206" spans="1:10">
      <c r="A206" s="757">
        <v>189</v>
      </c>
      <c r="B206" s="538">
        <v>7000016865</v>
      </c>
      <c r="C206" s="538">
        <v>2410</v>
      </c>
      <c r="D206" s="538" t="s">
        <v>543</v>
      </c>
      <c r="E206" s="538">
        <v>1000033144</v>
      </c>
      <c r="F206" s="530" t="s">
        <v>486</v>
      </c>
      <c r="G206" s="538" t="s">
        <v>481</v>
      </c>
      <c r="H206" s="538">
        <v>1</v>
      </c>
      <c r="I206" s="743"/>
      <c r="J206" s="540" t="str">
        <f t="shared" si="4"/>
        <v>INCLUDED</v>
      </c>
    </row>
    <row r="207" spans="1:10" ht="31.2">
      <c r="A207" s="757">
        <v>190</v>
      </c>
      <c r="B207" s="538">
        <v>7000016865</v>
      </c>
      <c r="C207" s="538">
        <v>2420</v>
      </c>
      <c r="D207" s="538" t="s">
        <v>543</v>
      </c>
      <c r="E207" s="538">
        <v>1000031039</v>
      </c>
      <c r="F207" s="530" t="s">
        <v>488</v>
      </c>
      <c r="G207" s="538" t="s">
        <v>481</v>
      </c>
      <c r="H207" s="538">
        <v>1</v>
      </c>
      <c r="I207" s="743"/>
      <c r="J207" s="540" t="str">
        <f t="shared" si="4"/>
        <v>INCLUDED</v>
      </c>
    </row>
    <row r="208" spans="1:10">
      <c r="A208" s="757">
        <v>191</v>
      </c>
      <c r="B208" s="538">
        <v>7000016865</v>
      </c>
      <c r="C208" s="538">
        <v>2430</v>
      </c>
      <c r="D208" s="538" t="s">
        <v>543</v>
      </c>
      <c r="E208" s="538">
        <v>1000033146</v>
      </c>
      <c r="F208" s="530" t="s">
        <v>489</v>
      </c>
      <c r="G208" s="538" t="s">
        <v>481</v>
      </c>
      <c r="H208" s="538">
        <v>1</v>
      </c>
      <c r="I208" s="743"/>
      <c r="J208" s="540" t="str">
        <f t="shared" si="4"/>
        <v>INCLUDED</v>
      </c>
    </row>
    <row r="209" spans="1:11" ht="31.2">
      <c r="A209" s="757">
        <v>192</v>
      </c>
      <c r="B209" s="538">
        <v>7000016865</v>
      </c>
      <c r="C209" s="538">
        <v>2440</v>
      </c>
      <c r="D209" s="538" t="s">
        <v>543</v>
      </c>
      <c r="E209" s="538">
        <v>1000031041</v>
      </c>
      <c r="F209" s="530" t="s">
        <v>487</v>
      </c>
      <c r="G209" s="538" t="s">
        <v>481</v>
      </c>
      <c r="H209" s="538">
        <v>1</v>
      </c>
      <c r="I209" s="743"/>
      <c r="J209" s="540" t="str">
        <f t="shared" si="4"/>
        <v>INCLUDED</v>
      </c>
    </row>
    <row r="210" spans="1:11">
      <c r="A210" s="757">
        <v>193</v>
      </c>
      <c r="B210" s="538">
        <v>7000016865</v>
      </c>
      <c r="C210" s="538">
        <v>2450</v>
      </c>
      <c r="D210" s="538" t="s">
        <v>543</v>
      </c>
      <c r="E210" s="538">
        <v>1000022417</v>
      </c>
      <c r="F210" s="530" t="s">
        <v>490</v>
      </c>
      <c r="G210" s="538" t="s">
        <v>476</v>
      </c>
      <c r="H210" s="538">
        <v>23</v>
      </c>
      <c r="I210" s="743"/>
      <c r="J210" s="540" t="str">
        <f t="shared" si="4"/>
        <v>INCLUDED</v>
      </c>
    </row>
    <row r="211" spans="1:11">
      <c r="A211" s="757">
        <v>194</v>
      </c>
      <c r="B211" s="538">
        <v>7000016865</v>
      </c>
      <c r="C211" s="538">
        <v>2460</v>
      </c>
      <c r="D211" s="538" t="s">
        <v>543</v>
      </c>
      <c r="E211" s="538">
        <v>1000010817</v>
      </c>
      <c r="F211" s="530" t="s">
        <v>491</v>
      </c>
      <c r="G211" s="538" t="s">
        <v>476</v>
      </c>
      <c r="H211" s="538">
        <v>22</v>
      </c>
      <c r="I211" s="743"/>
      <c r="J211" s="540" t="str">
        <f t="shared" ref="J211:J212" si="5">IF(I211=0, "INCLUDED", IF(ISERROR(I211*H211), I211, I211*H211))</f>
        <v>INCLUDED</v>
      </c>
    </row>
    <row r="212" spans="1:11">
      <c r="A212" s="757">
        <v>195</v>
      </c>
      <c r="B212" s="538">
        <v>7000016865</v>
      </c>
      <c r="C212" s="538">
        <v>2470</v>
      </c>
      <c r="D212" s="538" t="s">
        <v>543</v>
      </c>
      <c r="E212" s="538">
        <v>1000014198</v>
      </c>
      <c r="F212" s="530" t="s">
        <v>492</v>
      </c>
      <c r="G212" s="538" t="s">
        <v>476</v>
      </c>
      <c r="H212" s="538">
        <v>1</v>
      </c>
      <c r="I212" s="743"/>
      <c r="J212" s="540" t="str">
        <f t="shared" si="5"/>
        <v>INCLUDED</v>
      </c>
    </row>
    <row r="213" spans="1:11" ht="22.5" customHeight="1">
      <c r="A213" s="836"/>
      <c r="B213" s="837"/>
      <c r="C213" s="837"/>
      <c r="D213" s="837"/>
      <c r="E213" s="837"/>
      <c r="F213" s="837"/>
      <c r="G213" s="837"/>
      <c r="H213" s="837"/>
      <c r="I213" s="837"/>
      <c r="J213" s="838"/>
    </row>
    <row r="214" spans="1:11" ht="33" customHeight="1">
      <c r="A214" s="427"/>
      <c r="B214" s="840" t="s">
        <v>533</v>
      </c>
      <c r="C214" s="841"/>
      <c r="D214" s="841"/>
      <c r="E214" s="841"/>
      <c r="F214" s="841"/>
      <c r="G214" s="841"/>
      <c r="H214" s="842"/>
      <c r="I214" s="468"/>
      <c r="J214" s="733">
        <f>SUM(J18:J212)</f>
        <v>0</v>
      </c>
      <c r="K214" s="469"/>
    </row>
    <row r="215" spans="1:11" ht="57.75" customHeight="1">
      <c r="A215" s="426"/>
      <c r="B215" s="834" t="s">
        <v>338</v>
      </c>
      <c r="C215" s="834"/>
      <c r="D215" s="834"/>
      <c r="E215" s="834"/>
      <c r="F215" s="834"/>
      <c r="G215" s="834"/>
      <c r="H215" s="834"/>
      <c r="I215" s="834"/>
      <c r="J215" s="834"/>
      <c r="K215" s="469"/>
    </row>
    <row r="216" spans="1:11" ht="24.75" customHeight="1">
      <c r="B216" s="413"/>
      <c r="C216" s="413"/>
      <c r="D216" s="413"/>
      <c r="E216" s="413"/>
      <c r="F216" s="413"/>
      <c r="G216" s="413"/>
      <c r="H216" s="347"/>
      <c r="I216" s="413"/>
      <c r="J216" s="347"/>
      <c r="K216" s="469"/>
    </row>
    <row r="217" spans="1:11" s="470" customFormat="1">
      <c r="A217" s="535"/>
      <c r="B217" s="542" t="s">
        <v>307</v>
      </c>
      <c r="C217" s="825" t="str">
        <f>'Sch-1'!C219:D219</f>
        <v xml:space="preserve">  </v>
      </c>
      <c r="D217" s="822"/>
      <c r="E217" s="535"/>
      <c r="F217" s="535"/>
      <c r="G217" s="843" t="s">
        <v>309</v>
      </c>
      <c r="H217" s="843"/>
      <c r="I217" s="824" t="str">
        <f>'Sch-1'!K219</f>
        <v/>
      </c>
      <c r="J217" s="824"/>
    </row>
    <row r="218" spans="1:11" s="470" customFormat="1">
      <c r="A218" s="535"/>
      <c r="B218" s="542" t="s">
        <v>308</v>
      </c>
      <c r="C218" s="822" t="str">
        <f>'Sch-1'!C220:D220</f>
        <v/>
      </c>
      <c r="D218" s="822"/>
      <c r="E218" s="535"/>
      <c r="F218" s="535"/>
      <c r="G218" s="843" t="s">
        <v>124</v>
      </c>
      <c r="H218" s="843"/>
      <c r="I218" s="824" t="str">
        <f>'Sch-1'!K220</f>
        <v/>
      </c>
      <c r="J218" s="824"/>
    </row>
    <row r="219" spans="1:11">
      <c r="B219" s="543"/>
      <c r="C219" s="544"/>
      <c r="D219" s="347"/>
      <c r="E219" s="545"/>
      <c r="F219" s="546"/>
      <c r="G219" s="347"/>
      <c r="H219" s="537"/>
      <c r="I219" s="547"/>
      <c r="J219" s="537"/>
      <c r="K219" s="469"/>
    </row>
    <row r="220" spans="1:11">
      <c r="B220" s="548"/>
      <c r="C220" s="549"/>
      <c r="D220" s="548"/>
      <c r="E220" s="545"/>
      <c r="F220" s="546"/>
      <c r="G220" s="548"/>
      <c r="H220" s="537"/>
      <c r="I220" s="547"/>
      <c r="J220" s="537"/>
      <c r="K220" s="469"/>
    </row>
  </sheetData>
  <sheetProtection password="CC6F" sheet="1" formatColumns="0" formatRows="0" selectLockedCells="1"/>
  <customSheetViews>
    <customSheetView guid="{027A88A6-1BB1-46D4-AC44-9DCFC13F5D7E}" scale="70" showPageBreaks="1" fitToPage="1" printArea="1" view="pageBreakPreview" topLeftCell="A201">
      <selection activeCell="I211" sqref="I211"/>
      <pageMargins left="0.45" right="0.45" top="0.75" bottom="0.5" header="0.3" footer="0.3"/>
      <printOptions horizontalCentered="1"/>
      <pageSetup paperSize="9" scale="55" fitToHeight="0" orientation="landscape" r:id="rId1"/>
      <headerFooter>
        <oddHeader>&amp;RSchedule-2
Page &amp;P of &amp;N</oddHeader>
      </headerFooter>
    </customSheetView>
    <customSheetView guid="{889C3D82-0A24-4765-A688-A80A782F5056}" showPageBreaks="1" fitToPage="1" printArea="1" view="pageBreakPreview">
      <selection activeCell="I78" sqref="I78"/>
      <pageMargins left="0.45" right="0.45" top="0.75" bottom="0.5" header="0.3" footer="0.3"/>
      <printOptions horizontalCentered="1"/>
      <pageSetup paperSize="9" scale="55" fitToHeight="0" orientation="landscape" r:id="rId2"/>
      <headerFooter>
        <oddHeader>&amp;RSchedule-2
Page &amp;P of &amp;N</oddHeader>
      </headerFooter>
    </customSheetView>
    <customSheetView guid="{A58DB4DF-40C7-4BEB-B85E-6BD6F54941CF}" scale="80" showPageBreaks="1" printArea="1" view="pageBreakPreview">
      <selection activeCell="I17" sqref="I17"/>
      <pageMargins left="0.45" right="0.45" top="0.75" bottom="0.5" header="0.3" footer="0.3"/>
      <printOptions horizontalCentered="1"/>
      <pageSetup paperSize="9" scale="62" orientation="landscape" r:id="rId3"/>
      <headerFooter>
        <oddHeader>&amp;RSchedule-2
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4"/>
      <headerFooter>
        <oddHeader>&amp;RSchedule-2
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5"/>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6"/>
    </customSheetView>
    <customSheetView guid="{63D51328-7CBC-4A1E-B96D-BAE91416501B}" scale="80" showPageBreaks="1" printArea="1" view="pageBreakPreview" topLeftCell="A105">
      <selection activeCell="D126" sqref="D126"/>
      <pageMargins left="0.45" right="0.45" top="0.75" bottom="0.5" header="0.3" footer="0.3"/>
      <printOptions horizontalCentered="1"/>
      <pageSetup paperSize="9" scale="62" orientation="landscape" r:id="rId7"/>
      <headerFooter>
        <oddHeader>&amp;RSchedule-2
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8"/>
      <headerFooter>
        <oddHeader>&amp;RSchedule-2
Page &amp;P of &amp;N</oddHeader>
      </headerFooter>
    </customSheetView>
    <customSheetView guid="{CCA37BAE-906F-43D5-9FD9-B13563E4B9D7}" showPageBreaks="1" printArea="1" view="pageBreakPreview" topLeftCell="A191">
      <selection activeCell="I201" sqref="I201:I202"/>
      <pageMargins left="0.45" right="0.45" top="0.75" bottom="0.5" header="0.3" footer="0.3"/>
      <printOptions horizontalCentered="1"/>
      <pageSetup paperSize="9" scale="62" orientation="landscape" r:id="rId9"/>
      <headerFooter>
        <oddHeader>&amp;RSchedule-2
Page &amp;P of &amp;N</oddHeader>
      </headerFooter>
    </customSheetView>
    <customSheetView guid="{18EA11B4-BD82-47BF-99FA-7AB19BF74D0B}" scale="80" showPageBreaks="1" printArea="1" view="pageBreakPreview" topLeftCell="A4">
      <selection activeCell="I18" sqref="I18"/>
      <pageMargins left="0.45" right="0.45" top="0.75" bottom="0.5" header="0.3" footer="0.3"/>
      <printOptions horizontalCentered="1"/>
      <pageSetup paperSize="9" scale="62" orientation="landscape" r:id="rId10"/>
      <headerFooter>
        <oddHeader>&amp;RSchedule-2
Page &amp;P of &amp;N</oddHeader>
      </headerFooter>
    </customSheetView>
    <customSheetView guid="{915C64AD-BD67-44F0-9117-5B9D998BA799}" scale="80" showPageBreaks="1" printArea="1" view="pageBreakPreview">
      <selection activeCell="I17" sqref="I17"/>
      <pageMargins left="0.45" right="0.45" top="0.75" bottom="0.5" header="0.3" footer="0.3"/>
      <printOptions horizontalCentered="1"/>
      <pageSetup paperSize="9" scale="62" orientation="landscape" r:id="rId11"/>
      <headerFooter>
        <oddHeader>&amp;RSchedule-2
Page &amp;P of &amp;N</oddHeader>
      </headerFooter>
    </customSheetView>
    <customSheetView guid="{DACD165C-CB59-4178-94BC-16705741C7B8}" scale="70" showPageBreaks="1" fitToPage="1" printArea="1" view="pageBreakPreview" topLeftCell="A8">
      <selection activeCell="I22" sqref="I22"/>
      <pageMargins left="0.45" right="0.45" top="0.75" bottom="0.5" header="0.3" footer="0.3"/>
      <printOptions horizontalCentered="1"/>
      <pageSetup paperSize="9" scale="55" fitToHeight="0" orientation="landscape" r:id="rId12"/>
      <headerFooter>
        <oddHeader>&amp;RSchedule-2
Page &amp;P of &amp;N</oddHeader>
      </headerFooter>
    </customSheetView>
  </customSheetViews>
  <mergeCells count="22">
    <mergeCell ref="A13:J13"/>
    <mergeCell ref="B214:H214"/>
    <mergeCell ref="G218:H218"/>
    <mergeCell ref="G217:H217"/>
    <mergeCell ref="I218:J218"/>
    <mergeCell ref="B17:E17"/>
    <mergeCell ref="N3:O3"/>
    <mergeCell ref="A4:J4"/>
    <mergeCell ref="A3:J3"/>
    <mergeCell ref="C218:D218"/>
    <mergeCell ref="B215:J215"/>
    <mergeCell ref="C217:D217"/>
    <mergeCell ref="I217:J217"/>
    <mergeCell ref="A6:B6"/>
    <mergeCell ref="I14:J14"/>
    <mergeCell ref="A7:F7"/>
    <mergeCell ref="A8:G8"/>
    <mergeCell ref="C10:E10"/>
    <mergeCell ref="C9:E9"/>
    <mergeCell ref="A213:J213"/>
    <mergeCell ref="C12:E12"/>
    <mergeCell ref="C11:E11"/>
  </mergeCells>
  <dataValidations count="2">
    <dataValidation type="decimal" operator="greaterThan" allowBlank="1" showInputMessage="1" showErrorMessage="1" error="Enter only Numeric value greater than zero or leave the cell blank !" sqref="I64797:I64798" xr:uid="{00000000-0002-0000-0500-000000000000}">
      <formula1>0</formula1>
    </dataValidation>
    <dataValidation type="decimal" operator="greaterThanOrEqual" allowBlank="1" showInputMessage="1" showErrorMessage="1" sqref="I18:I212" xr:uid="{00000000-0002-0000-0500-000001000000}">
      <formula1>0</formula1>
    </dataValidation>
  </dataValidations>
  <printOptions horizontalCentered="1"/>
  <pageMargins left="0.45" right="0.45" top="0.75" bottom="0.5" header="0.3" footer="0.3"/>
  <pageSetup paperSize="9" scale="55" fitToHeight="0" orientation="landscape" r:id="rId13"/>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260"/>
  <sheetViews>
    <sheetView view="pageBreakPreview" topLeftCell="A236" zoomScale="60" zoomScaleNormal="80" workbookViewId="0">
      <selection activeCell="I247" sqref="I247"/>
    </sheetView>
  </sheetViews>
  <sheetFormatPr defaultColWidth="38.5546875" defaultRowHeight="15.6"/>
  <cols>
    <col min="1" max="1" width="5.5546875" style="20" customWidth="1"/>
    <col min="2" max="2" width="12.6640625" style="20" customWidth="1"/>
    <col min="3" max="4" width="9.6640625" style="20" customWidth="1"/>
    <col min="5" max="5" width="9.33203125" style="20" customWidth="1"/>
    <col min="6" max="6" width="26.44140625" style="408" customWidth="1"/>
    <col min="7" max="7" width="20.5546875" style="408" customWidth="1"/>
    <col min="8" max="8" width="13.88671875" style="408" customWidth="1"/>
    <col min="9" max="9" width="15.6640625" style="408" customWidth="1"/>
    <col min="10" max="10" width="12.6640625" style="408" customWidth="1"/>
    <col min="11" max="11" width="17" style="408" customWidth="1"/>
    <col min="12" max="12" width="108.44140625" style="9" customWidth="1"/>
    <col min="13" max="13" width="8.6640625" style="10" customWidth="1"/>
    <col min="14" max="14" width="10.5546875" style="455" customWidth="1"/>
    <col min="15" max="15" width="16.109375" style="10" customWidth="1"/>
    <col min="16" max="16" width="24" style="10" customWidth="1"/>
    <col min="17" max="17" width="9.109375" style="7" hidden="1" customWidth="1"/>
    <col min="18" max="18" width="16.44140625" style="8" hidden="1" customWidth="1"/>
    <col min="19" max="19" width="15.88671875" style="8" hidden="1" customWidth="1"/>
    <col min="20" max="20" width="16.44140625" style="446" hidden="1" customWidth="1"/>
    <col min="21" max="21" width="16.88671875" style="8" hidden="1" customWidth="1"/>
    <col min="22" max="22" width="14.5546875" style="7" hidden="1" customWidth="1"/>
    <col min="23" max="28" width="9.109375" style="7" hidden="1" customWidth="1"/>
    <col min="29" max="31" width="9.109375" style="7" customWidth="1"/>
    <col min="32" max="243" width="9.109375" style="8" customWidth="1"/>
    <col min="244" max="244" width="12.5546875" style="8" customWidth="1"/>
    <col min="245" max="245" width="73.44140625" style="8" customWidth="1"/>
    <col min="246" max="246" width="8.6640625" style="8" customWidth="1"/>
    <col min="247" max="247" width="10.5546875" style="8" customWidth="1"/>
    <col min="248" max="248" width="14.5546875" style="8" customWidth="1"/>
    <col min="249" max="16384" width="38.5546875" style="8"/>
  </cols>
  <sheetData>
    <row r="1" spans="1:31" ht="24.75" customHeight="1">
      <c r="A1" s="18" t="str">
        <f>Cover!B3</f>
        <v>Specification No. : 5002002268/TOWER/DOM/A00 - CC CS -1</v>
      </c>
      <c r="B1" s="18"/>
      <c r="C1" s="18"/>
      <c r="D1" s="18"/>
      <c r="E1" s="18"/>
      <c r="F1" s="406"/>
      <c r="G1" s="406"/>
      <c r="H1" s="406"/>
      <c r="I1" s="406"/>
      <c r="J1" s="406"/>
      <c r="K1" s="406"/>
      <c r="L1" s="387"/>
      <c r="M1" s="6"/>
      <c r="N1" s="6"/>
      <c r="O1" s="1"/>
      <c r="P1" s="2" t="s">
        <v>17</v>
      </c>
    </row>
    <row r="2" spans="1:31">
      <c r="A2" s="19"/>
      <c r="B2" s="19"/>
      <c r="C2" s="19"/>
      <c r="D2" s="19"/>
      <c r="E2" s="19"/>
      <c r="F2" s="407"/>
      <c r="G2" s="407"/>
      <c r="H2" s="407"/>
      <c r="I2" s="407"/>
      <c r="J2" s="407"/>
      <c r="K2" s="407"/>
      <c r="L2" s="381"/>
      <c r="M2" s="4"/>
      <c r="N2" s="4"/>
      <c r="O2" s="3"/>
      <c r="P2" s="3"/>
    </row>
    <row r="3" spans="1:31" ht="80.25" customHeight="1">
      <c r="A3" s="811" t="str">
        <f>Cover!$B$2</f>
        <v>Transmission Line Tower Package-TW01 including Design &amp; Testing of towers, Design of foundation, Supply of HTLS conductor, Composite long rod insulators, Earthwire/OPGW, Hardware Fittings, Accessories for Conductor &amp; Earthwire for M/C portion of (i) 400 kV D/C (Twin HTLS) Navasari (New) (South Gujarat)-Kala line and (ii) 400 kV D/C (Twin HTLS) Navasari (New) (South Gujarat)-Magarwada line and for D/C portion of (i) 400 kV D/C (twin HTLS) Navasari (New) (South Gujarat)-Kala line (From M/c line common point near Magarwada SS to Kala SS) associated with Transmission Network Expansion in Gujarat to increase its ATC from ISTS: Part B.</v>
      </c>
      <c r="B3" s="811"/>
      <c r="C3" s="811"/>
      <c r="D3" s="811"/>
      <c r="E3" s="811"/>
      <c r="F3" s="811"/>
      <c r="G3" s="811"/>
      <c r="H3" s="811"/>
      <c r="I3" s="811"/>
      <c r="J3" s="811"/>
      <c r="K3" s="811"/>
      <c r="L3" s="811"/>
      <c r="M3" s="811"/>
      <c r="N3" s="811"/>
      <c r="O3" s="811"/>
      <c r="P3" s="811"/>
    </row>
    <row r="4" spans="1:31">
      <c r="A4" s="812" t="s">
        <v>19</v>
      </c>
      <c r="B4" s="812"/>
      <c r="C4" s="812"/>
      <c r="D4" s="812"/>
      <c r="E4" s="812"/>
      <c r="F4" s="812"/>
      <c r="G4" s="812"/>
      <c r="H4" s="812"/>
      <c r="I4" s="812"/>
      <c r="J4" s="812"/>
      <c r="K4" s="812"/>
      <c r="L4" s="812"/>
      <c r="M4" s="812"/>
      <c r="N4" s="812"/>
      <c r="O4" s="812"/>
      <c r="P4" s="812"/>
    </row>
    <row r="6" spans="1:31" ht="21.75" customHeight="1">
      <c r="A6" s="813" t="s">
        <v>339</v>
      </c>
      <c r="B6" s="813"/>
      <c r="C6" s="4"/>
      <c r="D6" s="347"/>
      <c r="E6" s="4"/>
      <c r="F6" s="4"/>
      <c r="G6" s="4"/>
      <c r="H6" s="4"/>
      <c r="I6" s="4"/>
    </row>
    <row r="7" spans="1:31" ht="21" customHeight="1">
      <c r="A7" s="818">
        <f>'Sch-1'!A7</f>
        <v>0</v>
      </c>
      <c r="B7" s="818"/>
      <c r="C7" s="818"/>
      <c r="D7" s="818"/>
      <c r="E7" s="818"/>
      <c r="F7" s="818"/>
      <c r="G7" s="818"/>
      <c r="H7" s="818"/>
      <c r="I7" s="818"/>
      <c r="J7" s="409"/>
      <c r="K7" s="409"/>
      <c r="L7" s="388"/>
      <c r="M7" s="11" t="s">
        <v>1</v>
      </c>
      <c r="N7" s="456"/>
      <c r="O7" s="8"/>
      <c r="P7" s="3"/>
    </row>
    <row r="8" spans="1:31" ht="22.5" customHeight="1">
      <c r="A8" s="814" t="str">
        <f>"Bidder’s Name and Address  (" &amp; MID('Names of Bidder'!A9,9, 20) &amp; ") :"</f>
        <v>Bidder’s Name and Address  (Sole Bidder) :</v>
      </c>
      <c r="B8" s="814"/>
      <c r="C8" s="814"/>
      <c r="D8" s="814"/>
      <c r="E8" s="814"/>
      <c r="F8" s="814"/>
      <c r="G8" s="814"/>
      <c r="H8" s="541"/>
      <c r="I8" s="541"/>
      <c r="J8" s="511"/>
      <c r="K8" s="511"/>
      <c r="L8" s="511"/>
      <c r="M8" s="12" t="str">
        <f>'Sch-1'!K8</f>
        <v>Contract Services</v>
      </c>
      <c r="N8" s="511"/>
      <c r="O8" s="8"/>
      <c r="P8" s="3"/>
    </row>
    <row r="9" spans="1:31" ht="24.75" customHeight="1">
      <c r="A9" s="457" t="s">
        <v>12</v>
      </c>
      <c r="B9" s="403"/>
      <c r="C9" s="817" t="str">
        <f>IF('Names of Bidder'!C9=0, "", 'Names of Bidder'!C9)</f>
        <v/>
      </c>
      <c r="D9" s="817"/>
      <c r="E9" s="817"/>
      <c r="F9" s="817"/>
      <c r="G9" s="817"/>
      <c r="H9" s="440"/>
      <c r="I9" s="404"/>
      <c r="J9" s="389"/>
      <c r="K9" s="389"/>
      <c r="L9" s="389"/>
      <c r="M9" s="12" t="str">
        <f>'Sch-1'!K9</f>
        <v>Power Grid Corporation of India Ltd.,</v>
      </c>
      <c r="N9" s="446"/>
      <c r="O9" s="8"/>
      <c r="P9" s="3"/>
    </row>
    <row r="10" spans="1:31" ht="21" customHeight="1">
      <c r="A10" s="457" t="s">
        <v>11</v>
      </c>
      <c r="B10" s="403"/>
      <c r="C10" s="816" t="str">
        <f>IF('Names of Bidder'!C10=0, "", 'Names of Bidder'!C10)</f>
        <v/>
      </c>
      <c r="D10" s="816"/>
      <c r="E10" s="816"/>
      <c r="F10" s="816"/>
      <c r="G10" s="816"/>
      <c r="H10" s="440"/>
      <c r="I10" s="404"/>
      <c r="J10" s="389"/>
      <c r="K10" s="389"/>
      <c r="L10" s="389"/>
      <c r="M10" s="12" t="str">
        <f>'Sch-1'!K10</f>
        <v>"Saudamini", Plot No.-2</v>
      </c>
      <c r="N10" s="446"/>
      <c r="O10" s="8"/>
      <c r="P10" s="3"/>
    </row>
    <row r="11" spans="1:31" ht="20.25" customHeight="1">
      <c r="A11" s="404"/>
      <c r="B11" s="404"/>
      <c r="C11" s="816" t="str">
        <f>IF('Names of Bidder'!C11=0, "", 'Names of Bidder'!C11)</f>
        <v/>
      </c>
      <c r="D11" s="816"/>
      <c r="E11" s="816"/>
      <c r="F11" s="816"/>
      <c r="G11" s="816"/>
      <c r="H11" s="440"/>
      <c r="I11" s="404"/>
      <c r="J11" s="389"/>
      <c r="K11" s="389"/>
      <c r="L11" s="389"/>
      <c r="M11" s="12" t="str">
        <f>'Sch-1'!K11</f>
        <v xml:space="preserve">Sector-29, </v>
      </c>
      <c r="N11" s="446"/>
      <c r="O11" s="8"/>
      <c r="P11" s="3"/>
    </row>
    <row r="12" spans="1:31" ht="21" customHeight="1">
      <c r="A12" s="404"/>
      <c r="B12" s="404"/>
      <c r="C12" s="816" t="str">
        <f>IF('Names of Bidder'!C12=0, "", 'Names of Bidder'!C12)</f>
        <v/>
      </c>
      <c r="D12" s="816"/>
      <c r="E12" s="816"/>
      <c r="F12" s="816"/>
      <c r="G12" s="816"/>
      <c r="H12" s="440"/>
      <c r="I12" s="404"/>
      <c r="J12" s="389"/>
      <c r="K12" s="389"/>
      <c r="L12" s="389"/>
      <c r="M12" s="12" t="str">
        <f>'Sch-1'!K12</f>
        <v>Gurgaon (Haryana) - 122001</v>
      </c>
      <c r="N12" s="446"/>
      <c r="O12" s="8"/>
      <c r="P12" s="3"/>
    </row>
    <row r="13" spans="1:31">
      <c r="A13" s="21"/>
      <c r="B13" s="21"/>
      <c r="C13" s="21"/>
      <c r="D13" s="21"/>
      <c r="E13" s="21"/>
      <c r="F13" s="410"/>
      <c r="G13" s="410"/>
      <c r="H13" s="410"/>
      <c r="I13" s="410"/>
      <c r="J13" s="410"/>
      <c r="K13" s="410"/>
      <c r="L13" s="389"/>
      <c r="M13" s="257"/>
      <c r="N13" s="440"/>
      <c r="O13" s="12"/>
      <c r="P13" s="3"/>
    </row>
    <row r="14" spans="1:31" ht="24.75" customHeight="1" thickBot="1">
      <c r="A14" s="741" t="s">
        <v>21</v>
      </c>
      <c r="B14" s="741"/>
      <c r="C14" s="741"/>
      <c r="D14" s="741"/>
      <c r="E14" s="741"/>
      <c r="F14" s="741"/>
      <c r="G14" s="741"/>
      <c r="H14" s="741"/>
      <c r="I14" s="741"/>
      <c r="J14" s="741"/>
      <c r="K14" s="741"/>
      <c r="L14" s="741"/>
      <c r="M14" s="741"/>
      <c r="N14" s="741"/>
      <c r="O14" s="835" t="s">
        <v>344</v>
      </c>
      <c r="P14" s="835"/>
    </row>
    <row r="15" spans="1:31" s="429" customFormat="1" ht="125.25" customHeight="1">
      <c r="A15" s="475" t="s">
        <v>7</v>
      </c>
      <c r="B15" s="476" t="s">
        <v>260</v>
      </c>
      <c r="C15" s="476" t="s">
        <v>272</v>
      </c>
      <c r="D15" s="476" t="s">
        <v>271</v>
      </c>
      <c r="E15" s="476" t="s">
        <v>273</v>
      </c>
      <c r="F15" s="476" t="s">
        <v>274</v>
      </c>
      <c r="G15" s="475" t="s">
        <v>25</v>
      </c>
      <c r="H15" s="477" t="s">
        <v>311</v>
      </c>
      <c r="I15" s="478" t="s">
        <v>466</v>
      </c>
      <c r="J15" s="478" t="s">
        <v>519</v>
      </c>
      <c r="K15" s="478" t="s">
        <v>465</v>
      </c>
      <c r="L15" s="479" t="s">
        <v>15</v>
      </c>
      <c r="M15" s="480" t="s">
        <v>9</v>
      </c>
      <c r="N15" s="480" t="s">
        <v>16</v>
      </c>
      <c r="O15" s="479" t="s">
        <v>23</v>
      </c>
      <c r="P15" s="479" t="s">
        <v>24</v>
      </c>
      <c r="Q15" s="428"/>
      <c r="R15" s="631" t="s">
        <v>334</v>
      </c>
      <c r="S15" s="634" t="s">
        <v>335</v>
      </c>
      <c r="T15" s="631" t="s">
        <v>332</v>
      </c>
      <c r="U15" s="631" t="s">
        <v>333</v>
      </c>
      <c r="V15" s="428"/>
      <c r="W15" s="428"/>
      <c r="X15" s="428"/>
      <c r="Y15" s="428"/>
      <c r="Z15" s="428"/>
      <c r="AA15" s="428"/>
      <c r="AB15" s="428"/>
      <c r="AC15" s="428"/>
      <c r="AD15" s="428"/>
      <c r="AE15" s="428"/>
    </row>
    <row r="16" spans="1:31" s="429" customFormat="1">
      <c r="A16" s="16">
        <v>1</v>
      </c>
      <c r="B16" s="16">
        <v>2</v>
      </c>
      <c r="C16" s="16">
        <v>3</v>
      </c>
      <c r="D16" s="16">
        <v>4</v>
      </c>
      <c r="E16" s="16">
        <v>5</v>
      </c>
      <c r="F16" s="386">
        <v>6</v>
      </c>
      <c r="G16" s="386">
        <v>7</v>
      </c>
      <c r="H16" s="477">
        <v>8</v>
      </c>
      <c r="I16" s="477">
        <v>9</v>
      </c>
      <c r="J16" s="477">
        <v>10</v>
      </c>
      <c r="K16" s="477">
        <v>11</v>
      </c>
      <c r="L16" s="386">
        <v>12</v>
      </c>
      <c r="M16" s="16">
        <v>13</v>
      </c>
      <c r="N16" s="16">
        <v>14</v>
      </c>
      <c r="O16" s="16">
        <v>15</v>
      </c>
      <c r="P16" s="16" t="s">
        <v>312</v>
      </c>
      <c r="Q16" s="428"/>
      <c r="V16" s="428"/>
      <c r="W16" s="428"/>
      <c r="X16" s="428"/>
      <c r="Y16" s="428"/>
      <c r="Z16" s="428"/>
      <c r="AA16" s="428"/>
      <c r="AB16" s="428"/>
      <c r="AC16" s="428"/>
      <c r="AD16" s="428"/>
      <c r="AE16" s="428"/>
    </row>
    <row r="17" spans="1:31" s="756" customFormat="1" ht="16.2">
      <c r="A17" s="746"/>
      <c r="B17" s="829" t="str">
        <f>+'Sch-2'!B17:E17</f>
        <v xml:space="preserve">TW01 Navasari-Magarwada-Kala </v>
      </c>
      <c r="C17" s="830"/>
      <c r="D17" s="830"/>
      <c r="E17" s="830"/>
      <c r="F17" s="831"/>
      <c r="G17" s="749"/>
      <c r="H17" s="754"/>
      <c r="I17" s="754"/>
      <c r="J17" s="754"/>
      <c r="K17" s="754"/>
      <c r="L17" s="749"/>
      <c r="M17" s="746"/>
      <c r="N17" s="746"/>
      <c r="O17" s="745"/>
      <c r="P17" s="746"/>
      <c r="Q17" s="755"/>
      <c r="V17" s="755"/>
      <c r="W17" s="755"/>
      <c r="X17" s="755"/>
      <c r="Y17" s="755"/>
      <c r="Z17" s="755"/>
      <c r="AA17" s="755"/>
      <c r="AB17" s="755"/>
      <c r="AC17" s="755"/>
      <c r="AD17" s="755"/>
      <c r="AE17" s="755"/>
    </row>
    <row r="18" spans="1:31">
      <c r="A18" s="734">
        <v>1</v>
      </c>
      <c r="B18" s="538">
        <v>7000016865</v>
      </c>
      <c r="C18" s="538">
        <v>650</v>
      </c>
      <c r="D18" s="553">
        <v>90</v>
      </c>
      <c r="E18" s="553">
        <v>10</v>
      </c>
      <c r="F18" s="553" t="s">
        <v>636</v>
      </c>
      <c r="G18" s="553">
        <v>100001242</v>
      </c>
      <c r="H18" s="553">
        <v>998344</v>
      </c>
      <c r="I18" s="554"/>
      <c r="J18" s="553">
        <v>18</v>
      </c>
      <c r="K18" s="552"/>
      <c r="L18" s="551" t="s">
        <v>493</v>
      </c>
      <c r="M18" s="744" t="s">
        <v>484</v>
      </c>
      <c r="N18" s="744">
        <v>43.29</v>
      </c>
      <c r="O18" s="539"/>
      <c r="P18" s="550" t="str">
        <f t="shared" ref="P18:P179" si="0">IF(O18=0, "INCLUDED", IF(ISERROR(N18*O18), O18, N18*O18))</f>
        <v>INCLUDED</v>
      </c>
      <c r="Q18" s="509">
        <f t="shared" ref="Q18:Q179" si="1">IF(P18="Included",0,P18)</f>
        <v>0</v>
      </c>
      <c r="R18" s="447">
        <f>IF( K18="",J18*(IF(P18="Included",0,P18))/100,K18*(IF(P18="Included",0,P18)))</f>
        <v>0</v>
      </c>
      <c r="S18" s="630">
        <f>Discount!$J$36</f>
        <v>0</v>
      </c>
      <c r="T18" s="447">
        <f>S18*Q18</f>
        <v>0</v>
      </c>
      <c r="U18" s="448">
        <f>IF(K18="",J18*T18/100,K18*T18)</f>
        <v>0</v>
      </c>
      <c r="V18" s="740">
        <f>O18*N18</f>
        <v>0</v>
      </c>
      <c r="W18" s="259"/>
      <c r="X18" s="259"/>
      <c r="Y18" s="259"/>
      <c r="Z18" s="259"/>
      <c r="AA18" s="259"/>
    </row>
    <row r="19" spans="1:31">
      <c r="A19" s="734">
        <v>2</v>
      </c>
      <c r="B19" s="538">
        <v>7000016865</v>
      </c>
      <c r="C19" s="538">
        <v>650</v>
      </c>
      <c r="D19" s="553">
        <v>90</v>
      </c>
      <c r="E19" s="553">
        <v>20</v>
      </c>
      <c r="F19" s="553" t="s">
        <v>636</v>
      </c>
      <c r="G19" s="553">
        <v>100001243</v>
      </c>
      <c r="H19" s="553">
        <v>998344</v>
      </c>
      <c r="I19" s="554"/>
      <c r="J19" s="553">
        <v>18</v>
      </c>
      <c r="K19" s="552"/>
      <c r="L19" s="551" t="s">
        <v>494</v>
      </c>
      <c r="M19" s="744" t="s">
        <v>484</v>
      </c>
      <c r="N19" s="744">
        <v>43.29</v>
      </c>
      <c r="O19" s="539"/>
      <c r="P19" s="550" t="str">
        <f t="shared" si="0"/>
        <v>INCLUDED</v>
      </c>
      <c r="Q19" s="509">
        <f t="shared" si="1"/>
        <v>0</v>
      </c>
      <c r="R19" s="447">
        <f t="shared" ref="R19:R177" si="2">IF( K19="",J19*(IF(P19="Included",0,P19))/100,K19*(IF(P19="Included",0,P19)))</f>
        <v>0</v>
      </c>
      <c r="S19" s="630">
        <f>Discount!$J$36</f>
        <v>0</v>
      </c>
      <c r="T19" s="447">
        <f t="shared" ref="T19:T177" si="3">S19*Q19</f>
        <v>0</v>
      </c>
      <c r="U19" s="448">
        <f t="shared" ref="U19:U177" si="4">IF(K19="",J19*T19/100,K19*T19)</f>
        <v>0</v>
      </c>
      <c r="V19" s="740">
        <f t="shared" ref="V19:V201" si="5">O19*N19</f>
        <v>0</v>
      </c>
      <c r="W19" s="259"/>
      <c r="X19" s="259"/>
      <c r="Y19" s="259"/>
      <c r="Z19" s="259"/>
      <c r="AA19" s="259"/>
    </row>
    <row r="20" spans="1:31">
      <c r="A20" s="734">
        <v>3</v>
      </c>
      <c r="B20" s="538">
        <v>7000016865</v>
      </c>
      <c r="C20" s="538">
        <v>660</v>
      </c>
      <c r="D20" s="553">
        <v>100</v>
      </c>
      <c r="E20" s="553">
        <v>10</v>
      </c>
      <c r="F20" s="553" t="s">
        <v>637</v>
      </c>
      <c r="G20" s="553">
        <v>100001244</v>
      </c>
      <c r="H20" s="553">
        <v>998342</v>
      </c>
      <c r="I20" s="554"/>
      <c r="J20" s="553">
        <v>18</v>
      </c>
      <c r="K20" s="552"/>
      <c r="L20" s="551" t="s">
        <v>495</v>
      </c>
      <c r="M20" s="744" t="s">
        <v>476</v>
      </c>
      <c r="N20" s="744">
        <v>8</v>
      </c>
      <c r="O20" s="539"/>
      <c r="P20" s="550" t="str">
        <f t="shared" si="0"/>
        <v>INCLUDED</v>
      </c>
      <c r="Q20" s="509">
        <f t="shared" si="1"/>
        <v>0</v>
      </c>
      <c r="R20" s="447">
        <f t="shared" si="2"/>
        <v>0</v>
      </c>
      <c r="S20" s="630">
        <f>Discount!$J$36</f>
        <v>0</v>
      </c>
      <c r="T20" s="447">
        <f t="shared" si="3"/>
        <v>0</v>
      </c>
      <c r="U20" s="448">
        <f t="shared" si="4"/>
        <v>0</v>
      </c>
      <c r="V20" s="740">
        <f t="shared" si="5"/>
        <v>0</v>
      </c>
      <c r="W20" s="259"/>
      <c r="X20" s="259"/>
      <c r="Y20" s="259"/>
      <c r="Z20" s="259"/>
      <c r="AA20" s="259"/>
    </row>
    <row r="21" spans="1:31">
      <c r="A21" s="734">
        <v>4</v>
      </c>
      <c r="B21" s="538">
        <v>7000016865</v>
      </c>
      <c r="C21" s="538">
        <v>660</v>
      </c>
      <c r="D21" s="553">
        <v>100</v>
      </c>
      <c r="E21" s="553">
        <v>20</v>
      </c>
      <c r="F21" s="553" t="s">
        <v>637</v>
      </c>
      <c r="G21" s="553">
        <v>100001245</v>
      </c>
      <c r="H21" s="553">
        <v>998342</v>
      </c>
      <c r="I21" s="554"/>
      <c r="J21" s="553">
        <v>18</v>
      </c>
      <c r="K21" s="552"/>
      <c r="L21" s="551" t="s">
        <v>496</v>
      </c>
      <c r="M21" s="744" t="s">
        <v>476</v>
      </c>
      <c r="N21" s="744">
        <v>4</v>
      </c>
      <c r="O21" s="539"/>
      <c r="P21" s="550" t="str">
        <f t="shared" si="0"/>
        <v>INCLUDED</v>
      </c>
      <c r="Q21" s="509">
        <f t="shared" si="1"/>
        <v>0</v>
      </c>
      <c r="R21" s="447">
        <f t="shared" si="2"/>
        <v>0</v>
      </c>
      <c r="S21" s="630">
        <f>Discount!$J$36</f>
        <v>0</v>
      </c>
      <c r="T21" s="447">
        <f t="shared" si="3"/>
        <v>0</v>
      </c>
      <c r="U21" s="448">
        <f t="shared" si="4"/>
        <v>0</v>
      </c>
      <c r="V21" s="740">
        <f t="shared" si="5"/>
        <v>0</v>
      </c>
      <c r="W21" s="259"/>
      <c r="X21" s="259"/>
      <c r="Y21" s="259"/>
      <c r="Z21" s="259"/>
      <c r="AA21" s="259"/>
    </row>
    <row r="22" spans="1:31">
      <c r="A22" s="734">
        <v>5</v>
      </c>
      <c r="B22" s="538">
        <v>7000016865</v>
      </c>
      <c r="C22" s="538">
        <v>660</v>
      </c>
      <c r="D22" s="553">
        <v>100</v>
      </c>
      <c r="E22" s="553">
        <v>30</v>
      </c>
      <c r="F22" s="553" t="s">
        <v>637</v>
      </c>
      <c r="G22" s="553">
        <v>100001246</v>
      </c>
      <c r="H22" s="553">
        <v>998342</v>
      </c>
      <c r="I22" s="554"/>
      <c r="J22" s="553">
        <v>18</v>
      </c>
      <c r="K22" s="552"/>
      <c r="L22" s="551" t="s">
        <v>515</v>
      </c>
      <c r="M22" s="744" t="s">
        <v>476</v>
      </c>
      <c r="N22" s="744">
        <v>1</v>
      </c>
      <c r="O22" s="539"/>
      <c r="P22" s="550" t="str">
        <f t="shared" si="0"/>
        <v>INCLUDED</v>
      </c>
      <c r="Q22" s="509">
        <f t="shared" si="1"/>
        <v>0</v>
      </c>
      <c r="R22" s="447">
        <f t="shared" si="2"/>
        <v>0</v>
      </c>
      <c r="S22" s="630">
        <f>Discount!$J$36</f>
        <v>0</v>
      </c>
      <c r="T22" s="447">
        <f t="shared" si="3"/>
        <v>0</v>
      </c>
      <c r="U22" s="448">
        <f t="shared" si="4"/>
        <v>0</v>
      </c>
      <c r="V22" s="740">
        <f t="shared" si="5"/>
        <v>0</v>
      </c>
      <c r="W22" s="259"/>
      <c r="X22" s="259"/>
      <c r="Y22" s="259"/>
      <c r="Z22" s="259"/>
      <c r="AA22" s="259"/>
    </row>
    <row r="23" spans="1:31">
      <c r="A23" s="734">
        <v>6</v>
      </c>
      <c r="B23" s="538">
        <v>7000016865</v>
      </c>
      <c r="C23" s="538">
        <v>660</v>
      </c>
      <c r="D23" s="553">
        <v>100</v>
      </c>
      <c r="E23" s="553">
        <v>40</v>
      </c>
      <c r="F23" s="553" t="s">
        <v>637</v>
      </c>
      <c r="G23" s="553">
        <v>100001247</v>
      </c>
      <c r="H23" s="553">
        <v>998342</v>
      </c>
      <c r="I23" s="554"/>
      <c r="J23" s="553">
        <v>18</v>
      </c>
      <c r="K23" s="552"/>
      <c r="L23" s="551" t="s">
        <v>651</v>
      </c>
      <c r="M23" s="744" t="s">
        <v>476</v>
      </c>
      <c r="N23" s="744">
        <v>1</v>
      </c>
      <c r="O23" s="539"/>
      <c r="P23" s="550" t="str">
        <f t="shared" si="0"/>
        <v>INCLUDED</v>
      </c>
      <c r="Q23" s="509">
        <f t="shared" si="1"/>
        <v>0</v>
      </c>
      <c r="R23" s="447">
        <f t="shared" si="2"/>
        <v>0</v>
      </c>
      <c r="S23" s="630">
        <f>Discount!$J$36</f>
        <v>0</v>
      </c>
      <c r="T23" s="447">
        <f t="shared" si="3"/>
        <v>0</v>
      </c>
      <c r="U23" s="448">
        <f t="shared" si="4"/>
        <v>0</v>
      </c>
      <c r="V23" s="740">
        <f t="shared" si="5"/>
        <v>0</v>
      </c>
      <c r="W23" s="259"/>
      <c r="X23" s="259"/>
      <c r="Y23" s="259"/>
      <c r="Z23" s="259"/>
      <c r="AA23" s="259"/>
    </row>
    <row r="24" spans="1:31">
      <c r="A24" s="734">
        <v>7</v>
      </c>
      <c r="B24" s="538">
        <v>7000016865</v>
      </c>
      <c r="C24" s="538">
        <v>670</v>
      </c>
      <c r="D24" s="553">
        <v>110</v>
      </c>
      <c r="E24" s="553">
        <v>10</v>
      </c>
      <c r="F24" s="553" t="s">
        <v>638</v>
      </c>
      <c r="G24" s="553">
        <v>100001252</v>
      </c>
      <c r="H24" s="553">
        <v>995432</v>
      </c>
      <c r="I24" s="554"/>
      <c r="J24" s="553">
        <v>18</v>
      </c>
      <c r="K24" s="552"/>
      <c r="L24" s="551" t="s">
        <v>497</v>
      </c>
      <c r="M24" s="744" t="s">
        <v>498</v>
      </c>
      <c r="N24" s="744">
        <v>3000</v>
      </c>
      <c r="O24" s="539"/>
      <c r="P24" s="550" t="str">
        <f t="shared" si="0"/>
        <v>INCLUDED</v>
      </c>
      <c r="Q24" s="509">
        <f t="shared" si="1"/>
        <v>0</v>
      </c>
      <c r="R24" s="447">
        <f t="shared" si="2"/>
        <v>0</v>
      </c>
      <c r="S24" s="630">
        <f>Discount!$J$36</f>
        <v>0</v>
      </c>
      <c r="T24" s="447">
        <f t="shared" si="3"/>
        <v>0</v>
      </c>
      <c r="U24" s="448">
        <f t="shared" si="4"/>
        <v>0</v>
      </c>
      <c r="V24" s="740">
        <f t="shared" si="5"/>
        <v>0</v>
      </c>
      <c r="W24" s="259"/>
      <c r="X24" s="259"/>
      <c r="Y24" s="259"/>
      <c r="Z24" s="259"/>
      <c r="AA24" s="259"/>
    </row>
    <row r="25" spans="1:31">
      <c r="A25" s="734">
        <v>8</v>
      </c>
      <c r="B25" s="538">
        <v>7000016865</v>
      </c>
      <c r="C25" s="538">
        <v>670</v>
      </c>
      <c r="D25" s="553">
        <v>110</v>
      </c>
      <c r="E25" s="553">
        <v>20</v>
      </c>
      <c r="F25" s="553" t="s">
        <v>638</v>
      </c>
      <c r="G25" s="553">
        <v>100001253</v>
      </c>
      <c r="H25" s="553">
        <v>995432</v>
      </c>
      <c r="I25" s="554"/>
      <c r="J25" s="553">
        <v>18</v>
      </c>
      <c r="K25" s="552"/>
      <c r="L25" s="551" t="s">
        <v>516</v>
      </c>
      <c r="M25" s="744" t="s">
        <v>498</v>
      </c>
      <c r="N25" s="744">
        <v>800</v>
      </c>
      <c r="O25" s="539"/>
      <c r="P25" s="550" t="str">
        <f t="shared" si="0"/>
        <v>INCLUDED</v>
      </c>
      <c r="Q25" s="509">
        <f t="shared" si="1"/>
        <v>0</v>
      </c>
      <c r="R25" s="447">
        <f t="shared" si="2"/>
        <v>0</v>
      </c>
      <c r="S25" s="630">
        <f>Discount!$J$36</f>
        <v>0</v>
      </c>
      <c r="T25" s="447">
        <f t="shared" si="3"/>
        <v>0</v>
      </c>
      <c r="U25" s="448">
        <f t="shared" si="4"/>
        <v>0</v>
      </c>
      <c r="V25" s="740">
        <f t="shared" si="5"/>
        <v>0</v>
      </c>
      <c r="W25" s="259"/>
      <c r="X25" s="259"/>
      <c r="Y25" s="259"/>
      <c r="Z25" s="259"/>
      <c r="AA25" s="259"/>
    </row>
    <row r="26" spans="1:31">
      <c r="A26" s="734">
        <v>9</v>
      </c>
      <c r="B26" s="538">
        <v>7000016865</v>
      </c>
      <c r="C26" s="538">
        <v>670</v>
      </c>
      <c r="D26" s="553">
        <v>110</v>
      </c>
      <c r="E26" s="553">
        <v>30</v>
      </c>
      <c r="F26" s="553" t="s">
        <v>638</v>
      </c>
      <c r="G26" s="553">
        <v>100001254</v>
      </c>
      <c r="H26" s="553">
        <v>995432</v>
      </c>
      <c r="I26" s="554"/>
      <c r="J26" s="553">
        <v>18</v>
      </c>
      <c r="K26" s="552"/>
      <c r="L26" s="551" t="s">
        <v>517</v>
      </c>
      <c r="M26" s="744" t="s">
        <v>498</v>
      </c>
      <c r="N26" s="744">
        <v>100</v>
      </c>
      <c r="O26" s="539"/>
      <c r="P26" s="550" t="str">
        <f t="shared" si="0"/>
        <v>INCLUDED</v>
      </c>
      <c r="Q26" s="509">
        <f t="shared" si="1"/>
        <v>0</v>
      </c>
      <c r="R26" s="447">
        <f t="shared" si="2"/>
        <v>0</v>
      </c>
      <c r="S26" s="630">
        <f>Discount!$J$36</f>
        <v>0</v>
      </c>
      <c r="T26" s="447">
        <f t="shared" si="3"/>
        <v>0</v>
      </c>
      <c r="U26" s="448">
        <f t="shared" si="4"/>
        <v>0</v>
      </c>
      <c r="V26" s="740">
        <f t="shared" si="5"/>
        <v>0</v>
      </c>
      <c r="W26" s="259"/>
      <c r="X26" s="259"/>
      <c r="Y26" s="259"/>
      <c r="Z26" s="259"/>
      <c r="AA26" s="259"/>
    </row>
    <row r="27" spans="1:31" ht="46.8">
      <c r="A27" s="734">
        <v>10</v>
      </c>
      <c r="B27" s="538">
        <v>7000016865</v>
      </c>
      <c r="C27" s="538">
        <v>680</v>
      </c>
      <c r="D27" s="553">
        <v>120</v>
      </c>
      <c r="E27" s="553">
        <v>650</v>
      </c>
      <c r="F27" s="553" t="s">
        <v>639</v>
      </c>
      <c r="G27" s="553">
        <v>100022296</v>
      </c>
      <c r="H27" s="553">
        <v>998335</v>
      </c>
      <c r="I27" s="554"/>
      <c r="J27" s="553">
        <v>18</v>
      </c>
      <c r="K27" s="552"/>
      <c r="L27" s="551" t="s">
        <v>652</v>
      </c>
      <c r="M27" s="744" t="s">
        <v>476</v>
      </c>
      <c r="N27" s="744">
        <v>3</v>
      </c>
      <c r="O27" s="539"/>
      <c r="P27" s="550" t="str">
        <f t="shared" si="0"/>
        <v>INCLUDED</v>
      </c>
      <c r="Q27" s="509">
        <f t="shared" si="1"/>
        <v>0</v>
      </c>
      <c r="R27" s="447">
        <f t="shared" si="2"/>
        <v>0</v>
      </c>
      <c r="S27" s="630">
        <f>Discount!$J$36</f>
        <v>0</v>
      </c>
      <c r="T27" s="447">
        <f t="shared" si="3"/>
        <v>0</v>
      </c>
      <c r="U27" s="448">
        <f t="shared" si="4"/>
        <v>0</v>
      </c>
      <c r="V27" s="740">
        <f t="shared" si="5"/>
        <v>0</v>
      </c>
      <c r="W27" s="259"/>
      <c r="X27" s="259"/>
      <c r="Y27" s="259"/>
      <c r="Z27" s="259"/>
      <c r="AA27" s="259"/>
    </row>
    <row r="28" spans="1:31" ht="46.8">
      <c r="A28" s="734">
        <v>11</v>
      </c>
      <c r="B28" s="538">
        <v>7000016865</v>
      </c>
      <c r="C28" s="538">
        <v>680</v>
      </c>
      <c r="D28" s="553">
        <v>120</v>
      </c>
      <c r="E28" s="553">
        <v>660</v>
      </c>
      <c r="F28" s="553" t="s">
        <v>639</v>
      </c>
      <c r="G28" s="553">
        <v>100022304</v>
      </c>
      <c r="H28" s="553">
        <v>998335</v>
      </c>
      <c r="I28" s="554"/>
      <c r="J28" s="553">
        <v>18</v>
      </c>
      <c r="K28" s="552"/>
      <c r="L28" s="551" t="s">
        <v>653</v>
      </c>
      <c r="M28" s="744" t="s">
        <v>476</v>
      </c>
      <c r="N28" s="744">
        <v>6</v>
      </c>
      <c r="O28" s="539"/>
      <c r="P28" s="550" t="str">
        <f t="shared" si="0"/>
        <v>INCLUDED</v>
      </c>
      <c r="Q28" s="509">
        <f t="shared" si="1"/>
        <v>0</v>
      </c>
      <c r="R28" s="447">
        <f t="shared" si="2"/>
        <v>0</v>
      </c>
      <c r="S28" s="630">
        <f>Discount!$J$36</f>
        <v>0</v>
      </c>
      <c r="T28" s="447">
        <f t="shared" si="3"/>
        <v>0</v>
      </c>
      <c r="U28" s="448">
        <f t="shared" si="4"/>
        <v>0</v>
      </c>
      <c r="V28" s="740">
        <f t="shared" si="5"/>
        <v>0</v>
      </c>
      <c r="W28" s="259"/>
      <c r="X28" s="259"/>
      <c r="Y28" s="259"/>
      <c r="Z28" s="259"/>
      <c r="AA28" s="259"/>
    </row>
    <row r="29" spans="1:31" ht="46.8">
      <c r="A29" s="734">
        <v>12</v>
      </c>
      <c r="B29" s="538">
        <v>7000016865</v>
      </c>
      <c r="C29" s="538">
        <v>680</v>
      </c>
      <c r="D29" s="553">
        <v>120</v>
      </c>
      <c r="E29" s="553">
        <v>670</v>
      </c>
      <c r="F29" s="553" t="s">
        <v>639</v>
      </c>
      <c r="G29" s="553">
        <v>100022305</v>
      </c>
      <c r="H29" s="553">
        <v>998335</v>
      </c>
      <c r="I29" s="554"/>
      <c r="J29" s="553">
        <v>18</v>
      </c>
      <c r="K29" s="552"/>
      <c r="L29" s="551" t="s">
        <v>654</v>
      </c>
      <c r="M29" s="744" t="s">
        <v>476</v>
      </c>
      <c r="N29" s="744">
        <v>6</v>
      </c>
      <c r="O29" s="539"/>
      <c r="P29" s="550" t="str">
        <f t="shared" si="0"/>
        <v>INCLUDED</v>
      </c>
      <c r="Q29" s="509">
        <f t="shared" si="1"/>
        <v>0</v>
      </c>
      <c r="R29" s="447">
        <f t="shared" si="2"/>
        <v>0</v>
      </c>
      <c r="S29" s="630">
        <f>Discount!$J$36</f>
        <v>0</v>
      </c>
      <c r="T29" s="447">
        <f t="shared" si="3"/>
        <v>0</v>
      </c>
      <c r="U29" s="448">
        <f t="shared" si="4"/>
        <v>0</v>
      </c>
      <c r="V29" s="740">
        <f t="shared" si="5"/>
        <v>0</v>
      </c>
      <c r="W29" s="259"/>
      <c r="X29" s="259"/>
      <c r="Y29" s="259"/>
      <c r="Z29" s="259"/>
      <c r="AA29" s="259"/>
    </row>
    <row r="30" spans="1:31" ht="46.8">
      <c r="A30" s="734">
        <v>13</v>
      </c>
      <c r="B30" s="538">
        <v>7000016865</v>
      </c>
      <c r="C30" s="538">
        <v>680</v>
      </c>
      <c r="D30" s="553">
        <v>120</v>
      </c>
      <c r="E30" s="553">
        <v>680</v>
      </c>
      <c r="F30" s="553" t="s">
        <v>639</v>
      </c>
      <c r="G30" s="553">
        <v>100022307</v>
      </c>
      <c r="H30" s="553">
        <v>998335</v>
      </c>
      <c r="I30" s="554"/>
      <c r="J30" s="553">
        <v>18</v>
      </c>
      <c r="K30" s="552"/>
      <c r="L30" s="551" t="s">
        <v>655</v>
      </c>
      <c r="M30" s="744" t="s">
        <v>476</v>
      </c>
      <c r="N30" s="744">
        <v>10</v>
      </c>
      <c r="O30" s="539"/>
      <c r="P30" s="550" t="str">
        <f t="shared" si="0"/>
        <v>INCLUDED</v>
      </c>
      <c r="Q30" s="509">
        <f t="shared" si="1"/>
        <v>0</v>
      </c>
      <c r="R30" s="447">
        <f t="shared" si="2"/>
        <v>0</v>
      </c>
      <c r="S30" s="630">
        <f>Discount!$J$36</f>
        <v>0</v>
      </c>
      <c r="T30" s="447">
        <f t="shared" si="3"/>
        <v>0</v>
      </c>
      <c r="U30" s="448">
        <f t="shared" si="4"/>
        <v>0</v>
      </c>
      <c r="V30" s="740">
        <f t="shared" si="5"/>
        <v>0</v>
      </c>
      <c r="W30" s="259"/>
      <c r="X30" s="259"/>
      <c r="Y30" s="259"/>
      <c r="Z30" s="259"/>
      <c r="AA30" s="259"/>
    </row>
    <row r="31" spans="1:31" ht="46.8">
      <c r="A31" s="734">
        <v>14</v>
      </c>
      <c r="B31" s="538">
        <v>7000016865</v>
      </c>
      <c r="C31" s="538">
        <v>680</v>
      </c>
      <c r="D31" s="553">
        <v>120</v>
      </c>
      <c r="E31" s="553">
        <v>690</v>
      </c>
      <c r="F31" s="553" t="s">
        <v>639</v>
      </c>
      <c r="G31" s="553">
        <v>100022310</v>
      </c>
      <c r="H31" s="553">
        <v>998335</v>
      </c>
      <c r="I31" s="554"/>
      <c r="J31" s="553">
        <v>18</v>
      </c>
      <c r="K31" s="552"/>
      <c r="L31" s="551" t="s">
        <v>656</v>
      </c>
      <c r="M31" s="744" t="s">
        <v>476</v>
      </c>
      <c r="N31" s="744">
        <v>3</v>
      </c>
      <c r="O31" s="539"/>
      <c r="P31" s="550" t="str">
        <f t="shared" si="0"/>
        <v>INCLUDED</v>
      </c>
      <c r="Q31" s="509">
        <f t="shared" si="1"/>
        <v>0</v>
      </c>
      <c r="R31" s="447">
        <f t="shared" si="2"/>
        <v>0</v>
      </c>
      <c r="S31" s="630">
        <f>Discount!$J$36</f>
        <v>0</v>
      </c>
      <c r="T31" s="447">
        <f t="shared" si="3"/>
        <v>0</v>
      </c>
      <c r="U31" s="448">
        <f t="shared" si="4"/>
        <v>0</v>
      </c>
      <c r="V31" s="740">
        <f t="shared" si="5"/>
        <v>0</v>
      </c>
      <c r="W31" s="259"/>
      <c r="X31" s="259"/>
      <c r="Y31" s="259"/>
      <c r="Z31" s="259"/>
      <c r="AA31" s="259"/>
    </row>
    <row r="32" spans="1:31" ht="46.8">
      <c r="A32" s="734">
        <v>15</v>
      </c>
      <c r="B32" s="538">
        <v>7000016865</v>
      </c>
      <c r="C32" s="538">
        <v>680</v>
      </c>
      <c r="D32" s="553">
        <v>120</v>
      </c>
      <c r="E32" s="553">
        <v>700</v>
      </c>
      <c r="F32" s="553" t="s">
        <v>639</v>
      </c>
      <c r="G32" s="553">
        <v>100022312</v>
      </c>
      <c r="H32" s="553">
        <v>998335</v>
      </c>
      <c r="I32" s="554"/>
      <c r="J32" s="553">
        <v>18</v>
      </c>
      <c r="K32" s="552"/>
      <c r="L32" s="551" t="s">
        <v>657</v>
      </c>
      <c r="M32" s="744" t="s">
        <v>476</v>
      </c>
      <c r="N32" s="744">
        <v>14</v>
      </c>
      <c r="O32" s="539"/>
      <c r="P32" s="550" t="str">
        <f t="shared" si="0"/>
        <v>INCLUDED</v>
      </c>
      <c r="Q32" s="509">
        <f t="shared" si="1"/>
        <v>0</v>
      </c>
      <c r="R32" s="447">
        <f t="shared" si="2"/>
        <v>0</v>
      </c>
      <c r="S32" s="630">
        <f>Discount!$J$36</f>
        <v>0</v>
      </c>
      <c r="T32" s="447">
        <f t="shared" si="3"/>
        <v>0</v>
      </c>
      <c r="U32" s="448">
        <f t="shared" si="4"/>
        <v>0</v>
      </c>
      <c r="V32" s="740">
        <f t="shared" si="5"/>
        <v>0</v>
      </c>
      <c r="W32" s="259"/>
      <c r="X32" s="259"/>
      <c r="Y32" s="259"/>
      <c r="Z32" s="259"/>
      <c r="AA32" s="259"/>
    </row>
    <row r="33" spans="1:27" ht="46.8">
      <c r="A33" s="734">
        <v>16</v>
      </c>
      <c r="B33" s="538">
        <v>7000016865</v>
      </c>
      <c r="C33" s="538">
        <v>680</v>
      </c>
      <c r="D33" s="553">
        <v>120</v>
      </c>
      <c r="E33" s="553">
        <v>710</v>
      </c>
      <c r="F33" s="553" t="s">
        <v>639</v>
      </c>
      <c r="G33" s="553">
        <v>100022371</v>
      </c>
      <c r="H33" s="553">
        <v>998335</v>
      </c>
      <c r="I33" s="554"/>
      <c r="J33" s="553">
        <v>18</v>
      </c>
      <c r="K33" s="552"/>
      <c r="L33" s="551" t="s">
        <v>658</v>
      </c>
      <c r="M33" s="744" t="s">
        <v>476</v>
      </c>
      <c r="N33" s="744">
        <v>1</v>
      </c>
      <c r="O33" s="539"/>
      <c r="P33" s="550" t="str">
        <f t="shared" si="0"/>
        <v>INCLUDED</v>
      </c>
      <c r="Q33" s="509">
        <f t="shared" si="1"/>
        <v>0</v>
      </c>
      <c r="R33" s="447">
        <f t="shared" si="2"/>
        <v>0</v>
      </c>
      <c r="S33" s="630">
        <f>Discount!$J$36</f>
        <v>0</v>
      </c>
      <c r="T33" s="447">
        <f t="shared" si="3"/>
        <v>0</v>
      </c>
      <c r="U33" s="448">
        <f t="shared" si="4"/>
        <v>0</v>
      </c>
      <c r="V33" s="740">
        <f t="shared" si="5"/>
        <v>0</v>
      </c>
      <c r="W33" s="259"/>
      <c r="X33" s="259"/>
      <c r="Y33" s="259"/>
      <c r="Z33" s="259"/>
      <c r="AA33" s="259"/>
    </row>
    <row r="34" spans="1:27" ht="46.8">
      <c r="A34" s="734">
        <v>17</v>
      </c>
      <c r="B34" s="538">
        <v>7000016865</v>
      </c>
      <c r="C34" s="538">
        <v>680</v>
      </c>
      <c r="D34" s="553">
        <v>120</v>
      </c>
      <c r="E34" s="553">
        <v>720</v>
      </c>
      <c r="F34" s="553" t="s">
        <v>639</v>
      </c>
      <c r="G34" s="553">
        <v>100022378</v>
      </c>
      <c r="H34" s="553">
        <v>998335</v>
      </c>
      <c r="I34" s="554"/>
      <c r="J34" s="553">
        <v>18</v>
      </c>
      <c r="K34" s="552"/>
      <c r="L34" s="551" t="s">
        <v>659</v>
      </c>
      <c r="M34" s="744" t="s">
        <v>476</v>
      </c>
      <c r="N34" s="744">
        <v>3</v>
      </c>
      <c r="O34" s="539"/>
      <c r="P34" s="550" t="str">
        <f t="shared" si="0"/>
        <v>INCLUDED</v>
      </c>
      <c r="Q34" s="509">
        <f t="shared" si="1"/>
        <v>0</v>
      </c>
      <c r="R34" s="447">
        <f t="shared" si="2"/>
        <v>0</v>
      </c>
      <c r="S34" s="630">
        <f>Discount!$J$36</f>
        <v>0</v>
      </c>
      <c r="T34" s="447">
        <f t="shared" si="3"/>
        <v>0</v>
      </c>
      <c r="U34" s="448">
        <f t="shared" si="4"/>
        <v>0</v>
      </c>
      <c r="V34" s="740">
        <f t="shared" si="5"/>
        <v>0</v>
      </c>
      <c r="W34" s="259"/>
      <c r="X34" s="259"/>
      <c r="Y34" s="259"/>
      <c r="Z34" s="259"/>
      <c r="AA34" s="259"/>
    </row>
    <row r="35" spans="1:27" ht="46.8">
      <c r="A35" s="734">
        <v>18</v>
      </c>
      <c r="B35" s="538">
        <v>7000016865</v>
      </c>
      <c r="C35" s="538">
        <v>680</v>
      </c>
      <c r="D35" s="553">
        <v>120</v>
      </c>
      <c r="E35" s="553">
        <v>730</v>
      </c>
      <c r="F35" s="553" t="s">
        <v>639</v>
      </c>
      <c r="G35" s="553">
        <v>100022415</v>
      </c>
      <c r="H35" s="553">
        <v>998335</v>
      </c>
      <c r="I35" s="554"/>
      <c r="J35" s="553">
        <v>18</v>
      </c>
      <c r="K35" s="552"/>
      <c r="L35" s="551" t="s">
        <v>660</v>
      </c>
      <c r="M35" s="744" t="s">
        <v>476</v>
      </c>
      <c r="N35" s="744">
        <v>1</v>
      </c>
      <c r="O35" s="539"/>
      <c r="P35" s="550" t="str">
        <f t="shared" si="0"/>
        <v>INCLUDED</v>
      </c>
      <c r="Q35" s="509">
        <f t="shared" si="1"/>
        <v>0</v>
      </c>
      <c r="R35" s="447">
        <f t="shared" si="2"/>
        <v>0</v>
      </c>
      <c r="S35" s="630">
        <f>Discount!$J$36</f>
        <v>0</v>
      </c>
      <c r="T35" s="447">
        <f t="shared" si="3"/>
        <v>0</v>
      </c>
      <c r="U35" s="448">
        <f t="shared" si="4"/>
        <v>0</v>
      </c>
      <c r="V35" s="740">
        <f t="shared" si="5"/>
        <v>0</v>
      </c>
      <c r="W35" s="259"/>
      <c r="X35" s="259"/>
      <c r="Y35" s="259"/>
      <c r="Z35" s="259"/>
      <c r="AA35" s="259"/>
    </row>
    <row r="36" spans="1:27" ht="46.8">
      <c r="A36" s="734">
        <v>19</v>
      </c>
      <c r="B36" s="538">
        <v>7000016865</v>
      </c>
      <c r="C36" s="538">
        <v>680</v>
      </c>
      <c r="D36" s="553">
        <v>120</v>
      </c>
      <c r="E36" s="553">
        <v>740</v>
      </c>
      <c r="F36" s="553" t="s">
        <v>639</v>
      </c>
      <c r="G36" s="553">
        <v>100022422</v>
      </c>
      <c r="H36" s="553">
        <v>998335</v>
      </c>
      <c r="I36" s="554"/>
      <c r="J36" s="553">
        <v>18</v>
      </c>
      <c r="K36" s="552"/>
      <c r="L36" s="551" t="s">
        <v>661</v>
      </c>
      <c r="M36" s="744" t="s">
        <v>476</v>
      </c>
      <c r="N36" s="744">
        <v>2</v>
      </c>
      <c r="O36" s="539"/>
      <c r="P36" s="550" t="str">
        <f t="shared" si="0"/>
        <v>INCLUDED</v>
      </c>
      <c r="Q36" s="509">
        <f t="shared" si="1"/>
        <v>0</v>
      </c>
      <c r="R36" s="447">
        <f t="shared" si="2"/>
        <v>0</v>
      </c>
      <c r="S36" s="630">
        <f>Discount!$J$36</f>
        <v>0</v>
      </c>
      <c r="T36" s="447">
        <f t="shared" si="3"/>
        <v>0</v>
      </c>
      <c r="U36" s="448">
        <f t="shared" si="4"/>
        <v>0</v>
      </c>
      <c r="V36" s="740">
        <f t="shared" si="5"/>
        <v>0</v>
      </c>
      <c r="W36" s="259"/>
      <c r="X36" s="259"/>
      <c r="Y36" s="259"/>
      <c r="Z36" s="259"/>
      <c r="AA36" s="259"/>
    </row>
    <row r="37" spans="1:27" ht="46.8">
      <c r="A37" s="734">
        <v>20</v>
      </c>
      <c r="B37" s="538">
        <v>7000016865</v>
      </c>
      <c r="C37" s="538">
        <v>680</v>
      </c>
      <c r="D37" s="553">
        <v>120</v>
      </c>
      <c r="E37" s="553">
        <v>750</v>
      </c>
      <c r="F37" s="553" t="s">
        <v>639</v>
      </c>
      <c r="G37" s="553">
        <v>100022461</v>
      </c>
      <c r="H37" s="553">
        <v>998335</v>
      </c>
      <c r="I37" s="554"/>
      <c r="J37" s="553">
        <v>18</v>
      </c>
      <c r="K37" s="552"/>
      <c r="L37" s="551" t="s">
        <v>662</v>
      </c>
      <c r="M37" s="744" t="s">
        <v>476</v>
      </c>
      <c r="N37" s="744">
        <v>1</v>
      </c>
      <c r="O37" s="539"/>
      <c r="P37" s="550" t="str">
        <f t="shared" si="0"/>
        <v>INCLUDED</v>
      </c>
      <c r="Q37" s="509">
        <f t="shared" si="1"/>
        <v>0</v>
      </c>
      <c r="R37" s="447">
        <f t="shared" si="2"/>
        <v>0</v>
      </c>
      <c r="S37" s="630">
        <f>Discount!$J$36</f>
        <v>0</v>
      </c>
      <c r="T37" s="447">
        <f t="shared" si="3"/>
        <v>0</v>
      </c>
      <c r="U37" s="448">
        <f t="shared" si="4"/>
        <v>0</v>
      </c>
      <c r="V37" s="740">
        <f t="shared" si="5"/>
        <v>0</v>
      </c>
      <c r="W37" s="259"/>
      <c r="X37" s="259"/>
      <c r="Y37" s="259"/>
      <c r="Z37" s="259"/>
      <c r="AA37" s="259"/>
    </row>
    <row r="38" spans="1:27" ht="46.8">
      <c r="A38" s="734">
        <v>21</v>
      </c>
      <c r="B38" s="538">
        <v>7000016865</v>
      </c>
      <c r="C38" s="538">
        <v>680</v>
      </c>
      <c r="D38" s="553">
        <v>120</v>
      </c>
      <c r="E38" s="553">
        <v>760</v>
      </c>
      <c r="F38" s="553" t="s">
        <v>639</v>
      </c>
      <c r="G38" s="553">
        <v>100022503</v>
      </c>
      <c r="H38" s="553">
        <v>998335</v>
      </c>
      <c r="I38" s="554"/>
      <c r="J38" s="553">
        <v>18</v>
      </c>
      <c r="K38" s="552"/>
      <c r="L38" s="551" t="s">
        <v>663</v>
      </c>
      <c r="M38" s="744" t="s">
        <v>476</v>
      </c>
      <c r="N38" s="744">
        <v>1</v>
      </c>
      <c r="O38" s="539"/>
      <c r="P38" s="550" t="str">
        <f t="shared" si="0"/>
        <v>INCLUDED</v>
      </c>
      <c r="Q38" s="509">
        <f t="shared" si="1"/>
        <v>0</v>
      </c>
      <c r="R38" s="447">
        <f t="shared" si="2"/>
        <v>0</v>
      </c>
      <c r="S38" s="630">
        <f>Discount!$J$36</f>
        <v>0</v>
      </c>
      <c r="T38" s="447">
        <f t="shared" si="3"/>
        <v>0</v>
      </c>
      <c r="U38" s="448">
        <f t="shared" si="4"/>
        <v>0</v>
      </c>
      <c r="V38" s="740">
        <f t="shared" si="5"/>
        <v>0</v>
      </c>
      <c r="W38" s="259"/>
      <c r="X38" s="259"/>
      <c r="Y38" s="259"/>
      <c r="Z38" s="259"/>
      <c r="AA38" s="259"/>
    </row>
    <row r="39" spans="1:27" ht="46.8">
      <c r="A39" s="734">
        <v>22</v>
      </c>
      <c r="B39" s="538">
        <v>7000016865</v>
      </c>
      <c r="C39" s="538">
        <v>680</v>
      </c>
      <c r="D39" s="553">
        <v>120</v>
      </c>
      <c r="E39" s="553">
        <v>770</v>
      </c>
      <c r="F39" s="553" t="s">
        <v>639</v>
      </c>
      <c r="G39" s="553">
        <v>100022505</v>
      </c>
      <c r="H39" s="553">
        <v>998335</v>
      </c>
      <c r="I39" s="554"/>
      <c r="J39" s="553">
        <v>18</v>
      </c>
      <c r="K39" s="552"/>
      <c r="L39" s="551" t="s">
        <v>664</v>
      </c>
      <c r="M39" s="744" t="s">
        <v>476</v>
      </c>
      <c r="N39" s="744">
        <v>1</v>
      </c>
      <c r="O39" s="539"/>
      <c r="P39" s="550" t="str">
        <f t="shared" si="0"/>
        <v>INCLUDED</v>
      </c>
      <c r="Q39" s="509">
        <f t="shared" si="1"/>
        <v>0</v>
      </c>
      <c r="R39" s="447">
        <f t="shared" si="2"/>
        <v>0</v>
      </c>
      <c r="S39" s="630">
        <f>Discount!$J$36</f>
        <v>0</v>
      </c>
      <c r="T39" s="447">
        <f t="shared" si="3"/>
        <v>0</v>
      </c>
      <c r="U39" s="448">
        <f t="shared" si="4"/>
        <v>0</v>
      </c>
      <c r="V39" s="740">
        <f t="shared" si="5"/>
        <v>0</v>
      </c>
      <c r="W39" s="259"/>
      <c r="X39" s="259"/>
      <c r="Y39" s="259"/>
      <c r="Z39" s="259"/>
      <c r="AA39" s="259"/>
    </row>
    <row r="40" spans="1:27" ht="46.8">
      <c r="A40" s="734">
        <v>23</v>
      </c>
      <c r="B40" s="538">
        <v>7000016865</v>
      </c>
      <c r="C40" s="538">
        <v>680</v>
      </c>
      <c r="D40" s="553">
        <v>120</v>
      </c>
      <c r="E40" s="553">
        <v>780</v>
      </c>
      <c r="F40" s="553" t="s">
        <v>639</v>
      </c>
      <c r="G40" s="553">
        <v>100022510</v>
      </c>
      <c r="H40" s="553">
        <v>998335</v>
      </c>
      <c r="I40" s="554"/>
      <c r="J40" s="553">
        <v>18</v>
      </c>
      <c r="K40" s="552"/>
      <c r="L40" s="551" t="s">
        <v>665</v>
      </c>
      <c r="M40" s="744" t="s">
        <v>476</v>
      </c>
      <c r="N40" s="744">
        <v>1</v>
      </c>
      <c r="O40" s="539"/>
      <c r="P40" s="550" t="str">
        <f t="shared" si="0"/>
        <v>INCLUDED</v>
      </c>
      <c r="Q40" s="509">
        <f t="shared" si="1"/>
        <v>0</v>
      </c>
      <c r="R40" s="447">
        <f>IF( K40="",J40*(IF(P40="Included",0,P40))/100,K40*(IF(P40="Included",0,P40)))</f>
        <v>0</v>
      </c>
      <c r="S40" s="630">
        <f>Discount!$J$36</f>
        <v>0</v>
      </c>
      <c r="T40" s="447">
        <f>S40*Q40</f>
        <v>0</v>
      </c>
      <c r="U40" s="448">
        <f t="shared" si="4"/>
        <v>0</v>
      </c>
      <c r="V40" s="740">
        <f t="shared" si="5"/>
        <v>0</v>
      </c>
      <c r="W40" s="259"/>
      <c r="X40" s="259"/>
      <c r="Y40" s="259"/>
      <c r="Z40" s="259"/>
      <c r="AA40" s="259"/>
    </row>
    <row r="41" spans="1:27" ht="46.8">
      <c r="A41" s="734">
        <v>24</v>
      </c>
      <c r="B41" s="538">
        <v>7000016865</v>
      </c>
      <c r="C41" s="538">
        <v>680</v>
      </c>
      <c r="D41" s="553">
        <v>120</v>
      </c>
      <c r="E41" s="553">
        <v>790</v>
      </c>
      <c r="F41" s="553" t="s">
        <v>639</v>
      </c>
      <c r="G41" s="553">
        <v>100022565</v>
      </c>
      <c r="H41" s="553">
        <v>998335</v>
      </c>
      <c r="I41" s="554"/>
      <c r="J41" s="553">
        <v>18</v>
      </c>
      <c r="K41" s="552"/>
      <c r="L41" s="551" t="s">
        <v>666</v>
      </c>
      <c r="M41" s="744" t="s">
        <v>476</v>
      </c>
      <c r="N41" s="744">
        <v>3</v>
      </c>
      <c r="O41" s="720"/>
      <c r="P41" s="550" t="str">
        <f t="shared" si="0"/>
        <v>INCLUDED</v>
      </c>
      <c r="Q41" s="509">
        <f t="shared" si="1"/>
        <v>0</v>
      </c>
      <c r="R41" s="447">
        <f t="shared" ref="R41:R71" si="6">IF( K41="",J41*(IF(P41="Included",0,P41))/100,K41*(IF(P41="Included",0,P41)))</f>
        <v>0</v>
      </c>
      <c r="S41" s="630">
        <f>Discount!$J$36</f>
        <v>0</v>
      </c>
      <c r="T41" s="447">
        <f t="shared" ref="T41:T71" si="7">S41*Q41</f>
        <v>0</v>
      </c>
      <c r="U41" s="448">
        <f t="shared" si="4"/>
        <v>0</v>
      </c>
      <c r="V41" s="740">
        <f t="shared" si="5"/>
        <v>0</v>
      </c>
      <c r="W41" s="259"/>
      <c r="X41" s="259"/>
      <c r="Y41" s="259"/>
      <c r="Z41" s="259"/>
      <c r="AA41" s="259"/>
    </row>
    <row r="42" spans="1:27" ht="46.8">
      <c r="A42" s="734">
        <v>25</v>
      </c>
      <c r="B42" s="538">
        <v>7000016865</v>
      </c>
      <c r="C42" s="538">
        <v>680</v>
      </c>
      <c r="D42" s="553">
        <v>120</v>
      </c>
      <c r="E42" s="553">
        <v>800</v>
      </c>
      <c r="F42" s="553" t="s">
        <v>639</v>
      </c>
      <c r="G42" s="553">
        <v>100022582</v>
      </c>
      <c r="H42" s="553">
        <v>998335</v>
      </c>
      <c r="I42" s="554"/>
      <c r="J42" s="553">
        <v>18</v>
      </c>
      <c r="K42" s="552"/>
      <c r="L42" s="551" t="s">
        <v>667</v>
      </c>
      <c r="M42" s="744" t="s">
        <v>476</v>
      </c>
      <c r="N42" s="744">
        <v>1</v>
      </c>
      <c r="O42" s="720"/>
      <c r="P42" s="550" t="str">
        <f t="shared" si="0"/>
        <v>INCLUDED</v>
      </c>
      <c r="Q42" s="509">
        <f t="shared" si="1"/>
        <v>0</v>
      </c>
      <c r="R42" s="447">
        <f t="shared" si="6"/>
        <v>0</v>
      </c>
      <c r="S42" s="630">
        <f>Discount!$J$36</f>
        <v>0</v>
      </c>
      <c r="T42" s="447">
        <f t="shared" si="7"/>
        <v>0</v>
      </c>
      <c r="U42" s="448">
        <f t="shared" si="4"/>
        <v>0</v>
      </c>
      <c r="V42" s="740">
        <f t="shared" si="5"/>
        <v>0</v>
      </c>
      <c r="W42" s="259"/>
      <c r="X42" s="259"/>
      <c r="Y42" s="259"/>
      <c r="Z42" s="259"/>
      <c r="AA42" s="259"/>
    </row>
    <row r="43" spans="1:27" ht="46.8">
      <c r="A43" s="734">
        <v>26</v>
      </c>
      <c r="B43" s="538">
        <v>7000016865</v>
      </c>
      <c r="C43" s="538">
        <v>680</v>
      </c>
      <c r="D43" s="553">
        <v>120</v>
      </c>
      <c r="E43" s="553">
        <v>810</v>
      </c>
      <c r="F43" s="553" t="s">
        <v>639</v>
      </c>
      <c r="G43" s="553">
        <v>100032636</v>
      </c>
      <c r="H43" s="553">
        <v>998335</v>
      </c>
      <c r="I43" s="554"/>
      <c r="J43" s="553">
        <v>18</v>
      </c>
      <c r="K43" s="552"/>
      <c r="L43" s="551" t="s">
        <v>668</v>
      </c>
      <c r="M43" s="744" t="s">
        <v>476</v>
      </c>
      <c r="N43" s="744">
        <v>25</v>
      </c>
      <c r="O43" s="720"/>
      <c r="P43" s="550" t="str">
        <f t="shared" si="0"/>
        <v>INCLUDED</v>
      </c>
      <c r="Q43" s="509">
        <f t="shared" si="1"/>
        <v>0</v>
      </c>
      <c r="R43" s="447">
        <f t="shared" si="6"/>
        <v>0</v>
      </c>
      <c r="S43" s="630">
        <f>Discount!$J$36</f>
        <v>0</v>
      </c>
      <c r="T43" s="447">
        <f t="shared" si="7"/>
        <v>0</v>
      </c>
      <c r="U43" s="448">
        <f t="shared" si="4"/>
        <v>0</v>
      </c>
      <c r="V43" s="740">
        <f t="shared" si="5"/>
        <v>0</v>
      </c>
      <c r="W43" s="259"/>
      <c r="X43" s="259"/>
      <c r="Y43" s="259"/>
      <c r="Z43" s="259"/>
      <c r="AA43" s="259"/>
    </row>
    <row r="44" spans="1:27" ht="46.8">
      <c r="A44" s="734">
        <v>27</v>
      </c>
      <c r="B44" s="538">
        <v>7000016865</v>
      </c>
      <c r="C44" s="538">
        <v>680</v>
      </c>
      <c r="D44" s="553">
        <v>120</v>
      </c>
      <c r="E44" s="553">
        <v>820</v>
      </c>
      <c r="F44" s="553" t="s">
        <v>639</v>
      </c>
      <c r="G44" s="553">
        <v>100032637</v>
      </c>
      <c r="H44" s="553">
        <v>998335</v>
      </c>
      <c r="I44" s="554"/>
      <c r="J44" s="553">
        <v>18</v>
      </c>
      <c r="K44" s="552"/>
      <c r="L44" s="551" t="s">
        <v>669</v>
      </c>
      <c r="M44" s="744" t="s">
        <v>476</v>
      </c>
      <c r="N44" s="744">
        <v>25</v>
      </c>
      <c r="O44" s="720"/>
      <c r="P44" s="550" t="str">
        <f t="shared" si="0"/>
        <v>INCLUDED</v>
      </c>
      <c r="Q44" s="509">
        <f t="shared" si="1"/>
        <v>0</v>
      </c>
      <c r="R44" s="447">
        <f t="shared" si="6"/>
        <v>0</v>
      </c>
      <c r="S44" s="630">
        <f>Discount!$J$36</f>
        <v>0</v>
      </c>
      <c r="T44" s="447">
        <f t="shared" si="7"/>
        <v>0</v>
      </c>
      <c r="U44" s="448">
        <f t="shared" si="4"/>
        <v>0</v>
      </c>
      <c r="V44" s="740">
        <f t="shared" si="5"/>
        <v>0</v>
      </c>
      <c r="W44" s="259"/>
      <c r="X44" s="259"/>
      <c r="Y44" s="259"/>
      <c r="Z44" s="259"/>
      <c r="AA44" s="259"/>
    </row>
    <row r="45" spans="1:27" ht="46.8">
      <c r="A45" s="734">
        <v>28</v>
      </c>
      <c r="B45" s="538">
        <v>7000016865</v>
      </c>
      <c r="C45" s="538">
        <v>680</v>
      </c>
      <c r="D45" s="553">
        <v>120</v>
      </c>
      <c r="E45" s="553">
        <v>830</v>
      </c>
      <c r="F45" s="553" t="s">
        <v>639</v>
      </c>
      <c r="G45" s="553">
        <v>100032638</v>
      </c>
      <c r="H45" s="553">
        <v>998335</v>
      </c>
      <c r="I45" s="554"/>
      <c r="J45" s="553">
        <v>18</v>
      </c>
      <c r="K45" s="552"/>
      <c r="L45" s="551" t="s">
        <v>670</v>
      </c>
      <c r="M45" s="744" t="s">
        <v>476</v>
      </c>
      <c r="N45" s="744">
        <v>2</v>
      </c>
      <c r="O45" s="720"/>
      <c r="P45" s="550" t="str">
        <f t="shared" si="0"/>
        <v>INCLUDED</v>
      </c>
      <c r="Q45" s="509">
        <f t="shared" si="1"/>
        <v>0</v>
      </c>
      <c r="R45" s="447">
        <f t="shared" si="6"/>
        <v>0</v>
      </c>
      <c r="S45" s="630">
        <f>Discount!$J$36</f>
        <v>0</v>
      </c>
      <c r="T45" s="447">
        <f t="shared" si="7"/>
        <v>0</v>
      </c>
      <c r="U45" s="448">
        <f t="shared" si="4"/>
        <v>0</v>
      </c>
      <c r="V45" s="740">
        <f t="shared" si="5"/>
        <v>0</v>
      </c>
      <c r="W45" s="259"/>
      <c r="X45" s="259"/>
      <c r="Y45" s="259"/>
      <c r="Z45" s="259"/>
      <c r="AA45" s="259"/>
    </row>
    <row r="46" spans="1:27" ht="46.8">
      <c r="A46" s="734">
        <v>29</v>
      </c>
      <c r="B46" s="538">
        <v>7000016865</v>
      </c>
      <c r="C46" s="538">
        <v>680</v>
      </c>
      <c r="D46" s="553">
        <v>120</v>
      </c>
      <c r="E46" s="553">
        <v>840</v>
      </c>
      <c r="F46" s="553" t="s">
        <v>639</v>
      </c>
      <c r="G46" s="553">
        <v>100032639</v>
      </c>
      <c r="H46" s="553">
        <v>998335</v>
      </c>
      <c r="I46" s="554"/>
      <c r="J46" s="553">
        <v>18</v>
      </c>
      <c r="K46" s="552"/>
      <c r="L46" s="551" t="s">
        <v>671</v>
      </c>
      <c r="M46" s="744" t="s">
        <v>476</v>
      </c>
      <c r="N46" s="744">
        <v>2</v>
      </c>
      <c r="O46" s="720"/>
      <c r="P46" s="550" t="str">
        <f t="shared" si="0"/>
        <v>INCLUDED</v>
      </c>
      <c r="Q46" s="509">
        <f t="shared" si="1"/>
        <v>0</v>
      </c>
      <c r="R46" s="447">
        <f t="shared" si="6"/>
        <v>0</v>
      </c>
      <c r="S46" s="630">
        <f>Discount!$J$36</f>
        <v>0</v>
      </c>
      <c r="T46" s="447">
        <f t="shared" si="7"/>
        <v>0</v>
      </c>
      <c r="U46" s="448">
        <f t="shared" si="4"/>
        <v>0</v>
      </c>
      <c r="V46" s="740">
        <f t="shared" si="5"/>
        <v>0</v>
      </c>
      <c r="W46" s="259"/>
      <c r="X46" s="259"/>
      <c r="Y46" s="259"/>
      <c r="Z46" s="259"/>
      <c r="AA46" s="259"/>
    </row>
    <row r="47" spans="1:27" ht="31.2">
      <c r="A47" s="734">
        <v>30</v>
      </c>
      <c r="B47" s="538">
        <v>7000016865</v>
      </c>
      <c r="C47" s="538">
        <v>680</v>
      </c>
      <c r="D47" s="553">
        <v>120</v>
      </c>
      <c r="E47" s="553">
        <v>850</v>
      </c>
      <c r="F47" s="553" t="s">
        <v>639</v>
      </c>
      <c r="G47" s="553">
        <v>100024261</v>
      </c>
      <c r="H47" s="553">
        <v>995455</v>
      </c>
      <c r="I47" s="554"/>
      <c r="J47" s="553">
        <v>18</v>
      </c>
      <c r="K47" s="552"/>
      <c r="L47" s="551" t="s">
        <v>672</v>
      </c>
      <c r="M47" s="744" t="s">
        <v>476</v>
      </c>
      <c r="N47" s="744">
        <v>42</v>
      </c>
      <c r="O47" s="720"/>
      <c r="P47" s="550" t="str">
        <f t="shared" si="0"/>
        <v>INCLUDED</v>
      </c>
      <c r="Q47" s="509">
        <f t="shared" si="1"/>
        <v>0</v>
      </c>
      <c r="R47" s="447">
        <f t="shared" si="6"/>
        <v>0</v>
      </c>
      <c r="S47" s="630">
        <f>Discount!$J$36</f>
        <v>0</v>
      </c>
      <c r="T47" s="447">
        <f t="shared" si="7"/>
        <v>0</v>
      </c>
      <c r="U47" s="448">
        <f t="shared" si="4"/>
        <v>0</v>
      </c>
      <c r="V47" s="740">
        <f t="shared" si="5"/>
        <v>0</v>
      </c>
      <c r="W47" s="259"/>
      <c r="X47" s="259"/>
      <c r="Y47" s="259"/>
      <c r="Z47" s="259"/>
      <c r="AA47" s="259"/>
    </row>
    <row r="48" spans="1:27" ht="31.2">
      <c r="A48" s="734">
        <v>31</v>
      </c>
      <c r="B48" s="538">
        <v>7000016865</v>
      </c>
      <c r="C48" s="538">
        <v>680</v>
      </c>
      <c r="D48" s="553">
        <v>120</v>
      </c>
      <c r="E48" s="553">
        <v>860</v>
      </c>
      <c r="F48" s="553" t="s">
        <v>639</v>
      </c>
      <c r="G48" s="553">
        <v>100024262</v>
      </c>
      <c r="H48" s="553">
        <v>995455</v>
      </c>
      <c r="I48" s="554"/>
      <c r="J48" s="553">
        <v>18</v>
      </c>
      <c r="K48" s="552"/>
      <c r="L48" s="551" t="s">
        <v>673</v>
      </c>
      <c r="M48" s="744" t="s">
        <v>476</v>
      </c>
      <c r="N48" s="744">
        <v>4</v>
      </c>
      <c r="O48" s="720"/>
      <c r="P48" s="550" t="str">
        <f t="shared" si="0"/>
        <v>INCLUDED</v>
      </c>
      <c r="Q48" s="509">
        <f t="shared" si="1"/>
        <v>0</v>
      </c>
      <c r="R48" s="447">
        <f t="shared" si="6"/>
        <v>0</v>
      </c>
      <c r="S48" s="630">
        <f>Discount!$J$36</f>
        <v>0</v>
      </c>
      <c r="T48" s="447">
        <f t="shared" si="7"/>
        <v>0</v>
      </c>
      <c r="U48" s="448">
        <f t="shared" si="4"/>
        <v>0</v>
      </c>
      <c r="V48" s="740">
        <f t="shared" si="5"/>
        <v>0</v>
      </c>
      <c r="W48" s="259"/>
      <c r="X48" s="259"/>
      <c r="Y48" s="259"/>
      <c r="Z48" s="259"/>
      <c r="AA48" s="259"/>
    </row>
    <row r="49" spans="1:27" ht="31.2">
      <c r="A49" s="734">
        <v>32</v>
      </c>
      <c r="B49" s="538">
        <v>7000016865</v>
      </c>
      <c r="C49" s="538">
        <v>680</v>
      </c>
      <c r="D49" s="553">
        <v>120</v>
      </c>
      <c r="E49" s="553">
        <v>870</v>
      </c>
      <c r="F49" s="553" t="s">
        <v>639</v>
      </c>
      <c r="G49" s="553">
        <v>100024265</v>
      </c>
      <c r="H49" s="553">
        <v>995455</v>
      </c>
      <c r="I49" s="554"/>
      <c r="J49" s="553">
        <v>18</v>
      </c>
      <c r="K49" s="552"/>
      <c r="L49" s="551" t="s">
        <v>674</v>
      </c>
      <c r="M49" s="744" t="s">
        <v>476</v>
      </c>
      <c r="N49" s="744">
        <v>4</v>
      </c>
      <c r="O49" s="720"/>
      <c r="P49" s="550" t="str">
        <f t="shared" si="0"/>
        <v>INCLUDED</v>
      </c>
      <c r="Q49" s="509">
        <f t="shared" si="1"/>
        <v>0</v>
      </c>
      <c r="R49" s="447">
        <f t="shared" si="6"/>
        <v>0</v>
      </c>
      <c r="S49" s="630">
        <f>Discount!$J$36</f>
        <v>0</v>
      </c>
      <c r="T49" s="447">
        <f t="shared" si="7"/>
        <v>0</v>
      </c>
      <c r="U49" s="448">
        <f t="shared" si="4"/>
        <v>0</v>
      </c>
      <c r="V49" s="740">
        <f t="shared" si="5"/>
        <v>0</v>
      </c>
      <c r="W49" s="259"/>
      <c r="X49" s="259"/>
      <c r="Y49" s="259"/>
      <c r="Z49" s="259"/>
      <c r="AA49" s="259"/>
    </row>
    <row r="50" spans="1:27" ht="31.2">
      <c r="A50" s="734">
        <v>33</v>
      </c>
      <c r="B50" s="538">
        <v>7000016865</v>
      </c>
      <c r="C50" s="538">
        <v>680</v>
      </c>
      <c r="D50" s="553">
        <v>120</v>
      </c>
      <c r="E50" s="553">
        <v>880</v>
      </c>
      <c r="F50" s="553" t="s">
        <v>639</v>
      </c>
      <c r="G50" s="553">
        <v>100024268</v>
      </c>
      <c r="H50" s="553">
        <v>995455</v>
      </c>
      <c r="I50" s="554"/>
      <c r="J50" s="553">
        <v>18</v>
      </c>
      <c r="K50" s="552"/>
      <c r="L50" s="551" t="s">
        <v>675</v>
      </c>
      <c r="M50" s="744" t="s">
        <v>476</v>
      </c>
      <c r="N50" s="744">
        <v>3</v>
      </c>
      <c r="O50" s="720"/>
      <c r="P50" s="550" t="str">
        <f t="shared" si="0"/>
        <v>INCLUDED</v>
      </c>
      <c r="Q50" s="509">
        <f t="shared" si="1"/>
        <v>0</v>
      </c>
      <c r="R50" s="447">
        <f t="shared" si="6"/>
        <v>0</v>
      </c>
      <c r="S50" s="630">
        <f>Discount!$J$36</f>
        <v>0</v>
      </c>
      <c r="T50" s="447">
        <f t="shared" si="7"/>
        <v>0</v>
      </c>
      <c r="U50" s="448">
        <f t="shared" si="4"/>
        <v>0</v>
      </c>
      <c r="V50" s="740">
        <f t="shared" si="5"/>
        <v>0</v>
      </c>
      <c r="W50" s="259"/>
      <c r="X50" s="259"/>
      <c r="Y50" s="259"/>
      <c r="Z50" s="259"/>
      <c r="AA50" s="259"/>
    </row>
    <row r="51" spans="1:27" ht="31.2">
      <c r="A51" s="734">
        <v>34</v>
      </c>
      <c r="B51" s="538">
        <v>7000016865</v>
      </c>
      <c r="C51" s="538">
        <v>680</v>
      </c>
      <c r="D51" s="553">
        <v>120</v>
      </c>
      <c r="E51" s="553">
        <v>890</v>
      </c>
      <c r="F51" s="553" t="s">
        <v>639</v>
      </c>
      <c r="G51" s="553">
        <v>100024272</v>
      </c>
      <c r="H51" s="553">
        <v>995455</v>
      </c>
      <c r="I51" s="554"/>
      <c r="J51" s="553">
        <v>18</v>
      </c>
      <c r="K51" s="552"/>
      <c r="L51" s="551" t="s">
        <v>676</v>
      </c>
      <c r="M51" s="744" t="s">
        <v>476</v>
      </c>
      <c r="N51" s="744">
        <v>3</v>
      </c>
      <c r="O51" s="720"/>
      <c r="P51" s="550" t="str">
        <f t="shared" si="0"/>
        <v>INCLUDED</v>
      </c>
      <c r="Q51" s="509">
        <f t="shared" si="1"/>
        <v>0</v>
      </c>
      <c r="R51" s="447">
        <f t="shared" si="6"/>
        <v>0</v>
      </c>
      <c r="S51" s="630">
        <f>Discount!$J$36</f>
        <v>0</v>
      </c>
      <c r="T51" s="447">
        <f t="shared" si="7"/>
        <v>0</v>
      </c>
      <c r="U51" s="448">
        <f t="shared" si="4"/>
        <v>0</v>
      </c>
      <c r="V51" s="740">
        <f t="shared" si="5"/>
        <v>0</v>
      </c>
      <c r="W51" s="259"/>
      <c r="X51" s="259"/>
      <c r="Y51" s="259"/>
      <c r="Z51" s="259"/>
      <c r="AA51" s="259"/>
    </row>
    <row r="52" spans="1:27" ht="31.2">
      <c r="A52" s="734">
        <v>35</v>
      </c>
      <c r="B52" s="538">
        <v>7000016865</v>
      </c>
      <c r="C52" s="538">
        <v>680</v>
      </c>
      <c r="D52" s="553">
        <v>120</v>
      </c>
      <c r="E52" s="553">
        <v>900</v>
      </c>
      <c r="F52" s="553" t="s">
        <v>639</v>
      </c>
      <c r="G52" s="553">
        <v>100024274</v>
      </c>
      <c r="H52" s="553">
        <v>995455</v>
      </c>
      <c r="I52" s="554"/>
      <c r="J52" s="553">
        <v>18</v>
      </c>
      <c r="K52" s="552"/>
      <c r="L52" s="551" t="s">
        <v>677</v>
      </c>
      <c r="M52" s="744" t="s">
        <v>476</v>
      </c>
      <c r="N52" s="744">
        <v>1</v>
      </c>
      <c r="O52" s="720"/>
      <c r="P52" s="550" t="str">
        <f t="shared" si="0"/>
        <v>INCLUDED</v>
      </c>
      <c r="Q52" s="509">
        <f t="shared" si="1"/>
        <v>0</v>
      </c>
      <c r="R52" s="447">
        <f t="shared" si="6"/>
        <v>0</v>
      </c>
      <c r="S52" s="630">
        <f>Discount!$J$36</f>
        <v>0</v>
      </c>
      <c r="T52" s="447">
        <f t="shared" si="7"/>
        <v>0</v>
      </c>
      <c r="U52" s="448">
        <f t="shared" si="4"/>
        <v>0</v>
      </c>
      <c r="V52" s="740">
        <f t="shared" si="5"/>
        <v>0</v>
      </c>
      <c r="W52" s="259"/>
      <c r="X52" s="259"/>
      <c r="Y52" s="259"/>
      <c r="Z52" s="259"/>
      <c r="AA52" s="259"/>
    </row>
    <row r="53" spans="1:27" ht="31.2">
      <c r="A53" s="734">
        <v>36</v>
      </c>
      <c r="B53" s="538">
        <v>7000016865</v>
      </c>
      <c r="C53" s="538">
        <v>680</v>
      </c>
      <c r="D53" s="553">
        <v>120</v>
      </c>
      <c r="E53" s="553">
        <v>910</v>
      </c>
      <c r="F53" s="553" t="s">
        <v>639</v>
      </c>
      <c r="G53" s="553">
        <v>100032425</v>
      </c>
      <c r="H53" s="553">
        <v>995455</v>
      </c>
      <c r="I53" s="554"/>
      <c r="J53" s="553">
        <v>18</v>
      </c>
      <c r="K53" s="552"/>
      <c r="L53" s="551" t="s">
        <v>678</v>
      </c>
      <c r="M53" s="744" t="s">
        <v>476</v>
      </c>
      <c r="N53" s="744">
        <v>50</v>
      </c>
      <c r="O53" s="720"/>
      <c r="P53" s="550" t="str">
        <f t="shared" si="0"/>
        <v>INCLUDED</v>
      </c>
      <c r="Q53" s="509">
        <f t="shared" si="1"/>
        <v>0</v>
      </c>
      <c r="R53" s="447">
        <f t="shared" si="6"/>
        <v>0</v>
      </c>
      <c r="S53" s="630">
        <f>Discount!$J$36</f>
        <v>0</v>
      </c>
      <c r="T53" s="447">
        <f t="shared" si="7"/>
        <v>0</v>
      </c>
      <c r="U53" s="448">
        <f t="shared" si="4"/>
        <v>0</v>
      </c>
      <c r="V53" s="740">
        <f t="shared" si="5"/>
        <v>0</v>
      </c>
      <c r="W53" s="259"/>
      <c r="X53" s="259"/>
      <c r="Y53" s="259"/>
      <c r="Z53" s="259"/>
      <c r="AA53" s="259"/>
    </row>
    <row r="54" spans="1:27" ht="31.2">
      <c r="A54" s="734">
        <v>37</v>
      </c>
      <c r="B54" s="538">
        <v>7000016865</v>
      </c>
      <c r="C54" s="538">
        <v>680</v>
      </c>
      <c r="D54" s="553">
        <v>120</v>
      </c>
      <c r="E54" s="553">
        <v>920</v>
      </c>
      <c r="F54" s="553" t="s">
        <v>639</v>
      </c>
      <c r="G54" s="553">
        <v>100032426</v>
      </c>
      <c r="H54" s="553">
        <v>995455</v>
      </c>
      <c r="I54" s="554"/>
      <c r="J54" s="553">
        <v>18</v>
      </c>
      <c r="K54" s="552"/>
      <c r="L54" s="551" t="s">
        <v>679</v>
      </c>
      <c r="M54" s="744" t="s">
        <v>476</v>
      </c>
      <c r="N54" s="744">
        <v>2</v>
      </c>
      <c r="O54" s="720"/>
      <c r="P54" s="550" t="str">
        <f t="shared" si="0"/>
        <v>INCLUDED</v>
      </c>
      <c r="Q54" s="509">
        <f t="shared" si="1"/>
        <v>0</v>
      </c>
      <c r="R54" s="447">
        <f t="shared" si="6"/>
        <v>0</v>
      </c>
      <c r="S54" s="630">
        <f>Discount!$J$36</f>
        <v>0</v>
      </c>
      <c r="T54" s="447">
        <f t="shared" si="7"/>
        <v>0</v>
      </c>
      <c r="U54" s="448">
        <f t="shared" si="4"/>
        <v>0</v>
      </c>
      <c r="V54" s="740">
        <f t="shared" si="5"/>
        <v>0</v>
      </c>
      <c r="W54" s="259"/>
      <c r="X54" s="259"/>
      <c r="Y54" s="259"/>
      <c r="Z54" s="259"/>
      <c r="AA54" s="259"/>
    </row>
    <row r="55" spans="1:27" ht="31.2">
      <c r="A55" s="734">
        <v>38</v>
      </c>
      <c r="B55" s="538">
        <v>7000016865</v>
      </c>
      <c r="C55" s="538">
        <v>680</v>
      </c>
      <c r="D55" s="553">
        <v>120</v>
      </c>
      <c r="E55" s="553">
        <v>930</v>
      </c>
      <c r="F55" s="553" t="s">
        <v>639</v>
      </c>
      <c r="G55" s="553">
        <v>100032427</v>
      </c>
      <c r="H55" s="553">
        <v>995455</v>
      </c>
      <c r="I55" s="554"/>
      <c r="J55" s="553">
        <v>18</v>
      </c>
      <c r="K55" s="552"/>
      <c r="L55" s="551" t="s">
        <v>680</v>
      </c>
      <c r="M55" s="744" t="s">
        <v>476</v>
      </c>
      <c r="N55" s="744">
        <v>2</v>
      </c>
      <c r="O55" s="720"/>
      <c r="P55" s="550" t="str">
        <f t="shared" si="0"/>
        <v>INCLUDED</v>
      </c>
      <c r="Q55" s="509">
        <f t="shared" si="1"/>
        <v>0</v>
      </c>
      <c r="R55" s="447">
        <f t="shared" si="6"/>
        <v>0</v>
      </c>
      <c r="S55" s="630">
        <f>Discount!$J$36</f>
        <v>0</v>
      </c>
      <c r="T55" s="447">
        <f t="shared" si="7"/>
        <v>0</v>
      </c>
      <c r="U55" s="448">
        <f t="shared" si="4"/>
        <v>0</v>
      </c>
      <c r="V55" s="740">
        <f t="shared" si="5"/>
        <v>0</v>
      </c>
      <c r="W55" s="259"/>
      <c r="X55" s="259"/>
      <c r="Y55" s="259"/>
      <c r="Z55" s="259"/>
      <c r="AA55" s="259"/>
    </row>
    <row r="56" spans="1:27" ht="109.2">
      <c r="A56" s="734">
        <v>39</v>
      </c>
      <c r="B56" s="538">
        <v>7000016865</v>
      </c>
      <c r="C56" s="538">
        <v>1080</v>
      </c>
      <c r="D56" s="553">
        <v>125</v>
      </c>
      <c r="E56" s="553">
        <v>10</v>
      </c>
      <c r="F56" s="553" t="s">
        <v>640</v>
      </c>
      <c r="G56" s="553">
        <v>100024596</v>
      </c>
      <c r="H56" s="553">
        <v>995451</v>
      </c>
      <c r="I56" s="554"/>
      <c r="J56" s="553">
        <v>18</v>
      </c>
      <c r="K56" s="552"/>
      <c r="L56" s="551" t="s">
        <v>681</v>
      </c>
      <c r="M56" s="744" t="s">
        <v>524</v>
      </c>
      <c r="N56" s="744">
        <v>480</v>
      </c>
      <c r="O56" s="720"/>
      <c r="P56" s="550" t="str">
        <f t="shared" si="0"/>
        <v>INCLUDED</v>
      </c>
      <c r="Q56" s="509">
        <f t="shared" si="1"/>
        <v>0</v>
      </c>
      <c r="R56" s="447">
        <f t="shared" si="6"/>
        <v>0</v>
      </c>
      <c r="S56" s="630">
        <f>Discount!$J$36</f>
        <v>0</v>
      </c>
      <c r="T56" s="447">
        <f t="shared" si="7"/>
        <v>0</v>
      </c>
      <c r="U56" s="448">
        <f t="shared" si="4"/>
        <v>0</v>
      </c>
      <c r="V56" s="740">
        <f t="shared" si="5"/>
        <v>0</v>
      </c>
      <c r="W56" s="259"/>
      <c r="X56" s="259"/>
      <c r="Y56" s="259"/>
      <c r="Z56" s="259"/>
      <c r="AA56" s="259"/>
    </row>
    <row r="57" spans="1:27" ht="46.8">
      <c r="A57" s="734">
        <v>40</v>
      </c>
      <c r="B57" s="538">
        <v>7000016865</v>
      </c>
      <c r="C57" s="538">
        <v>1080</v>
      </c>
      <c r="D57" s="553">
        <v>125</v>
      </c>
      <c r="E57" s="553">
        <v>20</v>
      </c>
      <c r="F57" s="553" t="s">
        <v>640</v>
      </c>
      <c r="G57" s="553">
        <v>100024568</v>
      </c>
      <c r="H57" s="553">
        <v>995451</v>
      </c>
      <c r="I57" s="554"/>
      <c r="J57" s="553">
        <v>18</v>
      </c>
      <c r="K57" s="552"/>
      <c r="L57" s="551" t="s">
        <v>682</v>
      </c>
      <c r="M57" s="744" t="s">
        <v>524</v>
      </c>
      <c r="N57" s="744">
        <v>20</v>
      </c>
      <c r="O57" s="720"/>
      <c r="P57" s="550" t="str">
        <f t="shared" si="0"/>
        <v>INCLUDED</v>
      </c>
      <c r="Q57" s="509">
        <f t="shared" si="1"/>
        <v>0</v>
      </c>
      <c r="R57" s="447">
        <f t="shared" si="6"/>
        <v>0</v>
      </c>
      <c r="S57" s="630">
        <f>Discount!$J$36</f>
        <v>0</v>
      </c>
      <c r="T57" s="447">
        <f t="shared" si="7"/>
        <v>0</v>
      </c>
      <c r="U57" s="448">
        <f t="shared" si="4"/>
        <v>0</v>
      </c>
      <c r="V57" s="740">
        <f t="shared" si="5"/>
        <v>0</v>
      </c>
      <c r="W57" s="259"/>
      <c r="X57" s="259"/>
      <c r="Y57" s="259"/>
      <c r="Z57" s="259"/>
      <c r="AA57" s="259"/>
    </row>
    <row r="58" spans="1:27" ht="62.4">
      <c r="A58" s="734">
        <v>41</v>
      </c>
      <c r="B58" s="538">
        <v>7000016865</v>
      </c>
      <c r="C58" s="538">
        <v>1080</v>
      </c>
      <c r="D58" s="553">
        <v>125</v>
      </c>
      <c r="E58" s="553">
        <v>30</v>
      </c>
      <c r="F58" s="553" t="s">
        <v>640</v>
      </c>
      <c r="G58" s="553">
        <v>100001314</v>
      </c>
      <c r="H58" s="553">
        <v>995451</v>
      </c>
      <c r="I58" s="554"/>
      <c r="J58" s="553">
        <v>18</v>
      </c>
      <c r="K58" s="552"/>
      <c r="L58" s="551" t="s">
        <v>683</v>
      </c>
      <c r="M58" s="744" t="s">
        <v>498</v>
      </c>
      <c r="N58" s="744">
        <v>10</v>
      </c>
      <c r="O58" s="539"/>
      <c r="P58" s="550" t="str">
        <f t="shared" si="0"/>
        <v>INCLUDED</v>
      </c>
      <c r="Q58" s="509">
        <f t="shared" si="1"/>
        <v>0</v>
      </c>
      <c r="R58" s="447">
        <f t="shared" si="6"/>
        <v>0</v>
      </c>
      <c r="S58" s="630">
        <f>Discount!$J$36</f>
        <v>0</v>
      </c>
      <c r="T58" s="447">
        <f t="shared" si="7"/>
        <v>0</v>
      </c>
      <c r="U58" s="448">
        <f t="shared" si="4"/>
        <v>0</v>
      </c>
      <c r="V58" s="740">
        <f t="shared" si="5"/>
        <v>0</v>
      </c>
      <c r="W58" s="259"/>
      <c r="X58" s="259"/>
      <c r="Y58" s="259"/>
      <c r="Z58" s="259"/>
      <c r="AA58" s="259"/>
    </row>
    <row r="59" spans="1:27" ht="46.8">
      <c r="A59" s="734">
        <v>42</v>
      </c>
      <c r="B59" s="538">
        <v>7000016865</v>
      </c>
      <c r="C59" s="538">
        <v>1080</v>
      </c>
      <c r="D59" s="553">
        <v>125</v>
      </c>
      <c r="E59" s="553">
        <v>40</v>
      </c>
      <c r="F59" s="553" t="s">
        <v>640</v>
      </c>
      <c r="G59" s="553">
        <v>100001315</v>
      </c>
      <c r="H59" s="553">
        <v>995451</v>
      </c>
      <c r="I59" s="554"/>
      <c r="J59" s="553">
        <v>18</v>
      </c>
      <c r="K59" s="552"/>
      <c r="L59" s="551" t="s">
        <v>684</v>
      </c>
      <c r="M59" s="744" t="s">
        <v>498</v>
      </c>
      <c r="N59" s="744">
        <v>5</v>
      </c>
      <c r="O59" s="539"/>
      <c r="P59" s="550" t="str">
        <f t="shared" si="0"/>
        <v>INCLUDED</v>
      </c>
      <c r="Q59" s="509">
        <f t="shared" si="1"/>
        <v>0</v>
      </c>
      <c r="R59" s="447">
        <f t="shared" si="6"/>
        <v>0</v>
      </c>
      <c r="S59" s="630">
        <f>Discount!$J$36</f>
        <v>0</v>
      </c>
      <c r="T59" s="447">
        <f t="shared" si="7"/>
        <v>0</v>
      </c>
      <c r="U59" s="448">
        <f t="shared" si="4"/>
        <v>0</v>
      </c>
      <c r="V59" s="740">
        <f t="shared" si="5"/>
        <v>0</v>
      </c>
      <c r="W59" s="259"/>
      <c r="X59" s="259"/>
      <c r="Y59" s="259"/>
      <c r="Z59" s="259"/>
      <c r="AA59" s="259"/>
    </row>
    <row r="60" spans="1:27" ht="46.8">
      <c r="A60" s="734">
        <v>43</v>
      </c>
      <c r="B60" s="538">
        <v>7000016865</v>
      </c>
      <c r="C60" s="538">
        <v>1080</v>
      </c>
      <c r="D60" s="553">
        <v>125</v>
      </c>
      <c r="E60" s="553">
        <v>50</v>
      </c>
      <c r="F60" s="553" t="s">
        <v>640</v>
      </c>
      <c r="G60" s="553">
        <v>100001316</v>
      </c>
      <c r="H60" s="553">
        <v>995451</v>
      </c>
      <c r="I60" s="554"/>
      <c r="J60" s="553">
        <v>18</v>
      </c>
      <c r="K60" s="552"/>
      <c r="L60" s="551" t="s">
        <v>685</v>
      </c>
      <c r="M60" s="744" t="s">
        <v>526</v>
      </c>
      <c r="N60" s="744">
        <v>142</v>
      </c>
      <c r="O60" s="539"/>
      <c r="P60" s="550" t="str">
        <f t="shared" si="0"/>
        <v>INCLUDED</v>
      </c>
      <c r="Q60" s="509">
        <f t="shared" si="1"/>
        <v>0</v>
      </c>
      <c r="R60" s="447">
        <f t="shared" si="6"/>
        <v>0</v>
      </c>
      <c r="S60" s="630">
        <f>Discount!$J$36</f>
        <v>0</v>
      </c>
      <c r="T60" s="447">
        <f t="shared" si="7"/>
        <v>0</v>
      </c>
      <c r="U60" s="448">
        <f t="shared" si="4"/>
        <v>0</v>
      </c>
      <c r="V60" s="740">
        <f t="shared" si="5"/>
        <v>0</v>
      </c>
      <c r="W60" s="259"/>
      <c r="X60" s="259"/>
      <c r="Y60" s="259"/>
      <c r="Z60" s="259"/>
      <c r="AA60" s="259"/>
    </row>
    <row r="61" spans="1:27" ht="46.8">
      <c r="A61" s="734">
        <v>44</v>
      </c>
      <c r="B61" s="538">
        <v>7000016865</v>
      </c>
      <c r="C61" s="538">
        <v>1080</v>
      </c>
      <c r="D61" s="553">
        <v>125</v>
      </c>
      <c r="E61" s="553">
        <v>60</v>
      </c>
      <c r="F61" s="553" t="s">
        <v>640</v>
      </c>
      <c r="G61" s="553">
        <v>100008206</v>
      </c>
      <c r="H61" s="553">
        <v>995451</v>
      </c>
      <c r="I61" s="554"/>
      <c r="J61" s="553">
        <v>18</v>
      </c>
      <c r="K61" s="552"/>
      <c r="L61" s="551" t="s">
        <v>686</v>
      </c>
      <c r="M61" s="744" t="s">
        <v>514</v>
      </c>
      <c r="N61" s="744">
        <v>34</v>
      </c>
      <c r="O61" s="539"/>
      <c r="P61" s="550" t="str">
        <f t="shared" si="0"/>
        <v>INCLUDED</v>
      </c>
      <c r="Q61" s="509">
        <f t="shared" si="1"/>
        <v>0</v>
      </c>
      <c r="R61" s="447">
        <f t="shared" si="6"/>
        <v>0</v>
      </c>
      <c r="S61" s="630">
        <f>Discount!$J$36</f>
        <v>0</v>
      </c>
      <c r="T61" s="447">
        <f t="shared" si="7"/>
        <v>0</v>
      </c>
      <c r="U61" s="448">
        <f t="shared" si="4"/>
        <v>0</v>
      </c>
      <c r="V61" s="740">
        <f t="shared" si="5"/>
        <v>0</v>
      </c>
      <c r="W61" s="259"/>
      <c r="X61" s="259"/>
      <c r="Y61" s="259"/>
      <c r="Z61" s="259"/>
      <c r="AA61" s="259"/>
    </row>
    <row r="62" spans="1:27" ht="78">
      <c r="A62" s="734">
        <v>45</v>
      </c>
      <c r="B62" s="538">
        <v>7000016865</v>
      </c>
      <c r="C62" s="538">
        <v>1080</v>
      </c>
      <c r="D62" s="553">
        <v>125</v>
      </c>
      <c r="E62" s="553">
        <v>70</v>
      </c>
      <c r="F62" s="553" t="s">
        <v>640</v>
      </c>
      <c r="G62" s="553">
        <v>100016697</v>
      </c>
      <c r="H62" s="553">
        <v>995451</v>
      </c>
      <c r="I62" s="554"/>
      <c r="J62" s="553">
        <v>18</v>
      </c>
      <c r="K62" s="552"/>
      <c r="L62" s="551" t="s">
        <v>687</v>
      </c>
      <c r="M62" s="744" t="s">
        <v>498</v>
      </c>
      <c r="N62" s="744">
        <v>168</v>
      </c>
      <c r="O62" s="539"/>
      <c r="P62" s="550" t="str">
        <f t="shared" si="0"/>
        <v>INCLUDED</v>
      </c>
      <c r="Q62" s="509">
        <f t="shared" si="1"/>
        <v>0</v>
      </c>
      <c r="R62" s="447">
        <f t="shared" si="6"/>
        <v>0</v>
      </c>
      <c r="S62" s="630">
        <f>Discount!$J$36</f>
        <v>0</v>
      </c>
      <c r="T62" s="447">
        <f t="shared" si="7"/>
        <v>0</v>
      </c>
      <c r="U62" s="448">
        <f t="shared" si="4"/>
        <v>0</v>
      </c>
      <c r="V62" s="740">
        <f t="shared" si="5"/>
        <v>0</v>
      </c>
      <c r="W62" s="259"/>
      <c r="X62" s="259"/>
      <c r="Y62" s="259"/>
      <c r="Z62" s="259"/>
      <c r="AA62" s="259"/>
    </row>
    <row r="63" spans="1:27" ht="46.8">
      <c r="A63" s="734">
        <v>46</v>
      </c>
      <c r="B63" s="538">
        <v>7000016865</v>
      </c>
      <c r="C63" s="538">
        <v>1080</v>
      </c>
      <c r="D63" s="553">
        <v>125</v>
      </c>
      <c r="E63" s="553">
        <v>80</v>
      </c>
      <c r="F63" s="553" t="s">
        <v>640</v>
      </c>
      <c r="G63" s="553">
        <v>100001319</v>
      </c>
      <c r="H63" s="553">
        <v>995451</v>
      </c>
      <c r="I63" s="554"/>
      <c r="J63" s="553">
        <v>18</v>
      </c>
      <c r="K63" s="552"/>
      <c r="L63" s="551" t="s">
        <v>688</v>
      </c>
      <c r="M63" s="553" t="s">
        <v>498</v>
      </c>
      <c r="N63" s="553">
        <v>10</v>
      </c>
      <c r="O63" s="539"/>
      <c r="P63" s="550" t="str">
        <f t="shared" si="0"/>
        <v>INCLUDED</v>
      </c>
      <c r="Q63" s="509">
        <f t="shared" si="1"/>
        <v>0</v>
      </c>
      <c r="R63" s="447">
        <f t="shared" si="6"/>
        <v>0</v>
      </c>
      <c r="S63" s="630">
        <f>Discount!$J$36</f>
        <v>0</v>
      </c>
      <c r="T63" s="447">
        <f t="shared" si="7"/>
        <v>0</v>
      </c>
      <c r="U63" s="448">
        <f t="shared" si="4"/>
        <v>0</v>
      </c>
      <c r="V63" s="740">
        <f t="shared" si="5"/>
        <v>0</v>
      </c>
      <c r="W63" s="259"/>
      <c r="X63" s="259"/>
      <c r="Y63" s="259"/>
      <c r="Z63" s="259"/>
      <c r="AA63" s="259"/>
    </row>
    <row r="64" spans="1:27" ht="46.8">
      <c r="A64" s="734">
        <v>47</v>
      </c>
      <c r="B64" s="538">
        <v>7000016865</v>
      </c>
      <c r="C64" s="538">
        <v>1080</v>
      </c>
      <c r="D64" s="553">
        <v>125</v>
      </c>
      <c r="E64" s="553">
        <v>90</v>
      </c>
      <c r="F64" s="553" t="s">
        <v>640</v>
      </c>
      <c r="G64" s="553">
        <v>100001320</v>
      </c>
      <c r="H64" s="553">
        <v>998346</v>
      </c>
      <c r="I64" s="554"/>
      <c r="J64" s="553">
        <v>18</v>
      </c>
      <c r="K64" s="552"/>
      <c r="L64" s="551" t="s">
        <v>689</v>
      </c>
      <c r="M64" s="553" t="s">
        <v>476</v>
      </c>
      <c r="N64" s="553">
        <v>40</v>
      </c>
      <c r="O64" s="539"/>
      <c r="P64" s="550" t="str">
        <f t="shared" si="0"/>
        <v>INCLUDED</v>
      </c>
      <c r="Q64" s="509">
        <f t="shared" si="1"/>
        <v>0</v>
      </c>
      <c r="R64" s="447">
        <f t="shared" si="6"/>
        <v>0</v>
      </c>
      <c r="S64" s="630">
        <f>Discount!$J$36</f>
        <v>0</v>
      </c>
      <c r="T64" s="447">
        <f t="shared" si="7"/>
        <v>0</v>
      </c>
      <c r="U64" s="448">
        <f t="shared" si="4"/>
        <v>0</v>
      </c>
      <c r="V64" s="740">
        <f t="shared" si="5"/>
        <v>0</v>
      </c>
      <c r="W64" s="259"/>
      <c r="X64" s="259"/>
      <c r="Y64" s="259"/>
      <c r="Z64" s="259"/>
      <c r="AA64" s="259"/>
    </row>
    <row r="65" spans="1:27" ht="62.4">
      <c r="A65" s="734">
        <v>48</v>
      </c>
      <c r="B65" s="538">
        <v>7000016865</v>
      </c>
      <c r="C65" s="538">
        <v>1080</v>
      </c>
      <c r="D65" s="553">
        <v>125</v>
      </c>
      <c r="E65" s="553">
        <v>100</v>
      </c>
      <c r="F65" s="553" t="s">
        <v>640</v>
      </c>
      <c r="G65" s="553">
        <v>100001321</v>
      </c>
      <c r="H65" s="553">
        <v>995451</v>
      </c>
      <c r="I65" s="554"/>
      <c r="J65" s="553">
        <v>18</v>
      </c>
      <c r="K65" s="552"/>
      <c r="L65" s="551" t="s">
        <v>690</v>
      </c>
      <c r="M65" s="553" t="s">
        <v>514</v>
      </c>
      <c r="N65" s="553">
        <v>7</v>
      </c>
      <c r="O65" s="539"/>
      <c r="P65" s="550" t="str">
        <f t="shared" si="0"/>
        <v>INCLUDED</v>
      </c>
      <c r="Q65" s="509">
        <f t="shared" si="1"/>
        <v>0</v>
      </c>
      <c r="R65" s="447">
        <f t="shared" si="6"/>
        <v>0</v>
      </c>
      <c r="S65" s="630">
        <f>Discount!$J$36</f>
        <v>0</v>
      </c>
      <c r="T65" s="447">
        <f t="shared" si="7"/>
        <v>0</v>
      </c>
      <c r="U65" s="448">
        <f t="shared" si="4"/>
        <v>0</v>
      </c>
      <c r="V65" s="740">
        <f t="shared" si="5"/>
        <v>0</v>
      </c>
      <c r="W65" s="259"/>
      <c r="X65" s="259"/>
      <c r="Y65" s="259"/>
      <c r="Z65" s="259"/>
      <c r="AA65" s="259"/>
    </row>
    <row r="66" spans="1:27" ht="46.8">
      <c r="A66" s="734">
        <v>49</v>
      </c>
      <c r="B66" s="538">
        <v>7000016865</v>
      </c>
      <c r="C66" s="538">
        <v>1080</v>
      </c>
      <c r="D66" s="553">
        <v>125</v>
      </c>
      <c r="E66" s="553">
        <v>110</v>
      </c>
      <c r="F66" s="553" t="s">
        <v>640</v>
      </c>
      <c r="G66" s="553">
        <v>100001322</v>
      </c>
      <c r="H66" s="553">
        <v>998346</v>
      </c>
      <c r="I66" s="554"/>
      <c r="J66" s="553">
        <v>18</v>
      </c>
      <c r="K66" s="552"/>
      <c r="L66" s="551" t="s">
        <v>691</v>
      </c>
      <c r="M66" s="553" t="s">
        <v>476</v>
      </c>
      <c r="N66" s="553">
        <v>20</v>
      </c>
      <c r="O66" s="539"/>
      <c r="P66" s="550" t="str">
        <f t="shared" si="0"/>
        <v>INCLUDED</v>
      </c>
      <c r="Q66" s="509">
        <f t="shared" si="1"/>
        <v>0</v>
      </c>
      <c r="R66" s="447">
        <f t="shared" si="6"/>
        <v>0</v>
      </c>
      <c r="S66" s="630">
        <f>Discount!$J$36</f>
        <v>0</v>
      </c>
      <c r="T66" s="447">
        <f t="shared" si="7"/>
        <v>0</v>
      </c>
      <c r="U66" s="448">
        <f t="shared" si="4"/>
        <v>0</v>
      </c>
      <c r="V66" s="740">
        <f t="shared" si="5"/>
        <v>0</v>
      </c>
      <c r="W66" s="259"/>
      <c r="X66" s="259"/>
      <c r="Y66" s="259"/>
      <c r="Z66" s="259"/>
      <c r="AA66" s="259"/>
    </row>
    <row r="67" spans="1:27" ht="46.8">
      <c r="A67" s="734">
        <v>50</v>
      </c>
      <c r="B67" s="538">
        <v>7000016865</v>
      </c>
      <c r="C67" s="538">
        <v>690</v>
      </c>
      <c r="D67" s="553">
        <v>130</v>
      </c>
      <c r="E67" s="553">
        <v>230</v>
      </c>
      <c r="F67" s="553" t="s">
        <v>641</v>
      </c>
      <c r="G67" s="553">
        <v>100018146</v>
      </c>
      <c r="H67" s="553">
        <v>995455</v>
      </c>
      <c r="I67" s="554"/>
      <c r="J67" s="553">
        <v>18</v>
      </c>
      <c r="K67" s="552"/>
      <c r="L67" s="551" t="s">
        <v>692</v>
      </c>
      <c r="M67" s="553" t="s">
        <v>476</v>
      </c>
      <c r="N67" s="553">
        <v>28</v>
      </c>
      <c r="O67" s="539"/>
      <c r="P67" s="550" t="str">
        <f t="shared" si="0"/>
        <v>INCLUDED</v>
      </c>
      <c r="Q67" s="509">
        <f t="shared" si="1"/>
        <v>0</v>
      </c>
      <c r="R67" s="447">
        <f t="shared" si="6"/>
        <v>0</v>
      </c>
      <c r="S67" s="630">
        <f>Discount!$J$36</f>
        <v>0</v>
      </c>
      <c r="T67" s="447">
        <f t="shared" si="7"/>
        <v>0</v>
      </c>
      <c r="U67" s="448">
        <f t="shared" si="4"/>
        <v>0</v>
      </c>
      <c r="V67" s="740">
        <f t="shared" si="5"/>
        <v>0</v>
      </c>
      <c r="W67" s="259"/>
      <c r="X67" s="259"/>
      <c r="Y67" s="259"/>
      <c r="Z67" s="259"/>
      <c r="AA67" s="259"/>
    </row>
    <row r="68" spans="1:27" ht="46.8">
      <c r="A68" s="734">
        <v>51</v>
      </c>
      <c r="B68" s="538">
        <v>7000016865</v>
      </c>
      <c r="C68" s="538">
        <v>690</v>
      </c>
      <c r="D68" s="553">
        <v>130</v>
      </c>
      <c r="E68" s="553">
        <v>240</v>
      </c>
      <c r="F68" s="553" t="s">
        <v>641</v>
      </c>
      <c r="G68" s="553">
        <v>100018147</v>
      </c>
      <c r="H68" s="553">
        <v>995455</v>
      </c>
      <c r="I68" s="554"/>
      <c r="J68" s="553">
        <v>18</v>
      </c>
      <c r="K68" s="552"/>
      <c r="L68" s="551" t="s">
        <v>693</v>
      </c>
      <c r="M68" s="553" t="s">
        <v>476</v>
      </c>
      <c r="N68" s="553">
        <v>4</v>
      </c>
      <c r="O68" s="539"/>
      <c r="P68" s="550" t="str">
        <f t="shared" si="0"/>
        <v>INCLUDED</v>
      </c>
      <c r="Q68" s="509">
        <f t="shared" si="1"/>
        <v>0</v>
      </c>
      <c r="R68" s="447">
        <f t="shared" si="6"/>
        <v>0</v>
      </c>
      <c r="S68" s="630">
        <f>Discount!$J$36</f>
        <v>0</v>
      </c>
      <c r="T68" s="447">
        <f t="shared" si="7"/>
        <v>0</v>
      </c>
      <c r="U68" s="448">
        <f t="shared" si="4"/>
        <v>0</v>
      </c>
      <c r="V68" s="740">
        <f t="shared" si="5"/>
        <v>0</v>
      </c>
      <c r="W68" s="259"/>
      <c r="X68" s="259"/>
      <c r="Y68" s="259"/>
      <c r="Z68" s="259"/>
      <c r="AA68" s="259"/>
    </row>
    <row r="69" spans="1:27" ht="46.8">
      <c r="A69" s="734">
        <v>52</v>
      </c>
      <c r="B69" s="538">
        <v>7000016865</v>
      </c>
      <c r="C69" s="538">
        <v>690</v>
      </c>
      <c r="D69" s="553">
        <v>130</v>
      </c>
      <c r="E69" s="553">
        <v>250</v>
      </c>
      <c r="F69" s="553" t="s">
        <v>641</v>
      </c>
      <c r="G69" s="553">
        <v>100018148</v>
      </c>
      <c r="H69" s="553">
        <v>995455</v>
      </c>
      <c r="I69" s="554"/>
      <c r="J69" s="553">
        <v>18</v>
      </c>
      <c r="K69" s="552"/>
      <c r="L69" s="551" t="s">
        <v>694</v>
      </c>
      <c r="M69" s="553" t="s">
        <v>476</v>
      </c>
      <c r="N69" s="553">
        <v>12</v>
      </c>
      <c r="O69" s="539"/>
      <c r="P69" s="550" t="str">
        <f t="shared" si="0"/>
        <v>INCLUDED</v>
      </c>
      <c r="Q69" s="509">
        <f t="shared" si="1"/>
        <v>0</v>
      </c>
      <c r="R69" s="447">
        <f t="shared" si="6"/>
        <v>0</v>
      </c>
      <c r="S69" s="630">
        <f>Discount!$J$36</f>
        <v>0</v>
      </c>
      <c r="T69" s="447">
        <f t="shared" si="7"/>
        <v>0</v>
      </c>
      <c r="U69" s="448">
        <f t="shared" si="4"/>
        <v>0</v>
      </c>
      <c r="V69" s="740">
        <f t="shared" si="5"/>
        <v>0</v>
      </c>
      <c r="W69" s="259"/>
      <c r="X69" s="259"/>
      <c r="Y69" s="259"/>
      <c r="Z69" s="259"/>
      <c r="AA69" s="259"/>
    </row>
    <row r="70" spans="1:27" ht="46.8">
      <c r="A70" s="734">
        <v>53</v>
      </c>
      <c r="B70" s="538">
        <v>7000016865</v>
      </c>
      <c r="C70" s="538">
        <v>690</v>
      </c>
      <c r="D70" s="553">
        <v>130</v>
      </c>
      <c r="E70" s="553">
        <v>260</v>
      </c>
      <c r="F70" s="553" t="s">
        <v>641</v>
      </c>
      <c r="G70" s="553">
        <v>100018149</v>
      </c>
      <c r="H70" s="553">
        <v>995455</v>
      </c>
      <c r="I70" s="554"/>
      <c r="J70" s="553">
        <v>18</v>
      </c>
      <c r="K70" s="552"/>
      <c r="L70" s="551" t="s">
        <v>695</v>
      </c>
      <c r="M70" s="553" t="s">
        <v>476</v>
      </c>
      <c r="N70" s="553">
        <v>48</v>
      </c>
      <c r="O70" s="539"/>
      <c r="P70" s="550" t="str">
        <f t="shared" si="0"/>
        <v>INCLUDED</v>
      </c>
      <c r="Q70" s="509">
        <f t="shared" si="1"/>
        <v>0</v>
      </c>
      <c r="R70" s="447">
        <f t="shared" si="6"/>
        <v>0</v>
      </c>
      <c r="S70" s="630">
        <f>Discount!$J$36</f>
        <v>0</v>
      </c>
      <c r="T70" s="447">
        <f t="shared" si="7"/>
        <v>0</v>
      </c>
      <c r="U70" s="448">
        <f t="shared" si="4"/>
        <v>0</v>
      </c>
      <c r="V70" s="740">
        <f t="shared" si="5"/>
        <v>0</v>
      </c>
      <c r="W70" s="259"/>
      <c r="X70" s="259"/>
      <c r="Y70" s="259"/>
      <c r="Z70" s="259"/>
      <c r="AA70" s="259"/>
    </row>
    <row r="71" spans="1:27" ht="46.8">
      <c r="A71" s="734">
        <v>54</v>
      </c>
      <c r="B71" s="538">
        <v>7000016865</v>
      </c>
      <c r="C71" s="538">
        <v>690</v>
      </c>
      <c r="D71" s="553">
        <v>130</v>
      </c>
      <c r="E71" s="553">
        <v>270</v>
      </c>
      <c r="F71" s="553" t="s">
        <v>641</v>
      </c>
      <c r="G71" s="553">
        <v>100018153</v>
      </c>
      <c r="H71" s="553">
        <v>995455</v>
      </c>
      <c r="I71" s="554"/>
      <c r="J71" s="553">
        <v>18</v>
      </c>
      <c r="K71" s="552"/>
      <c r="L71" s="551" t="s">
        <v>696</v>
      </c>
      <c r="M71" s="553" t="s">
        <v>476</v>
      </c>
      <c r="N71" s="553">
        <v>1</v>
      </c>
      <c r="O71" s="539"/>
      <c r="P71" s="550" t="str">
        <f t="shared" si="0"/>
        <v>INCLUDED</v>
      </c>
      <c r="Q71" s="509">
        <f t="shared" si="1"/>
        <v>0</v>
      </c>
      <c r="R71" s="447">
        <f t="shared" si="6"/>
        <v>0</v>
      </c>
      <c r="S71" s="630">
        <f>Discount!$J$36</f>
        <v>0</v>
      </c>
      <c r="T71" s="447">
        <f t="shared" si="7"/>
        <v>0</v>
      </c>
      <c r="U71" s="448">
        <f t="shared" si="4"/>
        <v>0</v>
      </c>
      <c r="V71" s="740">
        <f t="shared" si="5"/>
        <v>0</v>
      </c>
      <c r="W71" s="259"/>
      <c r="X71" s="259"/>
      <c r="Y71" s="259"/>
      <c r="Z71" s="259"/>
      <c r="AA71" s="259"/>
    </row>
    <row r="72" spans="1:27" ht="46.8">
      <c r="A72" s="734">
        <v>55</v>
      </c>
      <c r="B72" s="538">
        <v>7000016865</v>
      </c>
      <c r="C72" s="538">
        <v>690</v>
      </c>
      <c r="D72" s="553">
        <v>130</v>
      </c>
      <c r="E72" s="553">
        <v>280</v>
      </c>
      <c r="F72" s="553" t="s">
        <v>641</v>
      </c>
      <c r="G72" s="553">
        <v>100018154</v>
      </c>
      <c r="H72" s="553">
        <v>995455</v>
      </c>
      <c r="I72" s="554"/>
      <c r="J72" s="553">
        <v>18</v>
      </c>
      <c r="K72" s="552"/>
      <c r="L72" s="551" t="s">
        <v>697</v>
      </c>
      <c r="M72" s="744" t="s">
        <v>476</v>
      </c>
      <c r="N72" s="744">
        <v>3</v>
      </c>
      <c r="O72" s="539"/>
      <c r="P72" s="550" t="str">
        <f t="shared" ref="P72:P158" si="8">IF(O72=0, "INCLUDED", IF(ISERROR(N72*O72), O72, N72*O72))</f>
        <v>INCLUDED</v>
      </c>
      <c r="Q72" s="509">
        <f t="shared" ref="Q72:Q158" si="9">IF(P72="Included",0,P72)</f>
        <v>0</v>
      </c>
      <c r="R72" s="447">
        <f t="shared" ref="R72:R91" si="10">IF( K72="",J72*(IF(P72="Included",0,P72))/100,K72*(IF(P72="Included",0,P72)))</f>
        <v>0</v>
      </c>
      <c r="S72" s="630">
        <f>Discount!$J$36</f>
        <v>0</v>
      </c>
      <c r="T72" s="447">
        <f t="shared" ref="T72:T91" si="11">S72*Q72</f>
        <v>0</v>
      </c>
      <c r="U72" s="448">
        <f t="shared" ref="U72:U158" si="12">IF(K72="",J72*T72/100,K72*T72)</f>
        <v>0</v>
      </c>
      <c r="V72" s="740">
        <f t="shared" ref="V72:V158" si="13">O72*N72</f>
        <v>0</v>
      </c>
      <c r="W72" s="259"/>
      <c r="X72" s="259"/>
      <c r="Y72" s="259"/>
      <c r="Z72" s="259"/>
      <c r="AA72" s="259"/>
    </row>
    <row r="73" spans="1:27" ht="46.8">
      <c r="A73" s="734">
        <v>56</v>
      </c>
      <c r="B73" s="538">
        <v>7000016865</v>
      </c>
      <c r="C73" s="538">
        <v>690</v>
      </c>
      <c r="D73" s="553">
        <v>130</v>
      </c>
      <c r="E73" s="553">
        <v>290</v>
      </c>
      <c r="F73" s="553" t="s">
        <v>641</v>
      </c>
      <c r="G73" s="553">
        <v>100018160</v>
      </c>
      <c r="H73" s="553">
        <v>995455</v>
      </c>
      <c r="I73" s="554"/>
      <c r="J73" s="553">
        <v>18</v>
      </c>
      <c r="K73" s="552"/>
      <c r="L73" s="551" t="s">
        <v>698</v>
      </c>
      <c r="M73" s="744" t="s">
        <v>476</v>
      </c>
      <c r="N73" s="744">
        <v>4</v>
      </c>
      <c r="O73" s="539"/>
      <c r="P73" s="550" t="str">
        <f t="shared" si="8"/>
        <v>INCLUDED</v>
      </c>
      <c r="Q73" s="509">
        <f t="shared" si="9"/>
        <v>0</v>
      </c>
      <c r="R73" s="447">
        <f t="shared" si="10"/>
        <v>0</v>
      </c>
      <c r="S73" s="630">
        <f>Discount!$J$36</f>
        <v>0</v>
      </c>
      <c r="T73" s="447">
        <f t="shared" si="11"/>
        <v>0</v>
      </c>
      <c r="U73" s="448">
        <f t="shared" si="12"/>
        <v>0</v>
      </c>
      <c r="V73" s="740">
        <f t="shared" si="13"/>
        <v>0</v>
      </c>
      <c r="W73" s="259"/>
      <c r="X73" s="259"/>
      <c r="Y73" s="259"/>
      <c r="Z73" s="259"/>
      <c r="AA73" s="259"/>
    </row>
    <row r="74" spans="1:27" ht="46.8">
      <c r="A74" s="734">
        <v>57</v>
      </c>
      <c r="B74" s="538">
        <v>7000016865</v>
      </c>
      <c r="C74" s="538">
        <v>690</v>
      </c>
      <c r="D74" s="553">
        <v>130</v>
      </c>
      <c r="E74" s="553">
        <v>300</v>
      </c>
      <c r="F74" s="553" t="s">
        <v>641</v>
      </c>
      <c r="G74" s="553">
        <v>100018161</v>
      </c>
      <c r="H74" s="553">
        <v>995455</v>
      </c>
      <c r="I74" s="554"/>
      <c r="J74" s="553">
        <v>18</v>
      </c>
      <c r="K74" s="552"/>
      <c r="L74" s="551" t="s">
        <v>699</v>
      </c>
      <c r="M74" s="744" t="s">
        <v>476</v>
      </c>
      <c r="N74" s="744">
        <v>2</v>
      </c>
      <c r="O74" s="539"/>
      <c r="P74" s="550" t="str">
        <f t="shared" si="8"/>
        <v>INCLUDED</v>
      </c>
      <c r="Q74" s="509">
        <f t="shared" si="9"/>
        <v>0</v>
      </c>
      <c r="R74" s="447">
        <f t="shared" si="10"/>
        <v>0</v>
      </c>
      <c r="S74" s="630">
        <f>Discount!$J$36</f>
        <v>0</v>
      </c>
      <c r="T74" s="447">
        <f t="shared" si="11"/>
        <v>0</v>
      </c>
      <c r="U74" s="448">
        <f t="shared" si="12"/>
        <v>0</v>
      </c>
      <c r="V74" s="740">
        <f t="shared" si="13"/>
        <v>0</v>
      </c>
      <c r="W74" s="259"/>
      <c r="X74" s="259"/>
      <c r="Y74" s="259"/>
      <c r="Z74" s="259"/>
      <c r="AA74" s="259"/>
    </row>
    <row r="75" spans="1:27" ht="46.8">
      <c r="A75" s="734">
        <v>58</v>
      </c>
      <c r="B75" s="538">
        <v>7000016865</v>
      </c>
      <c r="C75" s="538">
        <v>690</v>
      </c>
      <c r="D75" s="553">
        <v>130</v>
      </c>
      <c r="E75" s="553">
        <v>310</v>
      </c>
      <c r="F75" s="553" t="s">
        <v>641</v>
      </c>
      <c r="G75" s="553">
        <v>100018166</v>
      </c>
      <c r="H75" s="553">
        <v>995455</v>
      </c>
      <c r="I75" s="554"/>
      <c r="J75" s="553">
        <v>18</v>
      </c>
      <c r="K75" s="552"/>
      <c r="L75" s="551" t="s">
        <v>700</v>
      </c>
      <c r="M75" s="744" t="s">
        <v>476</v>
      </c>
      <c r="N75" s="744">
        <v>4</v>
      </c>
      <c r="O75" s="539"/>
      <c r="P75" s="550" t="str">
        <f t="shared" si="8"/>
        <v>INCLUDED</v>
      </c>
      <c r="Q75" s="509">
        <f t="shared" si="9"/>
        <v>0</v>
      </c>
      <c r="R75" s="447">
        <f t="shared" si="10"/>
        <v>0</v>
      </c>
      <c r="S75" s="630">
        <f>Discount!$J$36</f>
        <v>0</v>
      </c>
      <c r="T75" s="447">
        <f t="shared" si="11"/>
        <v>0</v>
      </c>
      <c r="U75" s="448">
        <f t="shared" si="12"/>
        <v>0</v>
      </c>
      <c r="V75" s="740">
        <f t="shared" si="13"/>
        <v>0</v>
      </c>
      <c r="W75" s="259"/>
      <c r="X75" s="259"/>
      <c r="Y75" s="259"/>
      <c r="Z75" s="259"/>
      <c r="AA75" s="259"/>
    </row>
    <row r="76" spans="1:27" ht="46.8">
      <c r="A76" s="734">
        <v>59</v>
      </c>
      <c r="B76" s="538">
        <v>7000016865</v>
      </c>
      <c r="C76" s="538">
        <v>690</v>
      </c>
      <c r="D76" s="553">
        <v>130</v>
      </c>
      <c r="E76" s="553">
        <v>320</v>
      </c>
      <c r="F76" s="553" t="s">
        <v>641</v>
      </c>
      <c r="G76" s="553">
        <v>100018167</v>
      </c>
      <c r="H76" s="553">
        <v>995455</v>
      </c>
      <c r="I76" s="554"/>
      <c r="J76" s="553">
        <v>18</v>
      </c>
      <c r="K76" s="552"/>
      <c r="L76" s="551" t="s">
        <v>701</v>
      </c>
      <c r="M76" s="744" t="s">
        <v>476</v>
      </c>
      <c r="N76" s="744">
        <v>1</v>
      </c>
      <c r="O76" s="539"/>
      <c r="P76" s="550" t="str">
        <f t="shared" si="8"/>
        <v>INCLUDED</v>
      </c>
      <c r="Q76" s="509">
        <f t="shared" si="9"/>
        <v>0</v>
      </c>
      <c r="R76" s="447">
        <f t="shared" si="10"/>
        <v>0</v>
      </c>
      <c r="S76" s="630">
        <f>Discount!$J$36</f>
        <v>0</v>
      </c>
      <c r="T76" s="447">
        <f t="shared" si="11"/>
        <v>0</v>
      </c>
      <c r="U76" s="448">
        <f t="shared" si="12"/>
        <v>0</v>
      </c>
      <c r="V76" s="740">
        <f t="shared" si="13"/>
        <v>0</v>
      </c>
      <c r="W76" s="259"/>
      <c r="X76" s="259"/>
      <c r="Y76" s="259"/>
      <c r="Z76" s="259"/>
      <c r="AA76" s="259"/>
    </row>
    <row r="77" spans="1:27" ht="46.8">
      <c r="A77" s="734">
        <v>60</v>
      </c>
      <c r="B77" s="538">
        <v>7000016865</v>
      </c>
      <c r="C77" s="538">
        <v>690</v>
      </c>
      <c r="D77" s="553">
        <v>130</v>
      </c>
      <c r="E77" s="553">
        <v>330</v>
      </c>
      <c r="F77" s="553" t="s">
        <v>641</v>
      </c>
      <c r="G77" s="553">
        <v>100018173</v>
      </c>
      <c r="H77" s="553">
        <v>995455</v>
      </c>
      <c r="I77" s="554"/>
      <c r="J77" s="553">
        <v>18</v>
      </c>
      <c r="K77" s="552"/>
      <c r="L77" s="551" t="s">
        <v>702</v>
      </c>
      <c r="M77" s="744" t="s">
        <v>476</v>
      </c>
      <c r="N77" s="744">
        <v>3</v>
      </c>
      <c r="O77" s="539"/>
      <c r="P77" s="550" t="str">
        <f t="shared" si="8"/>
        <v>INCLUDED</v>
      </c>
      <c r="Q77" s="509">
        <f t="shared" si="9"/>
        <v>0</v>
      </c>
      <c r="R77" s="447">
        <f t="shared" si="10"/>
        <v>0</v>
      </c>
      <c r="S77" s="630">
        <f>Discount!$J$36</f>
        <v>0</v>
      </c>
      <c r="T77" s="447">
        <f t="shared" si="11"/>
        <v>0</v>
      </c>
      <c r="U77" s="448">
        <f t="shared" si="12"/>
        <v>0</v>
      </c>
      <c r="V77" s="740">
        <f t="shared" si="13"/>
        <v>0</v>
      </c>
      <c r="W77" s="259"/>
      <c r="X77" s="259"/>
      <c r="Y77" s="259"/>
      <c r="Z77" s="259"/>
      <c r="AA77" s="259"/>
    </row>
    <row r="78" spans="1:27" ht="46.8">
      <c r="A78" s="734">
        <v>61</v>
      </c>
      <c r="B78" s="538">
        <v>7000016865</v>
      </c>
      <c r="C78" s="538">
        <v>690</v>
      </c>
      <c r="D78" s="553">
        <v>130</v>
      </c>
      <c r="E78" s="553">
        <v>340</v>
      </c>
      <c r="F78" s="553" t="s">
        <v>641</v>
      </c>
      <c r="G78" s="553">
        <v>100018175</v>
      </c>
      <c r="H78" s="553">
        <v>995455</v>
      </c>
      <c r="I78" s="554"/>
      <c r="J78" s="553">
        <v>18</v>
      </c>
      <c r="K78" s="552"/>
      <c r="L78" s="551" t="s">
        <v>703</v>
      </c>
      <c r="M78" s="744" t="s">
        <v>476</v>
      </c>
      <c r="N78" s="744">
        <v>2</v>
      </c>
      <c r="O78" s="539"/>
      <c r="P78" s="550" t="str">
        <f t="shared" si="8"/>
        <v>INCLUDED</v>
      </c>
      <c r="Q78" s="509">
        <f t="shared" si="9"/>
        <v>0</v>
      </c>
      <c r="R78" s="447">
        <f t="shared" si="10"/>
        <v>0</v>
      </c>
      <c r="S78" s="630">
        <f>Discount!$J$36</f>
        <v>0</v>
      </c>
      <c r="T78" s="447">
        <f t="shared" si="11"/>
        <v>0</v>
      </c>
      <c r="U78" s="448">
        <f t="shared" si="12"/>
        <v>0</v>
      </c>
      <c r="V78" s="740">
        <f t="shared" si="13"/>
        <v>0</v>
      </c>
      <c r="W78" s="259"/>
      <c r="X78" s="259"/>
      <c r="Y78" s="259"/>
      <c r="Z78" s="259"/>
      <c r="AA78" s="259"/>
    </row>
    <row r="79" spans="1:27" ht="31.2">
      <c r="A79" s="734">
        <v>62</v>
      </c>
      <c r="B79" s="538">
        <v>7000016865</v>
      </c>
      <c r="C79" s="538">
        <v>700</v>
      </c>
      <c r="D79" s="553">
        <v>140</v>
      </c>
      <c r="E79" s="553">
        <v>10</v>
      </c>
      <c r="F79" s="553" t="s">
        <v>642</v>
      </c>
      <c r="G79" s="553">
        <v>100001274</v>
      </c>
      <c r="H79" s="553">
        <v>995444</v>
      </c>
      <c r="I79" s="554"/>
      <c r="J79" s="553">
        <v>18</v>
      </c>
      <c r="K79" s="552"/>
      <c r="L79" s="551" t="s">
        <v>502</v>
      </c>
      <c r="M79" s="744" t="s">
        <v>476</v>
      </c>
      <c r="N79" s="744">
        <v>112</v>
      </c>
      <c r="O79" s="539"/>
      <c r="P79" s="550" t="str">
        <f t="shared" si="8"/>
        <v>INCLUDED</v>
      </c>
      <c r="Q79" s="509">
        <f t="shared" si="9"/>
        <v>0</v>
      </c>
      <c r="R79" s="447">
        <f t="shared" si="10"/>
        <v>0</v>
      </c>
      <c r="S79" s="630">
        <f>Discount!$J$36</f>
        <v>0</v>
      </c>
      <c r="T79" s="447">
        <f t="shared" si="11"/>
        <v>0</v>
      </c>
      <c r="U79" s="448">
        <f t="shared" si="12"/>
        <v>0</v>
      </c>
      <c r="V79" s="740">
        <f t="shared" si="13"/>
        <v>0</v>
      </c>
      <c r="W79" s="259"/>
      <c r="X79" s="259"/>
      <c r="Y79" s="259"/>
      <c r="Z79" s="259"/>
      <c r="AA79" s="259"/>
    </row>
    <row r="80" spans="1:27" ht="31.2">
      <c r="A80" s="734">
        <v>63</v>
      </c>
      <c r="B80" s="538">
        <v>7000016865</v>
      </c>
      <c r="C80" s="538">
        <v>700</v>
      </c>
      <c r="D80" s="553">
        <v>140</v>
      </c>
      <c r="E80" s="553">
        <v>20</v>
      </c>
      <c r="F80" s="553" t="s">
        <v>642</v>
      </c>
      <c r="G80" s="553">
        <v>100001275</v>
      </c>
      <c r="H80" s="553">
        <v>995444</v>
      </c>
      <c r="I80" s="554"/>
      <c r="J80" s="553">
        <v>18</v>
      </c>
      <c r="K80" s="552"/>
      <c r="L80" s="551" t="s">
        <v>503</v>
      </c>
      <c r="M80" s="744" t="s">
        <v>476</v>
      </c>
      <c r="N80" s="744">
        <v>112</v>
      </c>
      <c r="O80" s="539"/>
      <c r="P80" s="550" t="str">
        <f t="shared" si="8"/>
        <v>INCLUDED</v>
      </c>
      <c r="Q80" s="509">
        <f t="shared" si="9"/>
        <v>0</v>
      </c>
      <c r="R80" s="447">
        <f t="shared" si="10"/>
        <v>0</v>
      </c>
      <c r="S80" s="630">
        <f>Discount!$J$36</f>
        <v>0</v>
      </c>
      <c r="T80" s="447">
        <f t="shared" si="11"/>
        <v>0</v>
      </c>
      <c r="U80" s="448">
        <f t="shared" si="12"/>
        <v>0</v>
      </c>
      <c r="V80" s="740">
        <f t="shared" si="13"/>
        <v>0</v>
      </c>
      <c r="W80" s="259"/>
      <c r="X80" s="259"/>
      <c r="Y80" s="259"/>
      <c r="Z80" s="259"/>
      <c r="AA80" s="259"/>
    </row>
    <row r="81" spans="1:27" ht="31.2">
      <c r="A81" s="734">
        <v>64</v>
      </c>
      <c r="B81" s="538">
        <v>7000016865</v>
      </c>
      <c r="C81" s="538">
        <v>700</v>
      </c>
      <c r="D81" s="553">
        <v>140</v>
      </c>
      <c r="E81" s="553">
        <v>30</v>
      </c>
      <c r="F81" s="553" t="s">
        <v>642</v>
      </c>
      <c r="G81" s="553">
        <v>100001276</v>
      </c>
      <c r="H81" s="553">
        <v>995444</v>
      </c>
      <c r="I81" s="554"/>
      <c r="J81" s="553">
        <v>18</v>
      </c>
      <c r="K81" s="552"/>
      <c r="L81" s="551" t="s">
        <v>504</v>
      </c>
      <c r="M81" s="744" t="s">
        <v>481</v>
      </c>
      <c r="N81" s="744">
        <v>448</v>
      </c>
      <c r="O81" s="539"/>
      <c r="P81" s="550" t="str">
        <f t="shared" si="8"/>
        <v>INCLUDED</v>
      </c>
      <c r="Q81" s="509">
        <f t="shared" si="9"/>
        <v>0</v>
      </c>
      <c r="R81" s="447">
        <f t="shared" si="10"/>
        <v>0</v>
      </c>
      <c r="S81" s="630">
        <f>Discount!$J$36</f>
        <v>0</v>
      </c>
      <c r="T81" s="447">
        <f t="shared" si="11"/>
        <v>0</v>
      </c>
      <c r="U81" s="448">
        <f t="shared" si="12"/>
        <v>0</v>
      </c>
      <c r="V81" s="740">
        <f t="shared" si="13"/>
        <v>0</v>
      </c>
      <c r="W81" s="259"/>
      <c r="X81" s="259"/>
      <c r="Y81" s="259"/>
      <c r="Z81" s="259"/>
      <c r="AA81" s="259"/>
    </row>
    <row r="82" spans="1:27" ht="31.2">
      <c r="A82" s="734">
        <v>65</v>
      </c>
      <c r="B82" s="538">
        <v>7000016865</v>
      </c>
      <c r="C82" s="538">
        <v>700</v>
      </c>
      <c r="D82" s="553">
        <v>140</v>
      </c>
      <c r="E82" s="553">
        <v>40</v>
      </c>
      <c r="F82" s="553" t="s">
        <v>642</v>
      </c>
      <c r="G82" s="553">
        <v>100001278</v>
      </c>
      <c r="H82" s="553">
        <v>995444</v>
      </c>
      <c r="I82" s="554"/>
      <c r="J82" s="553">
        <v>18</v>
      </c>
      <c r="K82" s="552"/>
      <c r="L82" s="551" t="s">
        <v>505</v>
      </c>
      <c r="M82" s="744" t="s">
        <v>481</v>
      </c>
      <c r="N82" s="744">
        <v>224</v>
      </c>
      <c r="O82" s="539"/>
      <c r="P82" s="550" t="str">
        <f t="shared" si="8"/>
        <v>INCLUDED</v>
      </c>
      <c r="Q82" s="509">
        <f t="shared" si="9"/>
        <v>0</v>
      </c>
      <c r="R82" s="447">
        <f t="shared" si="10"/>
        <v>0</v>
      </c>
      <c r="S82" s="630">
        <f>Discount!$J$36</f>
        <v>0</v>
      </c>
      <c r="T82" s="447">
        <f t="shared" si="11"/>
        <v>0</v>
      </c>
      <c r="U82" s="448">
        <f t="shared" si="12"/>
        <v>0</v>
      </c>
      <c r="V82" s="740">
        <f t="shared" si="13"/>
        <v>0</v>
      </c>
      <c r="W82" s="259"/>
      <c r="X82" s="259"/>
      <c r="Y82" s="259"/>
      <c r="Z82" s="259"/>
      <c r="AA82" s="259"/>
    </row>
    <row r="83" spans="1:27" ht="31.2">
      <c r="A83" s="734">
        <v>66</v>
      </c>
      <c r="B83" s="538">
        <v>7000016865</v>
      </c>
      <c r="C83" s="538">
        <v>700</v>
      </c>
      <c r="D83" s="553">
        <v>140</v>
      </c>
      <c r="E83" s="553">
        <v>50</v>
      </c>
      <c r="F83" s="553" t="s">
        <v>642</v>
      </c>
      <c r="G83" s="553">
        <v>100001277</v>
      </c>
      <c r="H83" s="553">
        <v>995444</v>
      </c>
      <c r="I83" s="554"/>
      <c r="J83" s="553">
        <v>18</v>
      </c>
      <c r="K83" s="552"/>
      <c r="L83" s="551" t="s">
        <v>506</v>
      </c>
      <c r="M83" s="744" t="s">
        <v>476</v>
      </c>
      <c r="N83" s="744">
        <v>112</v>
      </c>
      <c r="O83" s="539"/>
      <c r="P83" s="550" t="str">
        <f t="shared" si="8"/>
        <v>INCLUDED</v>
      </c>
      <c r="Q83" s="509">
        <f t="shared" si="9"/>
        <v>0</v>
      </c>
      <c r="R83" s="447">
        <f t="shared" si="10"/>
        <v>0</v>
      </c>
      <c r="S83" s="630">
        <f>Discount!$J$36</f>
        <v>0</v>
      </c>
      <c r="T83" s="447">
        <f t="shared" si="11"/>
        <v>0</v>
      </c>
      <c r="U83" s="448">
        <f t="shared" si="12"/>
        <v>0</v>
      </c>
      <c r="V83" s="740">
        <f t="shared" si="13"/>
        <v>0</v>
      </c>
      <c r="W83" s="259"/>
      <c r="X83" s="259"/>
      <c r="Y83" s="259"/>
      <c r="Z83" s="259"/>
      <c r="AA83" s="259"/>
    </row>
    <row r="84" spans="1:27" ht="31.2">
      <c r="A84" s="734">
        <v>67</v>
      </c>
      <c r="B84" s="538">
        <v>7000016865</v>
      </c>
      <c r="C84" s="538">
        <v>700</v>
      </c>
      <c r="D84" s="553">
        <v>140</v>
      </c>
      <c r="E84" s="553">
        <v>60</v>
      </c>
      <c r="F84" s="553" t="s">
        <v>642</v>
      </c>
      <c r="G84" s="553">
        <v>100001279</v>
      </c>
      <c r="H84" s="553">
        <v>995444</v>
      </c>
      <c r="I84" s="554"/>
      <c r="J84" s="553">
        <v>18</v>
      </c>
      <c r="K84" s="552"/>
      <c r="L84" s="551" t="s">
        <v>704</v>
      </c>
      <c r="M84" s="744" t="s">
        <v>481</v>
      </c>
      <c r="N84" s="744">
        <v>368</v>
      </c>
      <c r="O84" s="539"/>
      <c r="P84" s="550" t="str">
        <f t="shared" si="8"/>
        <v>INCLUDED</v>
      </c>
      <c r="Q84" s="509">
        <f t="shared" si="9"/>
        <v>0</v>
      </c>
      <c r="R84" s="447">
        <f t="shared" si="10"/>
        <v>0</v>
      </c>
      <c r="S84" s="630">
        <f>Discount!$J$36</f>
        <v>0</v>
      </c>
      <c r="T84" s="447">
        <f t="shared" si="11"/>
        <v>0</v>
      </c>
      <c r="U84" s="448">
        <f t="shared" si="12"/>
        <v>0</v>
      </c>
      <c r="V84" s="740">
        <f t="shared" si="13"/>
        <v>0</v>
      </c>
      <c r="W84" s="259"/>
      <c r="X84" s="259"/>
      <c r="Y84" s="259"/>
      <c r="Z84" s="259"/>
      <c r="AA84" s="259"/>
    </row>
    <row r="85" spans="1:27" ht="31.2">
      <c r="A85" s="734">
        <v>68</v>
      </c>
      <c r="B85" s="538">
        <v>7000016865</v>
      </c>
      <c r="C85" s="538">
        <v>700</v>
      </c>
      <c r="D85" s="553">
        <v>140</v>
      </c>
      <c r="E85" s="553">
        <v>70</v>
      </c>
      <c r="F85" s="553" t="s">
        <v>642</v>
      </c>
      <c r="G85" s="553">
        <v>100007310</v>
      </c>
      <c r="H85" s="553">
        <v>995468</v>
      </c>
      <c r="I85" s="554"/>
      <c r="J85" s="553">
        <v>18</v>
      </c>
      <c r="K85" s="552"/>
      <c r="L85" s="551" t="s">
        <v>705</v>
      </c>
      <c r="M85" s="744" t="s">
        <v>476</v>
      </c>
      <c r="N85" s="744">
        <v>315</v>
      </c>
      <c r="O85" s="539"/>
      <c r="P85" s="550" t="str">
        <f t="shared" si="8"/>
        <v>INCLUDED</v>
      </c>
      <c r="Q85" s="509">
        <f t="shared" si="9"/>
        <v>0</v>
      </c>
      <c r="R85" s="447">
        <f t="shared" si="10"/>
        <v>0</v>
      </c>
      <c r="S85" s="630">
        <f>Discount!$J$36</f>
        <v>0</v>
      </c>
      <c r="T85" s="447">
        <f t="shared" si="11"/>
        <v>0</v>
      </c>
      <c r="U85" s="448">
        <f t="shared" si="12"/>
        <v>0</v>
      </c>
      <c r="V85" s="740">
        <f t="shared" si="13"/>
        <v>0</v>
      </c>
      <c r="W85" s="259"/>
      <c r="X85" s="259"/>
      <c r="Y85" s="259"/>
      <c r="Z85" s="259"/>
      <c r="AA85" s="259"/>
    </row>
    <row r="86" spans="1:27" ht="31.2">
      <c r="A86" s="734">
        <v>69</v>
      </c>
      <c r="B86" s="538">
        <v>7000016865</v>
      </c>
      <c r="C86" s="538">
        <v>710</v>
      </c>
      <c r="D86" s="553">
        <v>150</v>
      </c>
      <c r="E86" s="553">
        <v>10</v>
      </c>
      <c r="F86" s="553" t="s">
        <v>643</v>
      </c>
      <c r="G86" s="553">
        <v>100001269</v>
      </c>
      <c r="H86" s="553">
        <v>995468</v>
      </c>
      <c r="I86" s="554"/>
      <c r="J86" s="553">
        <v>18</v>
      </c>
      <c r="K86" s="552"/>
      <c r="L86" s="551" t="s">
        <v>499</v>
      </c>
      <c r="M86" s="744" t="s">
        <v>476</v>
      </c>
      <c r="N86" s="744">
        <v>106</v>
      </c>
      <c r="O86" s="539"/>
      <c r="P86" s="550" t="str">
        <f t="shared" si="8"/>
        <v>INCLUDED</v>
      </c>
      <c r="Q86" s="509">
        <f t="shared" si="9"/>
        <v>0</v>
      </c>
      <c r="R86" s="447">
        <f t="shared" si="10"/>
        <v>0</v>
      </c>
      <c r="S86" s="630">
        <f>Discount!$J$36</f>
        <v>0</v>
      </c>
      <c r="T86" s="447">
        <f t="shared" si="11"/>
        <v>0</v>
      </c>
      <c r="U86" s="448">
        <f t="shared" si="12"/>
        <v>0</v>
      </c>
      <c r="V86" s="740">
        <f t="shared" si="13"/>
        <v>0</v>
      </c>
      <c r="W86" s="259"/>
      <c r="X86" s="259"/>
      <c r="Y86" s="259"/>
      <c r="Z86" s="259"/>
      <c r="AA86" s="259"/>
    </row>
    <row r="87" spans="1:27" ht="31.2">
      <c r="A87" s="734">
        <v>70</v>
      </c>
      <c r="B87" s="538">
        <v>7000016865</v>
      </c>
      <c r="C87" s="538">
        <v>710</v>
      </c>
      <c r="D87" s="553">
        <v>150</v>
      </c>
      <c r="E87" s="553">
        <v>20</v>
      </c>
      <c r="F87" s="553" t="s">
        <v>643</v>
      </c>
      <c r="G87" s="553">
        <v>100004928</v>
      </c>
      <c r="H87" s="553">
        <v>998731</v>
      </c>
      <c r="I87" s="554"/>
      <c r="J87" s="553">
        <v>18</v>
      </c>
      <c r="K87" s="552"/>
      <c r="L87" s="551" t="s">
        <v>478</v>
      </c>
      <c r="M87" s="744" t="s">
        <v>476</v>
      </c>
      <c r="N87" s="744">
        <v>108</v>
      </c>
      <c r="O87" s="539"/>
      <c r="P87" s="550" t="str">
        <f t="shared" si="8"/>
        <v>INCLUDED</v>
      </c>
      <c r="Q87" s="509">
        <f t="shared" si="9"/>
        <v>0</v>
      </c>
      <c r="R87" s="447">
        <f t="shared" si="10"/>
        <v>0</v>
      </c>
      <c r="S87" s="630">
        <f>Discount!$J$36</f>
        <v>0</v>
      </c>
      <c r="T87" s="447">
        <f t="shared" si="11"/>
        <v>0</v>
      </c>
      <c r="U87" s="448">
        <f t="shared" si="12"/>
        <v>0</v>
      </c>
      <c r="V87" s="740">
        <f t="shared" si="13"/>
        <v>0</v>
      </c>
      <c r="W87" s="259"/>
      <c r="X87" s="259"/>
      <c r="Y87" s="259"/>
      <c r="Z87" s="259"/>
      <c r="AA87" s="259"/>
    </row>
    <row r="88" spans="1:27" ht="31.2">
      <c r="A88" s="734">
        <v>71</v>
      </c>
      <c r="B88" s="538">
        <v>7000016865</v>
      </c>
      <c r="C88" s="538">
        <v>710</v>
      </c>
      <c r="D88" s="553">
        <v>150</v>
      </c>
      <c r="E88" s="553">
        <v>30</v>
      </c>
      <c r="F88" s="553" t="s">
        <v>643</v>
      </c>
      <c r="G88" s="553">
        <v>100001270</v>
      </c>
      <c r="H88" s="553">
        <v>995468</v>
      </c>
      <c r="I88" s="554"/>
      <c r="J88" s="553">
        <v>18</v>
      </c>
      <c r="K88" s="552"/>
      <c r="L88" s="551" t="s">
        <v>500</v>
      </c>
      <c r="M88" s="744" t="s">
        <v>476</v>
      </c>
      <c r="N88" s="744">
        <v>2</v>
      </c>
      <c r="O88" s="539"/>
      <c r="P88" s="550" t="str">
        <f t="shared" si="8"/>
        <v>INCLUDED</v>
      </c>
      <c r="Q88" s="509">
        <f t="shared" si="9"/>
        <v>0</v>
      </c>
      <c r="R88" s="447">
        <f t="shared" si="10"/>
        <v>0</v>
      </c>
      <c r="S88" s="630">
        <f>Discount!$J$36</f>
        <v>0</v>
      </c>
      <c r="T88" s="447">
        <f t="shared" si="11"/>
        <v>0</v>
      </c>
      <c r="U88" s="448">
        <f t="shared" si="12"/>
        <v>0</v>
      </c>
      <c r="V88" s="740">
        <f t="shared" si="13"/>
        <v>0</v>
      </c>
      <c r="W88" s="259"/>
      <c r="X88" s="259"/>
      <c r="Y88" s="259"/>
      <c r="Z88" s="259"/>
      <c r="AA88" s="259"/>
    </row>
    <row r="89" spans="1:27" ht="46.8">
      <c r="A89" s="734">
        <v>72</v>
      </c>
      <c r="B89" s="538">
        <v>7000016865</v>
      </c>
      <c r="C89" s="538">
        <v>710</v>
      </c>
      <c r="D89" s="553">
        <v>150</v>
      </c>
      <c r="E89" s="553">
        <v>40</v>
      </c>
      <c r="F89" s="553" t="s">
        <v>643</v>
      </c>
      <c r="G89" s="553">
        <v>100002202</v>
      </c>
      <c r="H89" s="553">
        <v>995468</v>
      </c>
      <c r="I89" s="554"/>
      <c r="J89" s="553">
        <v>18</v>
      </c>
      <c r="K89" s="552"/>
      <c r="L89" s="551" t="s">
        <v>501</v>
      </c>
      <c r="M89" s="744" t="s">
        <v>476</v>
      </c>
      <c r="N89" s="744">
        <v>6</v>
      </c>
      <c r="O89" s="539"/>
      <c r="P89" s="550" t="str">
        <f t="shared" si="8"/>
        <v>INCLUDED</v>
      </c>
      <c r="Q89" s="509">
        <f t="shared" si="9"/>
        <v>0</v>
      </c>
      <c r="R89" s="447">
        <f t="shared" si="10"/>
        <v>0</v>
      </c>
      <c r="S89" s="630">
        <f>Discount!$J$36</f>
        <v>0</v>
      </c>
      <c r="T89" s="447">
        <f t="shared" si="11"/>
        <v>0</v>
      </c>
      <c r="U89" s="448">
        <f t="shared" si="12"/>
        <v>0</v>
      </c>
      <c r="V89" s="740">
        <f t="shared" si="13"/>
        <v>0</v>
      </c>
      <c r="W89" s="259"/>
      <c r="X89" s="259"/>
      <c r="Y89" s="259"/>
      <c r="Z89" s="259"/>
      <c r="AA89" s="259"/>
    </row>
    <row r="90" spans="1:27" ht="46.8">
      <c r="A90" s="734">
        <v>73</v>
      </c>
      <c r="B90" s="538">
        <v>7000016865</v>
      </c>
      <c r="C90" s="538">
        <v>710</v>
      </c>
      <c r="D90" s="553">
        <v>150</v>
      </c>
      <c r="E90" s="553">
        <v>50</v>
      </c>
      <c r="F90" s="553" t="s">
        <v>643</v>
      </c>
      <c r="G90" s="553">
        <v>100018257</v>
      </c>
      <c r="H90" s="553">
        <v>995455</v>
      </c>
      <c r="I90" s="554"/>
      <c r="J90" s="553">
        <v>18</v>
      </c>
      <c r="K90" s="552"/>
      <c r="L90" s="551" t="s">
        <v>706</v>
      </c>
      <c r="M90" s="744" t="s">
        <v>476</v>
      </c>
      <c r="N90" s="744">
        <v>1</v>
      </c>
      <c r="O90" s="539"/>
      <c r="P90" s="550" t="str">
        <f t="shared" si="8"/>
        <v>INCLUDED</v>
      </c>
      <c r="Q90" s="509">
        <f t="shared" si="9"/>
        <v>0</v>
      </c>
      <c r="R90" s="447">
        <f t="shared" si="10"/>
        <v>0</v>
      </c>
      <c r="S90" s="630">
        <f>Discount!$J$36</f>
        <v>0</v>
      </c>
      <c r="T90" s="447">
        <f t="shared" si="11"/>
        <v>0</v>
      </c>
      <c r="U90" s="448">
        <f t="shared" si="12"/>
        <v>0</v>
      </c>
      <c r="V90" s="740">
        <f t="shared" si="13"/>
        <v>0</v>
      </c>
      <c r="W90" s="259"/>
      <c r="X90" s="259"/>
      <c r="Y90" s="259"/>
      <c r="Z90" s="259"/>
      <c r="AA90" s="259"/>
    </row>
    <row r="91" spans="1:27" ht="31.2">
      <c r="A91" s="734">
        <v>74</v>
      </c>
      <c r="B91" s="538">
        <v>7000016865</v>
      </c>
      <c r="C91" s="538">
        <v>710</v>
      </c>
      <c r="D91" s="553">
        <v>150</v>
      </c>
      <c r="E91" s="553">
        <v>60</v>
      </c>
      <c r="F91" s="553" t="s">
        <v>643</v>
      </c>
      <c r="G91" s="553">
        <v>170002471</v>
      </c>
      <c r="H91" s="553">
        <v>995468</v>
      </c>
      <c r="I91" s="554"/>
      <c r="J91" s="553">
        <v>18</v>
      </c>
      <c r="K91" s="552"/>
      <c r="L91" s="551" t="s">
        <v>707</v>
      </c>
      <c r="M91" s="744" t="s">
        <v>476</v>
      </c>
      <c r="N91" s="744">
        <v>2</v>
      </c>
      <c r="O91" s="539"/>
      <c r="P91" s="550" t="str">
        <f t="shared" si="8"/>
        <v>INCLUDED</v>
      </c>
      <c r="Q91" s="509">
        <f t="shared" si="9"/>
        <v>0</v>
      </c>
      <c r="R91" s="447">
        <f t="shared" si="10"/>
        <v>0</v>
      </c>
      <c r="S91" s="630">
        <f>Discount!$J$36</f>
        <v>0</v>
      </c>
      <c r="T91" s="447">
        <f t="shared" si="11"/>
        <v>0</v>
      </c>
      <c r="U91" s="448">
        <f t="shared" si="12"/>
        <v>0</v>
      </c>
      <c r="V91" s="740">
        <f t="shared" si="13"/>
        <v>0</v>
      </c>
      <c r="W91" s="259"/>
      <c r="X91" s="259"/>
      <c r="Y91" s="259"/>
      <c r="Z91" s="259"/>
      <c r="AA91" s="259"/>
    </row>
    <row r="92" spans="1:27" ht="31.2">
      <c r="A92" s="734">
        <v>75</v>
      </c>
      <c r="B92" s="538">
        <v>7000016865</v>
      </c>
      <c r="C92" s="538">
        <v>710</v>
      </c>
      <c r="D92" s="553">
        <v>150</v>
      </c>
      <c r="E92" s="553">
        <v>70</v>
      </c>
      <c r="F92" s="553" t="s">
        <v>643</v>
      </c>
      <c r="G92" s="553">
        <v>100008105</v>
      </c>
      <c r="H92" s="553">
        <v>995468</v>
      </c>
      <c r="I92" s="554"/>
      <c r="J92" s="553">
        <v>18</v>
      </c>
      <c r="K92" s="552"/>
      <c r="L92" s="551" t="s">
        <v>708</v>
      </c>
      <c r="M92" s="744" t="s">
        <v>476</v>
      </c>
      <c r="N92" s="744">
        <v>1</v>
      </c>
      <c r="O92" s="539"/>
      <c r="P92" s="550" t="str">
        <f t="shared" si="8"/>
        <v>INCLUDED</v>
      </c>
      <c r="Q92" s="509">
        <f t="shared" si="9"/>
        <v>0</v>
      </c>
      <c r="R92" s="447">
        <f>IF( K92="",J92*(IF(P92="Included",0,P92))/100,K92*(IF(P92="Included",0,P92)))</f>
        <v>0</v>
      </c>
      <c r="S92" s="630">
        <f>Discount!$J$36</f>
        <v>0</v>
      </c>
      <c r="T92" s="447">
        <f>S92*Q92</f>
        <v>0</v>
      </c>
      <c r="U92" s="448">
        <f t="shared" si="12"/>
        <v>0</v>
      </c>
      <c r="V92" s="740">
        <f t="shared" si="13"/>
        <v>0</v>
      </c>
      <c r="W92" s="259"/>
      <c r="X92" s="259"/>
      <c r="Y92" s="259"/>
      <c r="Z92" s="259"/>
      <c r="AA92" s="259"/>
    </row>
    <row r="93" spans="1:27" ht="31.2">
      <c r="A93" s="734">
        <v>76</v>
      </c>
      <c r="B93" s="538">
        <v>7000016865</v>
      </c>
      <c r="C93" s="538">
        <v>710</v>
      </c>
      <c r="D93" s="553">
        <v>150</v>
      </c>
      <c r="E93" s="553">
        <v>80</v>
      </c>
      <c r="F93" s="553" t="s">
        <v>643</v>
      </c>
      <c r="G93" s="553">
        <v>100004317</v>
      </c>
      <c r="H93" s="553">
        <v>995468</v>
      </c>
      <c r="I93" s="554"/>
      <c r="J93" s="553">
        <v>18</v>
      </c>
      <c r="K93" s="552"/>
      <c r="L93" s="551" t="s">
        <v>583</v>
      </c>
      <c r="M93" s="744" t="s">
        <v>514</v>
      </c>
      <c r="N93" s="744">
        <v>0.5</v>
      </c>
      <c r="O93" s="720"/>
      <c r="P93" s="550" t="str">
        <f t="shared" si="8"/>
        <v>INCLUDED</v>
      </c>
      <c r="Q93" s="509">
        <f t="shared" si="9"/>
        <v>0</v>
      </c>
      <c r="R93" s="447">
        <f t="shared" ref="R93:R146" si="14">IF( K93="",J93*(IF(P93="Included",0,P93))/100,K93*(IF(P93="Included",0,P93)))</f>
        <v>0</v>
      </c>
      <c r="S93" s="630">
        <f>Discount!$J$36</f>
        <v>0</v>
      </c>
      <c r="T93" s="447">
        <f t="shared" ref="T93:T146" si="15">S93*Q93</f>
        <v>0</v>
      </c>
      <c r="U93" s="448">
        <f t="shared" si="12"/>
        <v>0</v>
      </c>
      <c r="V93" s="740">
        <f t="shared" si="13"/>
        <v>0</v>
      </c>
      <c r="W93" s="259"/>
      <c r="X93" s="259"/>
      <c r="Y93" s="259"/>
      <c r="Z93" s="259"/>
      <c r="AA93" s="259"/>
    </row>
    <row r="94" spans="1:27" ht="31.2">
      <c r="A94" s="734">
        <v>77</v>
      </c>
      <c r="B94" s="538">
        <v>7000016865</v>
      </c>
      <c r="C94" s="538">
        <v>720</v>
      </c>
      <c r="D94" s="553">
        <v>160</v>
      </c>
      <c r="E94" s="553">
        <v>10</v>
      </c>
      <c r="F94" s="553" t="s">
        <v>644</v>
      </c>
      <c r="G94" s="553">
        <v>100001264</v>
      </c>
      <c r="H94" s="553">
        <v>995456</v>
      </c>
      <c r="I94" s="554"/>
      <c r="J94" s="553">
        <v>18</v>
      </c>
      <c r="K94" s="552"/>
      <c r="L94" s="551" t="s">
        <v>507</v>
      </c>
      <c r="M94" s="744" t="s">
        <v>498</v>
      </c>
      <c r="N94" s="744">
        <v>200</v>
      </c>
      <c r="O94" s="720"/>
      <c r="P94" s="550" t="str">
        <f t="shared" si="8"/>
        <v>INCLUDED</v>
      </c>
      <c r="Q94" s="509">
        <f t="shared" si="9"/>
        <v>0</v>
      </c>
      <c r="R94" s="447">
        <f t="shared" si="14"/>
        <v>0</v>
      </c>
      <c r="S94" s="630">
        <f>Discount!$J$36</f>
        <v>0</v>
      </c>
      <c r="T94" s="447">
        <f t="shared" si="15"/>
        <v>0</v>
      </c>
      <c r="U94" s="448">
        <f t="shared" si="12"/>
        <v>0</v>
      </c>
      <c r="V94" s="740">
        <f t="shared" si="13"/>
        <v>0</v>
      </c>
      <c r="W94" s="259"/>
      <c r="X94" s="259"/>
      <c r="Y94" s="259"/>
      <c r="Z94" s="259"/>
      <c r="AA94" s="259"/>
    </row>
    <row r="95" spans="1:27" ht="31.2">
      <c r="A95" s="734">
        <v>78</v>
      </c>
      <c r="B95" s="538">
        <v>7000016865</v>
      </c>
      <c r="C95" s="538">
        <v>720</v>
      </c>
      <c r="D95" s="553">
        <v>160</v>
      </c>
      <c r="E95" s="553">
        <v>20</v>
      </c>
      <c r="F95" s="553" t="s">
        <v>644</v>
      </c>
      <c r="G95" s="553">
        <v>100001267</v>
      </c>
      <c r="H95" s="553">
        <v>995456</v>
      </c>
      <c r="I95" s="554"/>
      <c r="J95" s="553">
        <v>18</v>
      </c>
      <c r="K95" s="552"/>
      <c r="L95" s="551" t="s">
        <v>508</v>
      </c>
      <c r="M95" s="744" t="s">
        <v>498</v>
      </c>
      <c r="N95" s="744">
        <v>20</v>
      </c>
      <c r="O95" s="720"/>
      <c r="P95" s="550" t="str">
        <f t="shared" si="8"/>
        <v>INCLUDED</v>
      </c>
      <c r="Q95" s="509">
        <f t="shared" si="9"/>
        <v>0</v>
      </c>
      <c r="R95" s="447">
        <f t="shared" si="14"/>
        <v>0</v>
      </c>
      <c r="S95" s="630">
        <f>Discount!$J$36</f>
        <v>0</v>
      </c>
      <c r="T95" s="447">
        <f t="shared" si="15"/>
        <v>0</v>
      </c>
      <c r="U95" s="448">
        <f t="shared" si="12"/>
        <v>0</v>
      </c>
      <c r="V95" s="740">
        <f t="shared" si="13"/>
        <v>0</v>
      </c>
      <c r="W95" s="259"/>
      <c r="X95" s="259"/>
      <c r="Y95" s="259"/>
      <c r="Z95" s="259"/>
      <c r="AA95" s="259"/>
    </row>
    <row r="96" spans="1:27" ht="31.2">
      <c r="A96" s="734">
        <v>79</v>
      </c>
      <c r="B96" s="538">
        <v>7000016865</v>
      </c>
      <c r="C96" s="538">
        <v>720</v>
      </c>
      <c r="D96" s="553">
        <v>160</v>
      </c>
      <c r="E96" s="553">
        <v>30</v>
      </c>
      <c r="F96" s="553" t="s">
        <v>644</v>
      </c>
      <c r="G96" s="553">
        <v>100001268</v>
      </c>
      <c r="H96" s="553">
        <v>995456</v>
      </c>
      <c r="I96" s="554"/>
      <c r="J96" s="553">
        <v>18</v>
      </c>
      <c r="K96" s="552"/>
      <c r="L96" s="551" t="s">
        <v>509</v>
      </c>
      <c r="M96" s="744" t="s">
        <v>498</v>
      </c>
      <c r="N96" s="744">
        <v>80</v>
      </c>
      <c r="O96" s="720"/>
      <c r="P96" s="550" t="str">
        <f t="shared" si="8"/>
        <v>INCLUDED</v>
      </c>
      <c r="Q96" s="509">
        <f t="shared" si="9"/>
        <v>0</v>
      </c>
      <c r="R96" s="447">
        <f t="shared" si="14"/>
        <v>0</v>
      </c>
      <c r="S96" s="630">
        <f>Discount!$J$36</f>
        <v>0</v>
      </c>
      <c r="T96" s="447">
        <f t="shared" si="15"/>
        <v>0</v>
      </c>
      <c r="U96" s="448">
        <f t="shared" si="12"/>
        <v>0</v>
      </c>
      <c r="V96" s="740">
        <f t="shared" si="13"/>
        <v>0</v>
      </c>
      <c r="W96" s="259"/>
      <c r="X96" s="259"/>
      <c r="Y96" s="259"/>
      <c r="Z96" s="259"/>
      <c r="AA96" s="259"/>
    </row>
    <row r="97" spans="1:27" ht="31.2">
      <c r="A97" s="734">
        <v>80</v>
      </c>
      <c r="B97" s="538">
        <v>7000016865</v>
      </c>
      <c r="C97" s="538">
        <v>720</v>
      </c>
      <c r="D97" s="553">
        <v>160</v>
      </c>
      <c r="E97" s="553">
        <v>40</v>
      </c>
      <c r="F97" s="553" t="s">
        <v>644</v>
      </c>
      <c r="G97" s="553">
        <v>100002907</v>
      </c>
      <c r="H97" s="553">
        <v>995454</v>
      </c>
      <c r="I97" s="554"/>
      <c r="J97" s="553">
        <v>18</v>
      </c>
      <c r="K97" s="552"/>
      <c r="L97" s="551" t="s">
        <v>709</v>
      </c>
      <c r="M97" s="744" t="s">
        <v>498</v>
      </c>
      <c r="N97" s="744">
        <v>12</v>
      </c>
      <c r="O97" s="720"/>
      <c r="P97" s="550" t="str">
        <f t="shared" si="8"/>
        <v>INCLUDED</v>
      </c>
      <c r="Q97" s="509">
        <f t="shared" si="9"/>
        <v>0</v>
      </c>
      <c r="R97" s="447">
        <f t="shared" si="14"/>
        <v>0</v>
      </c>
      <c r="S97" s="630">
        <f>Discount!$J$36</f>
        <v>0</v>
      </c>
      <c r="T97" s="447">
        <f t="shared" si="15"/>
        <v>0</v>
      </c>
      <c r="U97" s="448">
        <f t="shared" si="12"/>
        <v>0</v>
      </c>
      <c r="V97" s="740">
        <f t="shared" si="13"/>
        <v>0</v>
      </c>
      <c r="W97" s="259"/>
      <c r="X97" s="259"/>
      <c r="Y97" s="259"/>
      <c r="Z97" s="259"/>
      <c r="AA97" s="259"/>
    </row>
    <row r="98" spans="1:27" ht="31.2">
      <c r="A98" s="734">
        <v>81</v>
      </c>
      <c r="B98" s="538">
        <v>7000016865</v>
      </c>
      <c r="C98" s="538">
        <v>720</v>
      </c>
      <c r="D98" s="553">
        <v>160</v>
      </c>
      <c r="E98" s="553">
        <v>50</v>
      </c>
      <c r="F98" s="553" t="s">
        <v>644</v>
      </c>
      <c r="G98" s="553">
        <v>100001265</v>
      </c>
      <c r="H98" s="553">
        <v>995456</v>
      </c>
      <c r="I98" s="554"/>
      <c r="J98" s="553">
        <v>18</v>
      </c>
      <c r="K98" s="552"/>
      <c r="L98" s="551" t="s">
        <v>510</v>
      </c>
      <c r="M98" s="744" t="s">
        <v>498</v>
      </c>
      <c r="N98" s="744">
        <v>280</v>
      </c>
      <c r="O98" s="720"/>
      <c r="P98" s="550" t="str">
        <f t="shared" si="8"/>
        <v>INCLUDED</v>
      </c>
      <c r="Q98" s="509">
        <f t="shared" si="9"/>
        <v>0</v>
      </c>
      <c r="R98" s="447">
        <f t="shared" si="14"/>
        <v>0</v>
      </c>
      <c r="S98" s="630">
        <f>Discount!$J$36</f>
        <v>0</v>
      </c>
      <c r="T98" s="447">
        <f t="shared" si="15"/>
        <v>0</v>
      </c>
      <c r="U98" s="448">
        <f t="shared" si="12"/>
        <v>0</v>
      </c>
      <c r="V98" s="740">
        <f t="shared" si="13"/>
        <v>0</v>
      </c>
      <c r="W98" s="259"/>
      <c r="X98" s="259"/>
      <c r="Y98" s="259"/>
      <c r="Z98" s="259"/>
      <c r="AA98" s="259"/>
    </row>
    <row r="99" spans="1:27" ht="31.2">
      <c r="A99" s="734">
        <v>82</v>
      </c>
      <c r="B99" s="538">
        <v>7000016865</v>
      </c>
      <c r="C99" s="538">
        <v>720</v>
      </c>
      <c r="D99" s="553">
        <v>160</v>
      </c>
      <c r="E99" s="553">
        <v>60</v>
      </c>
      <c r="F99" s="553" t="s">
        <v>644</v>
      </c>
      <c r="G99" s="553">
        <v>100004392</v>
      </c>
      <c r="H99" s="553">
        <v>995454</v>
      </c>
      <c r="I99" s="554"/>
      <c r="J99" s="553">
        <v>18</v>
      </c>
      <c r="K99" s="552"/>
      <c r="L99" s="551" t="s">
        <v>531</v>
      </c>
      <c r="M99" s="744" t="s">
        <v>498</v>
      </c>
      <c r="N99" s="744">
        <v>10</v>
      </c>
      <c r="O99" s="720"/>
      <c r="P99" s="550" t="str">
        <f t="shared" si="8"/>
        <v>INCLUDED</v>
      </c>
      <c r="Q99" s="509">
        <f t="shared" si="9"/>
        <v>0</v>
      </c>
      <c r="R99" s="447">
        <f t="shared" si="14"/>
        <v>0</v>
      </c>
      <c r="S99" s="630">
        <f>Discount!$J$36</f>
        <v>0</v>
      </c>
      <c r="T99" s="447">
        <f t="shared" si="15"/>
        <v>0</v>
      </c>
      <c r="U99" s="448">
        <f t="shared" si="12"/>
        <v>0</v>
      </c>
      <c r="V99" s="740">
        <f t="shared" si="13"/>
        <v>0</v>
      </c>
      <c r="W99" s="259"/>
      <c r="X99" s="259"/>
      <c r="Y99" s="259"/>
      <c r="Z99" s="259"/>
      <c r="AA99" s="259"/>
    </row>
    <row r="100" spans="1:27">
      <c r="A100" s="734">
        <v>83</v>
      </c>
      <c r="B100" s="538">
        <v>7000016865</v>
      </c>
      <c r="C100" s="538">
        <v>880</v>
      </c>
      <c r="D100" s="553">
        <v>170</v>
      </c>
      <c r="E100" s="553">
        <v>10</v>
      </c>
      <c r="F100" s="553" t="s">
        <v>645</v>
      </c>
      <c r="G100" s="553">
        <v>100001282</v>
      </c>
      <c r="H100" s="553">
        <v>995444</v>
      </c>
      <c r="I100" s="554"/>
      <c r="J100" s="553">
        <v>18</v>
      </c>
      <c r="K100" s="552"/>
      <c r="L100" s="551" t="s">
        <v>532</v>
      </c>
      <c r="M100" s="744" t="s">
        <v>476</v>
      </c>
      <c r="N100" s="744">
        <v>70</v>
      </c>
      <c r="O100" s="720"/>
      <c r="P100" s="550" t="str">
        <f t="shared" si="8"/>
        <v>INCLUDED</v>
      </c>
      <c r="Q100" s="509">
        <f t="shared" si="9"/>
        <v>0</v>
      </c>
      <c r="R100" s="447">
        <f t="shared" si="14"/>
        <v>0</v>
      </c>
      <c r="S100" s="630">
        <f>Discount!$J$36</f>
        <v>0</v>
      </c>
      <c r="T100" s="447">
        <f t="shared" si="15"/>
        <v>0</v>
      </c>
      <c r="U100" s="448">
        <f t="shared" si="12"/>
        <v>0</v>
      </c>
      <c r="V100" s="740">
        <f t="shared" si="13"/>
        <v>0</v>
      </c>
      <c r="W100" s="259"/>
      <c r="X100" s="259"/>
      <c r="Y100" s="259"/>
      <c r="Z100" s="259"/>
      <c r="AA100" s="259"/>
    </row>
    <row r="101" spans="1:27">
      <c r="A101" s="734">
        <v>84</v>
      </c>
      <c r="B101" s="538">
        <v>7000016865</v>
      </c>
      <c r="C101" s="538">
        <v>880</v>
      </c>
      <c r="D101" s="553">
        <v>170</v>
      </c>
      <c r="E101" s="553">
        <v>20</v>
      </c>
      <c r="F101" s="553" t="s">
        <v>645</v>
      </c>
      <c r="G101" s="553">
        <v>100008577</v>
      </c>
      <c r="H101" s="553">
        <v>995473</v>
      </c>
      <c r="I101" s="554"/>
      <c r="J101" s="553">
        <v>18</v>
      </c>
      <c r="K101" s="552"/>
      <c r="L101" s="551" t="s">
        <v>710</v>
      </c>
      <c r="M101" s="744" t="s">
        <v>476</v>
      </c>
      <c r="N101" s="744">
        <v>34</v>
      </c>
      <c r="O101" s="720"/>
      <c r="P101" s="550" t="str">
        <f t="shared" si="8"/>
        <v>INCLUDED</v>
      </c>
      <c r="Q101" s="509">
        <f t="shared" si="9"/>
        <v>0</v>
      </c>
      <c r="R101" s="447">
        <f t="shared" si="14"/>
        <v>0</v>
      </c>
      <c r="S101" s="630">
        <f>Discount!$J$36</f>
        <v>0</v>
      </c>
      <c r="T101" s="447">
        <f t="shared" si="15"/>
        <v>0</v>
      </c>
      <c r="U101" s="448">
        <f t="shared" si="12"/>
        <v>0</v>
      </c>
      <c r="V101" s="740">
        <f t="shared" si="13"/>
        <v>0</v>
      </c>
      <c r="W101" s="259"/>
      <c r="X101" s="259"/>
      <c r="Y101" s="259"/>
      <c r="Z101" s="259"/>
      <c r="AA101" s="259"/>
    </row>
    <row r="102" spans="1:27">
      <c r="A102" s="734">
        <v>85</v>
      </c>
      <c r="B102" s="538">
        <v>7000016865</v>
      </c>
      <c r="C102" s="538">
        <v>880</v>
      </c>
      <c r="D102" s="553">
        <v>170</v>
      </c>
      <c r="E102" s="553">
        <v>30</v>
      </c>
      <c r="F102" s="553" t="s">
        <v>645</v>
      </c>
      <c r="G102" s="553">
        <v>100001283</v>
      </c>
      <c r="H102" s="553">
        <v>995444</v>
      </c>
      <c r="I102" s="554"/>
      <c r="J102" s="553">
        <v>18</v>
      </c>
      <c r="K102" s="552"/>
      <c r="L102" s="551" t="s">
        <v>711</v>
      </c>
      <c r="M102" s="744" t="s">
        <v>481</v>
      </c>
      <c r="N102" s="744">
        <v>34</v>
      </c>
      <c r="O102" s="720"/>
      <c r="P102" s="550" t="str">
        <f t="shared" si="8"/>
        <v>INCLUDED</v>
      </c>
      <c r="Q102" s="509">
        <f t="shared" si="9"/>
        <v>0</v>
      </c>
      <c r="R102" s="447">
        <f t="shared" si="14"/>
        <v>0</v>
      </c>
      <c r="S102" s="630">
        <f>Discount!$J$36</f>
        <v>0</v>
      </c>
      <c r="T102" s="447">
        <f t="shared" si="15"/>
        <v>0</v>
      </c>
      <c r="U102" s="448">
        <f t="shared" si="12"/>
        <v>0</v>
      </c>
      <c r="V102" s="740">
        <f t="shared" si="13"/>
        <v>0</v>
      </c>
      <c r="W102" s="259"/>
      <c r="X102" s="259"/>
      <c r="Y102" s="259"/>
      <c r="Z102" s="259"/>
      <c r="AA102" s="259"/>
    </row>
    <row r="103" spans="1:27" ht="46.8">
      <c r="A103" s="734">
        <v>86</v>
      </c>
      <c r="B103" s="538">
        <v>7000016865</v>
      </c>
      <c r="C103" s="538">
        <v>730</v>
      </c>
      <c r="D103" s="553">
        <v>180</v>
      </c>
      <c r="E103" s="553">
        <v>10</v>
      </c>
      <c r="F103" s="553" t="s">
        <v>646</v>
      </c>
      <c r="G103" s="553">
        <v>100011627</v>
      </c>
      <c r="H103" s="553">
        <v>995468</v>
      </c>
      <c r="I103" s="554"/>
      <c r="J103" s="553">
        <v>18</v>
      </c>
      <c r="K103" s="552"/>
      <c r="L103" s="551" t="s">
        <v>712</v>
      </c>
      <c r="M103" s="744" t="s">
        <v>484</v>
      </c>
      <c r="N103" s="744">
        <v>43.29</v>
      </c>
      <c r="O103" s="720"/>
      <c r="P103" s="550" t="str">
        <f t="shared" si="8"/>
        <v>INCLUDED</v>
      </c>
      <c r="Q103" s="509">
        <f t="shared" si="9"/>
        <v>0</v>
      </c>
      <c r="R103" s="447">
        <f t="shared" si="14"/>
        <v>0</v>
      </c>
      <c r="S103" s="630">
        <f>Discount!$J$36</f>
        <v>0</v>
      </c>
      <c r="T103" s="447">
        <f t="shared" si="15"/>
        <v>0</v>
      </c>
      <c r="U103" s="448">
        <f t="shared" si="12"/>
        <v>0</v>
      </c>
      <c r="V103" s="740">
        <f t="shared" si="13"/>
        <v>0</v>
      </c>
      <c r="W103" s="259"/>
      <c r="X103" s="259"/>
      <c r="Y103" s="259"/>
      <c r="Z103" s="259"/>
      <c r="AA103" s="259"/>
    </row>
    <row r="104" spans="1:27" ht="31.2">
      <c r="A104" s="734">
        <v>87</v>
      </c>
      <c r="B104" s="538">
        <v>7000016865</v>
      </c>
      <c r="C104" s="538">
        <v>850</v>
      </c>
      <c r="D104" s="553">
        <v>205</v>
      </c>
      <c r="E104" s="553">
        <v>10</v>
      </c>
      <c r="F104" s="553" t="s">
        <v>647</v>
      </c>
      <c r="G104" s="553">
        <v>100023085</v>
      </c>
      <c r="H104" s="553">
        <v>995455</v>
      </c>
      <c r="I104" s="554"/>
      <c r="J104" s="553">
        <v>18</v>
      </c>
      <c r="K104" s="552"/>
      <c r="L104" s="551" t="s">
        <v>713</v>
      </c>
      <c r="M104" s="744" t="s">
        <v>525</v>
      </c>
      <c r="N104" s="744">
        <v>1</v>
      </c>
      <c r="O104" s="720"/>
      <c r="P104" s="550" t="str">
        <f t="shared" si="8"/>
        <v>INCLUDED</v>
      </c>
      <c r="Q104" s="509">
        <f t="shared" si="9"/>
        <v>0</v>
      </c>
      <c r="R104" s="447">
        <f t="shared" si="14"/>
        <v>0</v>
      </c>
      <c r="S104" s="630">
        <f>Discount!$J$36</f>
        <v>0</v>
      </c>
      <c r="T104" s="447">
        <f t="shared" si="15"/>
        <v>0</v>
      </c>
      <c r="U104" s="448">
        <f t="shared" si="12"/>
        <v>0</v>
      </c>
      <c r="V104" s="740">
        <f t="shared" si="13"/>
        <v>0</v>
      </c>
      <c r="W104" s="259"/>
      <c r="X104" s="259"/>
      <c r="Y104" s="259"/>
      <c r="Z104" s="259"/>
      <c r="AA104" s="259"/>
    </row>
    <row r="105" spans="1:27">
      <c r="A105" s="734">
        <v>88</v>
      </c>
      <c r="B105" s="538">
        <v>7000016865</v>
      </c>
      <c r="C105" s="538">
        <v>1070</v>
      </c>
      <c r="D105" s="553">
        <v>240</v>
      </c>
      <c r="E105" s="553">
        <v>100</v>
      </c>
      <c r="F105" s="553" t="s">
        <v>648</v>
      </c>
      <c r="G105" s="553">
        <v>170000265</v>
      </c>
      <c r="H105" s="553">
        <v>998716</v>
      </c>
      <c r="I105" s="554"/>
      <c r="J105" s="553">
        <v>18</v>
      </c>
      <c r="K105" s="552"/>
      <c r="L105" s="551" t="s">
        <v>511</v>
      </c>
      <c r="M105" s="553" t="s">
        <v>476</v>
      </c>
      <c r="N105" s="553">
        <v>21</v>
      </c>
      <c r="O105" s="539"/>
      <c r="P105" s="550" t="str">
        <f t="shared" si="8"/>
        <v>INCLUDED</v>
      </c>
      <c r="Q105" s="509">
        <f t="shared" si="9"/>
        <v>0</v>
      </c>
      <c r="R105" s="447">
        <f t="shared" si="14"/>
        <v>0</v>
      </c>
      <c r="S105" s="630">
        <f>Discount!$J$36</f>
        <v>0</v>
      </c>
      <c r="T105" s="447">
        <f t="shared" si="15"/>
        <v>0</v>
      </c>
      <c r="U105" s="448">
        <f t="shared" si="12"/>
        <v>0</v>
      </c>
      <c r="V105" s="740">
        <f t="shared" si="13"/>
        <v>0</v>
      </c>
      <c r="W105" s="259"/>
      <c r="X105" s="259"/>
      <c r="Y105" s="259"/>
      <c r="Z105" s="259"/>
      <c r="AA105" s="259"/>
    </row>
    <row r="106" spans="1:27">
      <c r="A106" s="734">
        <v>89</v>
      </c>
      <c r="B106" s="538">
        <v>7000016865</v>
      </c>
      <c r="C106" s="538">
        <v>1890</v>
      </c>
      <c r="D106" s="553">
        <v>90</v>
      </c>
      <c r="E106" s="553">
        <v>10</v>
      </c>
      <c r="F106" s="553" t="s">
        <v>636</v>
      </c>
      <c r="G106" s="553">
        <v>100001242</v>
      </c>
      <c r="H106" s="553">
        <v>998344</v>
      </c>
      <c r="I106" s="554"/>
      <c r="J106" s="553">
        <v>18</v>
      </c>
      <c r="K106" s="552"/>
      <c r="L106" s="551" t="s">
        <v>493</v>
      </c>
      <c r="M106" s="553" t="s">
        <v>484</v>
      </c>
      <c r="N106" s="553">
        <v>43.66</v>
      </c>
      <c r="O106" s="539"/>
      <c r="P106" s="550" t="str">
        <f t="shared" si="8"/>
        <v>INCLUDED</v>
      </c>
      <c r="Q106" s="509">
        <f t="shared" si="9"/>
        <v>0</v>
      </c>
      <c r="R106" s="447">
        <f t="shared" si="14"/>
        <v>0</v>
      </c>
      <c r="S106" s="630">
        <f>Discount!$J$36</f>
        <v>0</v>
      </c>
      <c r="T106" s="447">
        <f t="shared" si="15"/>
        <v>0</v>
      </c>
      <c r="U106" s="448">
        <f t="shared" si="12"/>
        <v>0</v>
      </c>
      <c r="V106" s="740">
        <f t="shared" si="13"/>
        <v>0</v>
      </c>
      <c r="W106" s="259"/>
      <c r="X106" s="259"/>
      <c r="Y106" s="259"/>
      <c r="Z106" s="259"/>
      <c r="AA106" s="259"/>
    </row>
    <row r="107" spans="1:27">
      <c r="A107" s="734">
        <v>90</v>
      </c>
      <c r="B107" s="538">
        <v>7000016865</v>
      </c>
      <c r="C107" s="538">
        <v>1890</v>
      </c>
      <c r="D107" s="553">
        <v>90</v>
      </c>
      <c r="E107" s="553">
        <v>20</v>
      </c>
      <c r="F107" s="553" t="s">
        <v>636</v>
      </c>
      <c r="G107" s="553">
        <v>100001243</v>
      </c>
      <c r="H107" s="553">
        <v>998344</v>
      </c>
      <c r="I107" s="554"/>
      <c r="J107" s="553">
        <v>18</v>
      </c>
      <c r="K107" s="552"/>
      <c r="L107" s="551" t="s">
        <v>494</v>
      </c>
      <c r="M107" s="553" t="s">
        <v>484</v>
      </c>
      <c r="N107" s="553">
        <v>43.66</v>
      </c>
      <c r="O107" s="539"/>
      <c r="P107" s="550" t="str">
        <f t="shared" si="8"/>
        <v>INCLUDED</v>
      </c>
      <c r="Q107" s="509">
        <f t="shared" si="9"/>
        <v>0</v>
      </c>
      <c r="R107" s="447">
        <f t="shared" si="14"/>
        <v>0</v>
      </c>
      <c r="S107" s="630">
        <f>Discount!$J$36</f>
        <v>0</v>
      </c>
      <c r="T107" s="447">
        <f t="shared" si="15"/>
        <v>0</v>
      </c>
      <c r="U107" s="448">
        <f t="shared" si="12"/>
        <v>0</v>
      </c>
      <c r="V107" s="740">
        <f t="shared" si="13"/>
        <v>0</v>
      </c>
      <c r="W107" s="259"/>
      <c r="X107" s="259"/>
      <c r="Y107" s="259"/>
      <c r="Z107" s="259"/>
      <c r="AA107" s="259"/>
    </row>
    <row r="108" spans="1:27">
      <c r="A108" s="734">
        <v>91</v>
      </c>
      <c r="B108" s="538">
        <v>7000016865</v>
      </c>
      <c r="C108" s="538">
        <v>1900</v>
      </c>
      <c r="D108" s="553">
        <v>100</v>
      </c>
      <c r="E108" s="553">
        <v>10</v>
      </c>
      <c r="F108" s="553" t="s">
        <v>637</v>
      </c>
      <c r="G108" s="553">
        <v>100001244</v>
      </c>
      <c r="H108" s="553">
        <v>998342</v>
      </c>
      <c r="I108" s="554"/>
      <c r="J108" s="553">
        <v>18</v>
      </c>
      <c r="K108" s="552"/>
      <c r="L108" s="551" t="s">
        <v>495</v>
      </c>
      <c r="M108" s="553" t="s">
        <v>476</v>
      </c>
      <c r="N108" s="553">
        <v>3</v>
      </c>
      <c r="O108" s="539"/>
      <c r="P108" s="550" t="str">
        <f t="shared" si="8"/>
        <v>INCLUDED</v>
      </c>
      <c r="Q108" s="509">
        <f t="shared" si="9"/>
        <v>0</v>
      </c>
      <c r="R108" s="447">
        <f t="shared" si="14"/>
        <v>0</v>
      </c>
      <c r="S108" s="630">
        <f>Discount!$J$36</f>
        <v>0</v>
      </c>
      <c r="T108" s="447">
        <f t="shared" si="15"/>
        <v>0</v>
      </c>
      <c r="U108" s="448">
        <f t="shared" si="12"/>
        <v>0</v>
      </c>
      <c r="V108" s="740">
        <f t="shared" si="13"/>
        <v>0</v>
      </c>
      <c r="W108" s="259"/>
      <c r="X108" s="259"/>
      <c r="Y108" s="259"/>
      <c r="Z108" s="259"/>
      <c r="AA108" s="259"/>
    </row>
    <row r="109" spans="1:27">
      <c r="A109" s="734">
        <v>92</v>
      </c>
      <c r="B109" s="538">
        <v>7000016865</v>
      </c>
      <c r="C109" s="538">
        <v>1900</v>
      </c>
      <c r="D109" s="553">
        <v>100</v>
      </c>
      <c r="E109" s="553">
        <v>20</v>
      </c>
      <c r="F109" s="553" t="s">
        <v>637</v>
      </c>
      <c r="G109" s="553">
        <v>100001245</v>
      </c>
      <c r="H109" s="553">
        <v>998342</v>
      </c>
      <c r="I109" s="554"/>
      <c r="J109" s="553">
        <v>18</v>
      </c>
      <c r="K109" s="552"/>
      <c r="L109" s="551" t="s">
        <v>496</v>
      </c>
      <c r="M109" s="553" t="s">
        <v>476</v>
      </c>
      <c r="N109" s="553">
        <v>5</v>
      </c>
      <c r="O109" s="539"/>
      <c r="P109" s="550" t="str">
        <f t="shared" si="8"/>
        <v>INCLUDED</v>
      </c>
      <c r="Q109" s="509">
        <f t="shared" si="9"/>
        <v>0</v>
      </c>
      <c r="R109" s="447">
        <f t="shared" si="14"/>
        <v>0</v>
      </c>
      <c r="S109" s="630">
        <f>Discount!$J$36</f>
        <v>0</v>
      </c>
      <c r="T109" s="447">
        <f t="shared" si="15"/>
        <v>0</v>
      </c>
      <c r="U109" s="448">
        <f t="shared" si="12"/>
        <v>0</v>
      </c>
      <c r="V109" s="740">
        <f t="shared" si="13"/>
        <v>0</v>
      </c>
      <c r="W109" s="259"/>
      <c r="X109" s="259"/>
      <c r="Y109" s="259"/>
      <c r="Z109" s="259"/>
      <c r="AA109" s="259"/>
    </row>
    <row r="110" spans="1:27">
      <c r="A110" s="734">
        <v>93</v>
      </c>
      <c r="B110" s="538">
        <v>7000016865</v>
      </c>
      <c r="C110" s="538">
        <v>1900</v>
      </c>
      <c r="D110" s="553">
        <v>100</v>
      </c>
      <c r="E110" s="553">
        <v>30</v>
      </c>
      <c r="F110" s="553" t="s">
        <v>637</v>
      </c>
      <c r="G110" s="553">
        <v>100001246</v>
      </c>
      <c r="H110" s="553">
        <v>998342</v>
      </c>
      <c r="I110" s="554"/>
      <c r="J110" s="553">
        <v>18</v>
      </c>
      <c r="K110" s="552"/>
      <c r="L110" s="551" t="s">
        <v>515</v>
      </c>
      <c r="M110" s="553" t="s">
        <v>476</v>
      </c>
      <c r="N110" s="553">
        <v>2</v>
      </c>
      <c r="O110" s="539"/>
      <c r="P110" s="550" t="str">
        <f t="shared" si="8"/>
        <v>INCLUDED</v>
      </c>
      <c r="Q110" s="509">
        <f t="shared" si="9"/>
        <v>0</v>
      </c>
      <c r="R110" s="447">
        <f t="shared" si="14"/>
        <v>0</v>
      </c>
      <c r="S110" s="630">
        <f>Discount!$J$36</f>
        <v>0</v>
      </c>
      <c r="T110" s="447">
        <f t="shared" si="15"/>
        <v>0</v>
      </c>
      <c r="U110" s="448">
        <f t="shared" si="12"/>
        <v>0</v>
      </c>
      <c r="V110" s="740">
        <f t="shared" si="13"/>
        <v>0</v>
      </c>
      <c r="W110" s="259"/>
      <c r="X110" s="259"/>
      <c r="Y110" s="259"/>
      <c r="Z110" s="259"/>
      <c r="AA110" s="259"/>
    </row>
    <row r="111" spans="1:27">
      <c r="A111" s="734">
        <v>94</v>
      </c>
      <c r="B111" s="538">
        <v>7000016865</v>
      </c>
      <c r="C111" s="538">
        <v>1910</v>
      </c>
      <c r="D111" s="553">
        <v>110</v>
      </c>
      <c r="E111" s="553">
        <v>10</v>
      </c>
      <c r="F111" s="553" t="s">
        <v>638</v>
      </c>
      <c r="G111" s="553">
        <v>100001252</v>
      </c>
      <c r="H111" s="553">
        <v>995432</v>
      </c>
      <c r="I111" s="554"/>
      <c r="J111" s="553">
        <v>18</v>
      </c>
      <c r="K111" s="552"/>
      <c r="L111" s="551" t="s">
        <v>497</v>
      </c>
      <c r="M111" s="553" t="s">
        <v>498</v>
      </c>
      <c r="N111" s="553">
        <v>3000</v>
      </c>
      <c r="O111" s="539"/>
      <c r="P111" s="550" t="str">
        <f t="shared" si="8"/>
        <v>INCLUDED</v>
      </c>
      <c r="Q111" s="509">
        <f t="shared" si="9"/>
        <v>0</v>
      </c>
      <c r="R111" s="447">
        <f t="shared" si="14"/>
        <v>0</v>
      </c>
      <c r="S111" s="630">
        <f>Discount!$J$36</f>
        <v>0</v>
      </c>
      <c r="T111" s="447">
        <f t="shared" si="15"/>
        <v>0</v>
      </c>
      <c r="U111" s="448">
        <f t="shared" si="12"/>
        <v>0</v>
      </c>
      <c r="V111" s="740">
        <f t="shared" si="13"/>
        <v>0</v>
      </c>
      <c r="W111" s="259"/>
      <c r="X111" s="259"/>
      <c r="Y111" s="259"/>
      <c r="Z111" s="259"/>
      <c r="AA111" s="259"/>
    </row>
    <row r="112" spans="1:27">
      <c r="A112" s="734">
        <v>95</v>
      </c>
      <c r="B112" s="538">
        <v>7000016865</v>
      </c>
      <c r="C112" s="538">
        <v>1910</v>
      </c>
      <c r="D112" s="553">
        <v>110</v>
      </c>
      <c r="E112" s="553">
        <v>20</v>
      </c>
      <c r="F112" s="553" t="s">
        <v>638</v>
      </c>
      <c r="G112" s="553">
        <v>100001253</v>
      </c>
      <c r="H112" s="553">
        <v>995432</v>
      </c>
      <c r="I112" s="554"/>
      <c r="J112" s="553">
        <v>18</v>
      </c>
      <c r="K112" s="552"/>
      <c r="L112" s="551" t="s">
        <v>516</v>
      </c>
      <c r="M112" s="553" t="s">
        <v>498</v>
      </c>
      <c r="N112" s="553">
        <v>500</v>
      </c>
      <c r="O112" s="539"/>
      <c r="P112" s="550" t="str">
        <f t="shared" si="8"/>
        <v>INCLUDED</v>
      </c>
      <c r="Q112" s="509">
        <f t="shared" si="9"/>
        <v>0</v>
      </c>
      <c r="R112" s="447">
        <f t="shared" si="14"/>
        <v>0</v>
      </c>
      <c r="S112" s="630">
        <f>Discount!$J$36</f>
        <v>0</v>
      </c>
      <c r="T112" s="447">
        <f t="shared" si="15"/>
        <v>0</v>
      </c>
      <c r="U112" s="448">
        <f t="shared" si="12"/>
        <v>0</v>
      </c>
      <c r="V112" s="740">
        <f t="shared" si="13"/>
        <v>0</v>
      </c>
      <c r="W112" s="259"/>
      <c r="X112" s="259"/>
      <c r="Y112" s="259"/>
      <c r="Z112" s="259"/>
      <c r="AA112" s="259"/>
    </row>
    <row r="113" spans="1:27">
      <c r="A113" s="734">
        <v>96</v>
      </c>
      <c r="B113" s="538">
        <v>7000016865</v>
      </c>
      <c r="C113" s="538">
        <v>1910</v>
      </c>
      <c r="D113" s="553">
        <v>110</v>
      </c>
      <c r="E113" s="553">
        <v>30</v>
      </c>
      <c r="F113" s="553" t="s">
        <v>638</v>
      </c>
      <c r="G113" s="553">
        <v>100001254</v>
      </c>
      <c r="H113" s="553">
        <v>995432</v>
      </c>
      <c r="I113" s="554"/>
      <c r="J113" s="553">
        <v>18</v>
      </c>
      <c r="K113" s="552"/>
      <c r="L113" s="551" t="s">
        <v>517</v>
      </c>
      <c r="M113" s="553" t="s">
        <v>498</v>
      </c>
      <c r="N113" s="553">
        <v>100</v>
      </c>
      <c r="O113" s="539"/>
      <c r="P113" s="550" t="str">
        <f t="shared" si="8"/>
        <v>INCLUDED</v>
      </c>
      <c r="Q113" s="509">
        <f t="shared" si="9"/>
        <v>0</v>
      </c>
      <c r="R113" s="447">
        <f t="shared" si="14"/>
        <v>0</v>
      </c>
      <c r="S113" s="630">
        <f>Discount!$J$36</f>
        <v>0</v>
      </c>
      <c r="T113" s="447">
        <f t="shared" si="15"/>
        <v>0</v>
      </c>
      <c r="U113" s="448">
        <f t="shared" si="12"/>
        <v>0</v>
      </c>
      <c r="V113" s="740">
        <f t="shared" si="13"/>
        <v>0</v>
      </c>
      <c r="W113" s="259"/>
      <c r="X113" s="259"/>
      <c r="Y113" s="259"/>
      <c r="Z113" s="259"/>
      <c r="AA113" s="259"/>
    </row>
    <row r="114" spans="1:27" ht="46.8">
      <c r="A114" s="734">
        <v>97</v>
      </c>
      <c r="B114" s="538">
        <v>7000016865</v>
      </c>
      <c r="C114" s="538">
        <v>1920</v>
      </c>
      <c r="D114" s="553">
        <v>120</v>
      </c>
      <c r="E114" s="553">
        <v>620</v>
      </c>
      <c r="F114" s="553" t="s">
        <v>649</v>
      </c>
      <c r="G114" s="553">
        <v>100022371</v>
      </c>
      <c r="H114" s="553">
        <v>998335</v>
      </c>
      <c r="I114" s="554"/>
      <c r="J114" s="553">
        <v>18</v>
      </c>
      <c r="K114" s="552"/>
      <c r="L114" s="551" t="s">
        <v>658</v>
      </c>
      <c r="M114" s="553" t="s">
        <v>476</v>
      </c>
      <c r="N114" s="553">
        <v>1</v>
      </c>
      <c r="O114" s="539"/>
      <c r="P114" s="550" t="str">
        <f t="shared" si="8"/>
        <v>INCLUDED</v>
      </c>
      <c r="Q114" s="509">
        <f t="shared" si="9"/>
        <v>0</v>
      </c>
      <c r="R114" s="447">
        <f t="shared" si="14"/>
        <v>0</v>
      </c>
      <c r="S114" s="630">
        <f>Discount!$J$36</f>
        <v>0</v>
      </c>
      <c r="T114" s="447">
        <f t="shared" si="15"/>
        <v>0</v>
      </c>
      <c r="U114" s="448">
        <f t="shared" si="12"/>
        <v>0</v>
      </c>
      <c r="V114" s="740">
        <f t="shared" si="13"/>
        <v>0</v>
      </c>
      <c r="W114" s="259"/>
      <c r="X114" s="259"/>
      <c r="Y114" s="259"/>
      <c r="Z114" s="259"/>
      <c r="AA114" s="259"/>
    </row>
    <row r="115" spans="1:27" ht="46.8">
      <c r="A115" s="734">
        <v>98</v>
      </c>
      <c r="B115" s="538">
        <v>7000016865</v>
      </c>
      <c r="C115" s="538">
        <v>1920</v>
      </c>
      <c r="D115" s="553">
        <v>120</v>
      </c>
      <c r="E115" s="553">
        <v>630</v>
      </c>
      <c r="F115" s="553" t="s">
        <v>649</v>
      </c>
      <c r="G115" s="553">
        <v>100022415</v>
      </c>
      <c r="H115" s="553">
        <v>998335</v>
      </c>
      <c r="I115" s="554"/>
      <c r="J115" s="553">
        <v>18</v>
      </c>
      <c r="K115" s="552"/>
      <c r="L115" s="551" t="s">
        <v>660</v>
      </c>
      <c r="M115" s="553" t="s">
        <v>476</v>
      </c>
      <c r="N115" s="553">
        <v>1</v>
      </c>
      <c r="O115" s="539"/>
      <c r="P115" s="550" t="str">
        <f t="shared" si="8"/>
        <v>INCLUDED</v>
      </c>
      <c r="Q115" s="509">
        <f t="shared" si="9"/>
        <v>0</v>
      </c>
      <c r="R115" s="447">
        <f t="shared" si="14"/>
        <v>0</v>
      </c>
      <c r="S115" s="630">
        <f>Discount!$J$36</f>
        <v>0</v>
      </c>
      <c r="T115" s="447">
        <f t="shared" si="15"/>
        <v>0</v>
      </c>
      <c r="U115" s="448">
        <f t="shared" si="12"/>
        <v>0</v>
      </c>
      <c r="V115" s="740">
        <f t="shared" si="13"/>
        <v>0</v>
      </c>
      <c r="W115" s="259"/>
      <c r="X115" s="259"/>
      <c r="Y115" s="259"/>
      <c r="Z115" s="259"/>
      <c r="AA115" s="259"/>
    </row>
    <row r="116" spans="1:27" ht="46.8">
      <c r="A116" s="734">
        <v>99</v>
      </c>
      <c r="B116" s="538">
        <v>7000016865</v>
      </c>
      <c r="C116" s="538">
        <v>1920</v>
      </c>
      <c r="D116" s="553">
        <v>120</v>
      </c>
      <c r="E116" s="553">
        <v>640</v>
      </c>
      <c r="F116" s="553" t="s">
        <v>649</v>
      </c>
      <c r="G116" s="553">
        <v>100022459</v>
      </c>
      <c r="H116" s="553">
        <v>998335</v>
      </c>
      <c r="I116" s="554"/>
      <c r="J116" s="553">
        <v>18</v>
      </c>
      <c r="K116" s="552"/>
      <c r="L116" s="551" t="s">
        <v>719</v>
      </c>
      <c r="M116" s="553" t="s">
        <v>476</v>
      </c>
      <c r="N116" s="553">
        <v>1</v>
      </c>
      <c r="O116" s="539"/>
      <c r="P116" s="550" t="str">
        <f t="shared" si="8"/>
        <v>INCLUDED</v>
      </c>
      <c r="Q116" s="509">
        <f t="shared" si="9"/>
        <v>0</v>
      </c>
      <c r="R116" s="447">
        <f t="shared" si="14"/>
        <v>0</v>
      </c>
      <c r="S116" s="630">
        <f>Discount!$J$36</f>
        <v>0</v>
      </c>
      <c r="T116" s="447">
        <f t="shared" si="15"/>
        <v>0</v>
      </c>
      <c r="U116" s="448">
        <f t="shared" si="12"/>
        <v>0</v>
      </c>
      <c r="V116" s="740">
        <f t="shared" si="13"/>
        <v>0</v>
      </c>
      <c r="W116" s="259"/>
      <c r="X116" s="259"/>
      <c r="Y116" s="259"/>
      <c r="Z116" s="259"/>
      <c r="AA116" s="259"/>
    </row>
    <row r="117" spans="1:27" ht="46.8">
      <c r="A117" s="734">
        <v>100</v>
      </c>
      <c r="B117" s="538">
        <v>7000016865</v>
      </c>
      <c r="C117" s="538">
        <v>1920</v>
      </c>
      <c r="D117" s="553">
        <v>120</v>
      </c>
      <c r="E117" s="553">
        <v>650</v>
      </c>
      <c r="F117" s="553" t="s">
        <v>649</v>
      </c>
      <c r="G117" s="553">
        <v>100022547</v>
      </c>
      <c r="H117" s="553">
        <v>998335</v>
      </c>
      <c r="I117" s="554"/>
      <c r="J117" s="553">
        <v>18</v>
      </c>
      <c r="K117" s="552"/>
      <c r="L117" s="551" t="s">
        <v>720</v>
      </c>
      <c r="M117" s="553" t="s">
        <v>476</v>
      </c>
      <c r="N117" s="553">
        <v>1</v>
      </c>
      <c r="O117" s="539"/>
      <c r="P117" s="550" t="str">
        <f t="shared" si="8"/>
        <v>INCLUDED</v>
      </c>
      <c r="Q117" s="509">
        <f t="shared" si="9"/>
        <v>0</v>
      </c>
      <c r="R117" s="447">
        <f t="shared" si="14"/>
        <v>0</v>
      </c>
      <c r="S117" s="630">
        <f>Discount!$J$36</f>
        <v>0</v>
      </c>
      <c r="T117" s="447">
        <f t="shared" si="15"/>
        <v>0</v>
      </c>
      <c r="U117" s="448">
        <f t="shared" si="12"/>
        <v>0</v>
      </c>
      <c r="V117" s="740">
        <f t="shared" si="13"/>
        <v>0</v>
      </c>
      <c r="W117" s="259"/>
      <c r="X117" s="259"/>
      <c r="Y117" s="259"/>
      <c r="Z117" s="259"/>
      <c r="AA117" s="259"/>
    </row>
    <row r="118" spans="1:27" ht="46.8">
      <c r="A118" s="734">
        <v>101</v>
      </c>
      <c r="B118" s="538">
        <v>7000016865</v>
      </c>
      <c r="C118" s="538">
        <v>1920</v>
      </c>
      <c r="D118" s="553">
        <v>120</v>
      </c>
      <c r="E118" s="553">
        <v>660</v>
      </c>
      <c r="F118" s="553" t="s">
        <v>649</v>
      </c>
      <c r="G118" s="553">
        <v>100022557</v>
      </c>
      <c r="H118" s="553">
        <v>998335</v>
      </c>
      <c r="I118" s="554"/>
      <c r="J118" s="553">
        <v>18</v>
      </c>
      <c r="K118" s="552"/>
      <c r="L118" s="551" t="s">
        <v>721</v>
      </c>
      <c r="M118" s="553" t="s">
        <v>476</v>
      </c>
      <c r="N118" s="553">
        <v>1</v>
      </c>
      <c r="O118" s="539"/>
      <c r="P118" s="550" t="str">
        <f t="shared" si="8"/>
        <v>INCLUDED</v>
      </c>
      <c r="Q118" s="509">
        <f t="shared" si="9"/>
        <v>0</v>
      </c>
      <c r="R118" s="447">
        <f t="shared" si="14"/>
        <v>0</v>
      </c>
      <c r="S118" s="630">
        <f>Discount!$J$36</f>
        <v>0</v>
      </c>
      <c r="T118" s="447">
        <f t="shared" si="15"/>
        <v>0</v>
      </c>
      <c r="U118" s="448">
        <f t="shared" si="12"/>
        <v>0</v>
      </c>
      <c r="V118" s="740">
        <f t="shared" si="13"/>
        <v>0</v>
      </c>
      <c r="W118" s="259"/>
      <c r="X118" s="259"/>
      <c r="Y118" s="259"/>
      <c r="Z118" s="259"/>
      <c r="AA118" s="259"/>
    </row>
    <row r="119" spans="1:27" ht="46.8">
      <c r="A119" s="734">
        <v>102</v>
      </c>
      <c r="B119" s="538">
        <v>7000016865</v>
      </c>
      <c r="C119" s="538">
        <v>1920</v>
      </c>
      <c r="D119" s="553">
        <v>120</v>
      </c>
      <c r="E119" s="553">
        <v>670</v>
      </c>
      <c r="F119" s="553" t="s">
        <v>649</v>
      </c>
      <c r="G119" s="553">
        <v>100022558</v>
      </c>
      <c r="H119" s="553">
        <v>998335</v>
      </c>
      <c r="I119" s="554"/>
      <c r="J119" s="553">
        <v>18</v>
      </c>
      <c r="K119" s="552"/>
      <c r="L119" s="551" t="s">
        <v>722</v>
      </c>
      <c r="M119" s="553" t="s">
        <v>476</v>
      </c>
      <c r="N119" s="553">
        <v>1</v>
      </c>
      <c r="O119" s="539"/>
      <c r="P119" s="550" t="str">
        <f t="shared" si="8"/>
        <v>INCLUDED</v>
      </c>
      <c r="Q119" s="509">
        <f t="shared" si="9"/>
        <v>0</v>
      </c>
      <c r="R119" s="447">
        <f t="shared" si="14"/>
        <v>0</v>
      </c>
      <c r="S119" s="630">
        <f>Discount!$J$36</f>
        <v>0</v>
      </c>
      <c r="T119" s="447">
        <f t="shared" si="15"/>
        <v>0</v>
      </c>
      <c r="U119" s="448">
        <f t="shared" si="12"/>
        <v>0</v>
      </c>
      <c r="V119" s="740">
        <f t="shared" si="13"/>
        <v>0</v>
      </c>
      <c r="W119" s="259"/>
      <c r="X119" s="259"/>
      <c r="Y119" s="259"/>
      <c r="Z119" s="259"/>
      <c r="AA119" s="259"/>
    </row>
    <row r="120" spans="1:27" ht="46.8">
      <c r="A120" s="734">
        <v>103</v>
      </c>
      <c r="B120" s="538">
        <v>7000016865</v>
      </c>
      <c r="C120" s="538">
        <v>1920</v>
      </c>
      <c r="D120" s="553">
        <v>120</v>
      </c>
      <c r="E120" s="553">
        <v>680</v>
      </c>
      <c r="F120" s="553" t="s">
        <v>649</v>
      </c>
      <c r="G120" s="553">
        <v>100022559</v>
      </c>
      <c r="H120" s="553">
        <v>998335</v>
      </c>
      <c r="I120" s="554"/>
      <c r="J120" s="553">
        <v>18</v>
      </c>
      <c r="K120" s="552"/>
      <c r="L120" s="551" t="s">
        <v>723</v>
      </c>
      <c r="M120" s="553" t="s">
        <v>476</v>
      </c>
      <c r="N120" s="553">
        <v>1</v>
      </c>
      <c r="O120" s="539"/>
      <c r="P120" s="550" t="str">
        <f t="shared" si="8"/>
        <v>INCLUDED</v>
      </c>
      <c r="Q120" s="509">
        <f t="shared" si="9"/>
        <v>0</v>
      </c>
      <c r="R120" s="447">
        <f t="shared" si="14"/>
        <v>0</v>
      </c>
      <c r="S120" s="630">
        <f>Discount!$J$36</f>
        <v>0</v>
      </c>
      <c r="T120" s="447">
        <f t="shared" si="15"/>
        <v>0</v>
      </c>
      <c r="U120" s="448">
        <f t="shared" si="12"/>
        <v>0</v>
      </c>
      <c r="V120" s="740">
        <f t="shared" si="13"/>
        <v>0</v>
      </c>
      <c r="W120" s="259"/>
      <c r="X120" s="259"/>
      <c r="Y120" s="259"/>
      <c r="Z120" s="259"/>
      <c r="AA120" s="259"/>
    </row>
    <row r="121" spans="1:27" ht="46.8">
      <c r="A121" s="734">
        <v>104</v>
      </c>
      <c r="B121" s="538">
        <v>7000016865</v>
      </c>
      <c r="C121" s="538">
        <v>1920</v>
      </c>
      <c r="D121" s="553">
        <v>120</v>
      </c>
      <c r="E121" s="553">
        <v>690</v>
      </c>
      <c r="F121" s="553" t="s">
        <v>649</v>
      </c>
      <c r="G121" s="553">
        <v>100024732</v>
      </c>
      <c r="H121" s="553">
        <v>998335</v>
      </c>
      <c r="I121" s="554"/>
      <c r="J121" s="553">
        <v>18</v>
      </c>
      <c r="K121" s="552"/>
      <c r="L121" s="551" t="s">
        <v>724</v>
      </c>
      <c r="M121" s="553" t="s">
        <v>476</v>
      </c>
      <c r="N121" s="553">
        <v>4</v>
      </c>
      <c r="O121" s="539"/>
      <c r="P121" s="550" t="str">
        <f t="shared" si="8"/>
        <v>INCLUDED</v>
      </c>
      <c r="Q121" s="509">
        <f t="shared" si="9"/>
        <v>0</v>
      </c>
      <c r="R121" s="447">
        <f t="shared" si="14"/>
        <v>0</v>
      </c>
      <c r="S121" s="630">
        <f>Discount!$J$36</f>
        <v>0</v>
      </c>
      <c r="T121" s="447">
        <f t="shared" si="15"/>
        <v>0</v>
      </c>
      <c r="U121" s="448">
        <f t="shared" si="12"/>
        <v>0</v>
      </c>
      <c r="V121" s="740">
        <f t="shared" si="13"/>
        <v>0</v>
      </c>
      <c r="W121" s="259"/>
      <c r="X121" s="259"/>
      <c r="Y121" s="259"/>
      <c r="Z121" s="259"/>
      <c r="AA121" s="259"/>
    </row>
    <row r="122" spans="1:27" ht="46.8">
      <c r="A122" s="734">
        <v>105</v>
      </c>
      <c r="B122" s="538">
        <v>7000016865</v>
      </c>
      <c r="C122" s="538">
        <v>1920</v>
      </c>
      <c r="D122" s="553">
        <v>120</v>
      </c>
      <c r="E122" s="553">
        <v>700</v>
      </c>
      <c r="F122" s="553" t="s">
        <v>649</v>
      </c>
      <c r="G122" s="553">
        <v>100024733</v>
      </c>
      <c r="H122" s="553">
        <v>998335</v>
      </c>
      <c r="I122" s="554"/>
      <c r="J122" s="553">
        <v>18</v>
      </c>
      <c r="K122" s="552"/>
      <c r="L122" s="551" t="s">
        <v>725</v>
      </c>
      <c r="M122" s="553" t="s">
        <v>476</v>
      </c>
      <c r="N122" s="553">
        <v>12</v>
      </c>
      <c r="O122" s="539"/>
      <c r="P122" s="550" t="str">
        <f t="shared" si="8"/>
        <v>INCLUDED</v>
      </c>
      <c r="Q122" s="509">
        <f t="shared" si="9"/>
        <v>0</v>
      </c>
      <c r="R122" s="447">
        <f t="shared" si="14"/>
        <v>0</v>
      </c>
      <c r="S122" s="630">
        <f>Discount!$J$36</f>
        <v>0</v>
      </c>
      <c r="T122" s="447">
        <f t="shared" si="15"/>
        <v>0</v>
      </c>
      <c r="U122" s="448">
        <f t="shared" si="12"/>
        <v>0</v>
      </c>
      <c r="V122" s="740">
        <f t="shared" si="13"/>
        <v>0</v>
      </c>
      <c r="W122" s="259"/>
      <c r="X122" s="259"/>
      <c r="Y122" s="259"/>
      <c r="Z122" s="259"/>
      <c r="AA122" s="259"/>
    </row>
    <row r="123" spans="1:27" ht="46.8">
      <c r="A123" s="734">
        <v>106</v>
      </c>
      <c r="B123" s="538">
        <v>7000016865</v>
      </c>
      <c r="C123" s="538">
        <v>1920</v>
      </c>
      <c r="D123" s="553">
        <v>120</v>
      </c>
      <c r="E123" s="553">
        <v>710</v>
      </c>
      <c r="F123" s="553" t="s">
        <v>649</v>
      </c>
      <c r="G123" s="553">
        <v>100024734</v>
      </c>
      <c r="H123" s="553">
        <v>998335</v>
      </c>
      <c r="I123" s="554"/>
      <c r="J123" s="553">
        <v>18</v>
      </c>
      <c r="K123" s="552"/>
      <c r="L123" s="551" t="s">
        <v>726</v>
      </c>
      <c r="M123" s="553" t="s">
        <v>476</v>
      </c>
      <c r="N123" s="553">
        <v>11</v>
      </c>
      <c r="O123" s="539"/>
      <c r="P123" s="550" t="str">
        <f t="shared" si="8"/>
        <v>INCLUDED</v>
      </c>
      <c r="Q123" s="509">
        <f t="shared" si="9"/>
        <v>0</v>
      </c>
      <c r="R123" s="447">
        <f t="shared" si="14"/>
        <v>0</v>
      </c>
      <c r="S123" s="630">
        <f>Discount!$J$36</f>
        <v>0</v>
      </c>
      <c r="T123" s="447">
        <f t="shared" si="15"/>
        <v>0</v>
      </c>
      <c r="U123" s="448">
        <f t="shared" si="12"/>
        <v>0</v>
      </c>
      <c r="V123" s="740">
        <f t="shared" si="13"/>
        <v>0</v>
      </c>
      <c r="W123" s="259"/>
      <c r="X123" s="259"/>
      <c r="Y123" s="259"/>
      <c r="Z123" s="259"/>
      <c r="AA123" s="259"/>
    </row>
    <row r="124" spans="1:27" ht="46.8">
      <c r="A124" s="734">
        <v>107</v>
      </c>
      <c r="B124" s="538">
        <v>7000016865</v>
      </c>
      <c r="C124" s="538">
        <v>1920</v>
      </c>
      <c r="D124" s="553">
        <v>120</v>
      </c>
      <c r="E124" s="553">
        <v>720</v>
      </c>
      <c r="F124" s="553" t="s">
        <v>649</v>
      </c>
      <c r="G124" s="553">
        <v>100024735</v>
      </c>
      <c r="H124" s="553">
        <v>998335</v>
      </c>
      <c r="I124" s="554"/>
      <c r="J124" s="553">
        <v>18</v>
      </c>
      <c r="K124" s="552"/>
      <c r="L124" s="551" t="s">
        <v>727</v>
      </c>
      <c r="M124" s="553" t="s">
        <v>476</v>
      </c>
      <c r="N124" s="553">
        <v>1</v>
      </c>
      <c r="O124" s="539"/>
      <c r="P124" s="550" t="str">
        <f t="shared" si="8"/>
        <v>INCLUDED</v>
      </c>
      <c r="Q124" s="509">
        <f t="shared" si="9"/>
        <v>0</v>
      </c>
      <c r="R124" s="447">
        <f t="shared" si="14"/>
        <v>0</v>
      </c>
      <c r="S124" s="630">
        <f>Discount!$J$36</f>
        <v>0</v>
      </c>
      <c r="T124" s="447">
        <f t="shared" si="15"/>
        <v>0</v>
      </c>
      <c r="U124" s="448">
        <f t="shared" si="12"/>
        <v>0</v>
      </c>
      <c r="V124" s="740">
        <f t="shared" si="13"/>
        <v>0</v>
      </c>
      <c r="W124" s="259"/>
      <c r="X124" s="259"/>
      <c r="Y124" s="259"/>
      <c r="Z124" s="259"/>
      <c r="AA124" s="259"/>
    </row>
    <row r="125" spans="1:27" ht="46.8">
      <c r="A125" s="734">
        <v>108</v>
      </c>
      <c r="B125" s="538">
        <v>7000016865</v>
      </c>
      <c r="C125" s="538">
        <v>1920</v>
      </c>
      <c r="D125" s="553">
        <v>120</v>
      </c>
      <c r="E125" s="553">
        <v>730</v>
      </c>
      <c r="F125" s="553" t="s">
        <v>649</v>
      </c>
      <c r="G125" s="553">
        <v>100024738</v>
      </c>
      <c r="H125" s="553">
        <v>998335</v>
      </c>
      <c r="I125" s="554"/>
      <c r="J125" s="553">
        <v>18</v>
      </c>
      <c r="K125" s="552"/>
      <c r="L125" s="551" t="s">
        <v>728</v>
      </c>
      <c r="M125" s="553" t="s">
        <v>476</v>
      </c>
      <c r="N125" s="553">
        <v>2</v>
      </c>
      <c r="O125" s="539"/>
      <c r="P125" s="550" t="str">
        <f t="shared" si="8"/>
        <v>INCLUDED</v>
      </c>
      <c r="Q125" s="509">
        <f t="shared" si="9"/>
        <v>0</v>
      </c>
      <c r="R125" s="447">
        <f t="shared" si="14"/>
        <v>0</v>
      </c>
      <c r="S125" s="630">
        <f>Discount!$J$36</f>
        <v>0</v>
      </c>
      <c r="T125" s="447">
        <f t="shared" si="15"/>
        <v>0</v>
      </c>
      <c r="U125" s="448">
        <f t="shared" si="12"/>
        <v>0</v>
      </c>
      <c r="V125" s="740">
        <f t="shared" si="13"/>
        <v>0</v>
      </c>
      <c r="W125" s="259"/>
      <c r="X125" s="259"/>
      <c r="Y125" s="259"/>
      <c r="Z125" s="259"/>
      <c r="AA125" s="259"/>
    </row>
    <row r="126" spans="1:27" ht="46.8">
      <c r="A126" s="734">
        <v>109</v>
      </c>
      <c r="B126" s="538">
        <v>7000016865</v>
      </c>
      <c r="C126" s="538">
        <v>1920</v>
      </c>
      <c r="D126" s="553">
        <v>120</v>
      </c>
      <c r="E126" s="553">
        <v>740</v>
      </c>
      <c r="F126" s="553" t="s">
        <v>649</v>
      </c>
      <c r="G126" s="553">
        <v>100024745</v>
      </c>
      <c r="H126" s="553">
        <v>998335</v>
      </c>
      <c r="I126" s="554"/>
      <c r="J126" s="553">
        <v>18</v>
      </c>
      <c r="K126" s="552"/>
      <c r="L126" s="758" t="s">
        <v>729</v>
      </c>
      <c r="M126" s="759" t="s">
        <v>476</v>
      </c>
      <c r="N126" s="759">
        <v>1</v>
      </c>
      <c r="O126" s="539"/>
      <c r="P126" s="550" t="str">
        <f t="shared" si="8"/>
        <v>INCLUDED</v>
      </c>
      <c r="Q126" s="509">
        <f t="shared" si="9"/>
        <v>0</v>
      </c>
      <c r="R126" s="447">
        <f t="shared" si="14"/>
        <v>0</v>
      </c>
      <c r="S126" s="630">
        <f>Discount!$J$36</f>
        <v>0</v>
      </c>
      <c r="T126" s="447">
        <f t="shared" si="15"/>
        <v>0</v>
      </c>
      <c r="U126" s="448">
        <f t="shared" si="12"/>
        <v>0</v>
      </c>
      <c r="V126" s="740">
        <f t="shared" si="13"/>
        <v>0</v>
      </c>
      <c r="W126" s="259"/>
      <c r="X126" s="259"/>
      <c r="Y126" s="259"/>
      <c r="Z126" s="259"/>
      <c r="AA126" s="259"/>
    </row>
    <row r="127" spans="1:27" ht="46.8">
      <c r="A127" s="734">
        <v>110</v>
      </c>
      <c r="B127" s="538">
        <v>7000016865</v>
      </c>
      <c r="C127" s="538">
        <v>1920</v>
      </c>
      <c r="D127" s="553">
        <v>120</v>
      </c>
      <c r="E127" s="553">
        <v>750</v>
      </c>
      <c r="F127" s="553" t="s">
        <v>649</v>
      </c>
      <c r="G127" s="553">
        <v>100024755</v>
      </c>
      <c r="H127" s="553">
        <v>998335</v>
      </c>
      <c r="I127" s="554"/>
      <c r="J127" s="553">
        <v>18</v>
      </c>
      <c r="K127" s="552"/>
      <c r="L127" s="551" t="s">
        <v>730</v>
      </c>
      <c r="M127" s="553" t="s">
        <v>476</v>
      </c>
      <c r="N127" s="553">
        <v>2</v>
      </c>
      <c r="O127" s="539"/>
      <c r="P127" s="550" t="str">
        <f t="shared" si="8"/>
        <v>INCLUDED</v>
      </c>
      <c r="Q127" s="509">
        <f t="shared" si="9"/>
        <v>0</v>
      </c>
      <c r="R127" s="447">
        <f t="shared" si="14"/>
        <v>0</v>
      </c>
      <c r="S127" s="630">
        <f>Discount!$J$36</f>
        <v>0</v>
      </c>
      <c r="T127" s="447">
        <f t="shared" si="15"/>
        <v>0</v>
      </c>
      <c r="U127" s="448">
        <f t="shared" si="12"/>
        <v>0</v>
      </c>
      <c r="V127" s="740">
        <f t="shared" si="13"/>
        <v>0</v>
      </c>
      <c r="W127" s="259"/>
      <c r="X127" s="259"/>
      <c r="Y127" s="259"/>
      <c r="Z127" s="259"/>
      <c r="AA127" s="259"/>
    </row>
    <row r="128" spans="1:27" ht="46.8">
      <c r="A128" s="734">
        <v>111</v>
      </c>
      <c r="B128" s="538">
        <v>7000016865</v>
      </c>
      <c r="C128" s="538">
        <v>1920</v>
      </c>
      <c r="D128" s="553">
        <v>120</v>
      </c>
      <c r="E128" s="553">
        <v>760</v>
      </c>
      <c r="F128" s="553" t="s">
        <v>649</v>
      </c>
      <c r="G128" s="553">
        <v>100024756</v>
      </c>
      <c r="H128" s="553">
        <v>998335</v>
      </c>
      <c r="I128" s="554"/>
      <c r="J128" s="553">
        <v>18</v>
      </c>
      <c r="K128" s="552"/>
      <c r="L128" s="551" t="s">
        <v>731</v>
      </c>
      <c r="M128" s="553" t="s">
        <v>476</v>
      </c>
      <c r="N128" s="553">
        <v>2</v>
      </c>
      <c r="O128" s="539"/>
      <c r="P128" s="550" t="str">
        <f t="shared" si="8"/>
        <v>INCLUDED</v>
      </c>
      <c r="Q128" s="509">
        <f t="shared" si="9"/>
        <v>0</v>
      </c>
      <c r="R128" s="447">
        <f t="shared" si="14"/>
        <v>0</v>
      </c>
      <c r="S128" s="630">
        <f>Discount!$J$36</f>
        <v>0</v>
      </c>
      <c r="T128" s="447">
        <f t="shared" si="15"/>
        <v>0</v>
      </c>
      <c r="U128" s="448">
        <f t="shared" si="12"/>
        <v>0</v>
      </c>
      <c r="V128" s="740">
        <f t="shared" si="13"/>
        <v>0</v>
      </c>
      <c r="W128" s="259"/>
      <c r="X128" s="259"/>
      <c r="Y128" s="259"/>
      <c r="Z128" s="259"/>
      <c r="AA128" s="259"/>
    </row>
    <row r="129" spans="1:27" ht="46.8">
      <c r="A129" s="734">
        <v>112</v>
      </c>
      <c r="B129" s="538">
        <v>7000016865</v>
      </c>
      <c r="C129" s="538">
        <v>1920</v>
      </c>
      <c r="D129" s="553">
        <v>120</v>
      </c>
      <c r="E129" s="553">
        <v>770</v>
      </c>
      <c r="F129" s="553" t="s">
        <v>649</v>
      </c>
      <c r="G129" s="553">
        <v>100024832</v>
      </c>
      <c r="H129" s="553">
        <v>998335</v>
      </c>
      <c r="I129" s="554"/>
      <c r="J129" s="553">
        <v>18</v>
      </c>
      <c r="K129" s="552"/>
      <c r="L129" s="551" t="s">
        <v>732</v>
      </c>
      <c r="M129" s="553" t="s">
        <v>476</v>
      </c>
      <c r="N129" s="553">
        <v>1</v>
      </c>
      <c r="O129" s="539"/>
      <c r="P129" s="550" t="str">
        <f t="shared" si="8"/>
        <v>INCLUDED</v>
      </c>
      <c r="Q129" s="509">
        <f t="shared" si="9"/>
        <v>0</v>
      </c>
      <c r="R129" s="447">
        <f t="shared" si="14"/>
        <v>0</v>
      </c>
      <c r="S129" s="630">
        <f>Discount!$J$36</f>
        <v>0</v>
      </c>
      <c r="T129" s="447">
        <f t="shared" si="15"/>
        <v>0</v>
      </c>
      <c r="U129" s="448">
        <f t="shared" si="12"/>
        <v>0</v>
      </c>
      <c r="V129" s="740">
        <f t="shared" si="13"/>
        <v>0</v>
      </c>
      <c r="W129" s="259"/>
      <c r="X129" s="259"/>
      <c r="Y129" s="259"/>
      <c r="Z129" s="259"/>
      <c r="AA129" s="259"/>
    </row>
    <row r="130" spans="1:27" ht="46.8">
      <c r="A130" s="734">
        <v>113</v>
      </c>
      <c r="B130" s="538">
        <v>7000016865</v>
      </c>
      <c r="C130" s="538">
        <v>1920</v>
      </c>
      <c r="D130" s="553">
        <v>120</v>
      </c>
      <c r="E130" s="553">
        <v>780</v>
      </c>
      <c r="F130" s="553" t="s">
        <v>649</v>
      </c>
      <c r="G130" s="553">
        <v>100024843</v>
      </c>
      <c r="H130" s="553">
        <v>998335</v>
      </c>
      <c r="I130" s="554"/>
      <c r="J130" s="553">
        <v>18</v>
      </c>
      <c r="K130" s="552"/>
      <c r="L130" s="551" t="s">
        <v>733</v>
      </c>
      <c r="M130" s="553" t="s">
        <v>476</v>
      </c>
      <c r="N130" s="553">
        <v>1</v>
      </c>
      <c r="O130" s="539"/>
      <c r="P130" s="550" t="str">
        <f t="shared" si="8"/>
        <v>INCLUDED</v>
      </c>
      <c r="Q130" s="509">
        <f t="shared" si="9"/>
        <v>0</v>
      </c>
      <c r="R130" s="447">
        <f t="shared" si="14"/>
        <v>0</v>
      </c>
      <c r="S130" s="630">
        <f>Discount!$J$36</f>
        <v>0</v>
      </c>
      <c r="T130" s="447">
        <f t="shared" si="15"/>
        <v>0</v>
      </c>
      <c r="U130" s="448">
        <f t="shared" si="12"/>
        <v>0</v>
      </c>
      <c r="V130" s="740">
        <f t="shared" si="13"/>
        <v>0</v>
      </c>
      <c r="W130" s="259"/>
      <c r="X130" s="259"/>
      <c r="Y130" s="259"/>
      <c r="Z130" s="259"/>
      <c r="AA130" s="259"/>
    </row>
    <row r="131" spans="1:27" ht="46.8">
      <c r="A131" s="734">
        <v>114</v>
      </c>
      <c r="B131" s="538">
        <v>7000016865</v>
      </c>
      <c r="C131" s="538">
        <v>1920</v>
      </c>
      <c r="D131" s="553">
        <v>120</v>
      </c>
      <c r="E131" s="553">
        <v>790</v>
      </c>
      <c r="F131" s="553" t="s">
        <v>649</v>
      </c>
      <c r="G131" s="553">
        <v>100024849</v>
      </c>
      <c r="H131" s="553">
        <v>998335</v>
      </c>
      <c r="I131" s="554"/>
      <c r="J131" s="553">
        <v>18</v>
      </c>
      <c r="K131" s="552"/>
      <c r="L131" s="551" t="s">
        <v>734</v>
      </c>
      <c r="M131" s="553" t="s">
        <v>476</v>
      </c>
      <c r="N131" s="553">
        <v>1</v>
      </c>
      <c r="O131" s="539"/>
      <c r="P131" s="550" t="str">
        <f t="shared" si="8"/>
        <v>INCLUDED</v>
      </c>
      <c r="Q131" s="509">
        <f t="shared" si="9"/>
        <v>0</v>
      </c>
      <c r="R131" s="447">
        <f t="shared" si="14"/>
        <v>0</v>
      </c>
      <c r="S131" s="630">
        <f>Discount!$J$36</f>
        <v>0</v>
      </c>
      <c r="T131" s="447">
        <f t="shared" si="15"/>
        <v>0</v>
      </c>
      <c r="U131" s="448">
        <f t="shared" si="12"/>
        <v>0</v>
      </c>
      <c r="V131" s="740">
        <f t="shared" si="13"/>
        <v>0</v>
      </c>
      <c r="W131" s="259"/>
      <c r="X131" s="259"/>
      <c r="Y131" s="259"/>
      <c r="Z131" s="259"/>
      <c r="AA131" s="259"/>
    </row>
    <row r="132" spans="1:27" ht="46.8">
      <c r="A132" s="734">
        <v>115</v>
      </c>
      <c r="B132" s="538">
        <v>7000016865</v>
      </c>
      <c r="C132" s="538">
        <v>1920</v>
      </c>
      <c r="D132" s="553">
        <v>120</v>
      </c>
      <c r="E132" s="553">
        <v>800</v>
      </c>
      <c r="F132" s="553" t="s">
        <v>649</v>
      </c>
      <c r="G132" s="553">
        <v>100024887</v>
      </c>
      <c r="H132" s="553">
        <v>998335</v>
      </c>
      <c r="I132" s="554"/>
      <c r="J132" s="553">
        <v>18</v>
      </c>
      <c r="K132" s="552"/>
      <c r="L132" s="551" t="s">
        <v>735</v>
      </c>
      <c r="M132" s="553" t="s">
        <v>476</v>
      </c>
      <c r="N132" s="553">
        <v>2</v>
      </c>
      <c r="O132" s="539"/>
      <c r="P132" s="550" t="str">
        <f t="shared" si="8"/>
        <v>INCLUDED</v>
      </c>
      <c r="Q132" s="509">
        <f t="shared" si="9"/>
        <v>0</v>
      </c>
      <c r="R132" s="447">
        <f t="shared" si="14"/>
        <v>0</v>
      </c>
      <c r="S132" s="630">
        <f>Discount!$J$36</f>
        <v>0</v>
      </c>
      <c r="T132" s="447">
        <f t="shared" si="15"/>
        <v>0</v>
      </c>
      <c r="U132" s="448">
        <f t="shared" si="12"/>
        <v>0</v>
      </c>
      <c r="V132" s="740">
        <f t="shared" si="13"/>
        <v>0</v>
      </c>
      <c r="W132" s="259"/>
      <c r="X132" s="259"/>
      <c r="Y132" s="259"/>
      <c r="Z132" s="259"/>
      <c r="AA132" s="259"/>
    </row>
    <row r="133" spans="1:27" ht="46.8">
      <c r="A133" s="734">
        <v>116</v>
      </c>
      <c r="B133" s="538">
        <v>7000016865</v>
      </c>
      <c r="C133" s="538">
        <v>1920</v>
      </c>
      <c r="D133" s="553">
        <v>120</v>
      </c>
      <c r="E133" s="553">
        <v>810</v>
      </c>
      <c r="F133" s="553" t="s">
        <v>649</v>
      </c>
      <c r="G133" s="553">
        <v>100024888</v>
      </c>
      <c r="H133" s="553">
        <v>998335</v>
      </c>
      <c r="I133" s="554"/>
      <c r="J133" s="553">
        <v>18</v>
      </c>
      <c r="K133" s="552"/>
      <c r="L133" s="551" t="s">
        <v>736</v>
      </c>
      <c r="M133" s="553" t="s">
        <v>476</v>
      </c>
      <c r="N133" s="553">
        <v>1</v>
      </c>
      <c r="O133" s="539"/>
      <c r="P133" s="550" t="str">
        <f t="shared" si="8"/>
        <v>INCLUDED</v>
      </c>
      <c r="Q133" s="509">
        <f t="shared" si="9"/>
        <v>0</v>
      </c>
      <c r="R133" s="447">
        <f t="shared" si="14"/>
        <v>0</v>
      </c>
      <c r="S133" s="630">
        <f>Discount!$J$36</f>
        <v>0</v>
      </c>
      <c r="T133" s="447">
        <f t="shared" si="15"/>
        <v>0</v>
      </c>
      <c r="U133" s="448">
        <f t="shared" si="12"/>
        <v>0</v>
      </c>
      <c r="V133" s="740">
        <f t="shared" si="13"/>
        <v>0</v>
      </c>
      <c r="W133" s="259"/>
      <c r="X133" s="259"/>
      <c r="Y133" s="259"/>
      <c r="Z133" s="259"/>
      <c r="AA133" s="259"/>
    </row>
    <row r="134" spans="1:27" ht="46.8">
      <c r="A134" s="734">
        <v>117</v>
      </c>
      <c r="B134" s="538">
        <v>7000016865</v>
      </c>
      <c r="C134" s="538">
        <v>1920</v>
      </c>
      <c r="D134" s="553">
        <v>120</v>
      </c>
      <c r="E134" s="553">
        <v>820</v>
      </c>
      <c r="F134" s="553" t="s">
        <v>649</v>
      </c>
      <c r="G134" s="553">
        <v>100024889</v>
      </c>
      <c r="H134" s="553">
        <v>998335</v>
      </c>
      <c r="I134" s="554"/>
      <c r="J134" s="553">
        <v>18</v>
      </c>
      <c r="K134" s="552"/>
      <c r="L134" s="551" t="s">
        <v>737</v>
      </c>
      <c r="M134" s="553" t="s">
        <v>476</v>
      </c>
      <c r="N134" s="553">
        <v>1</v>
      </c>
      <c r="O134" s="539"/>
      <c r="P134" s="550" t="str">
        <f t="shared" si="8"/>
        <v>INCLUDED</v>
      </c>
      <c r="Q134" s="509">
        <f t="shared" si="9"/>
        <v>0</v>
      </c>
      <c r="R134" s="447">
        <f t="shared" si="14"/>
        <v>0</v>
      </c>
      <c r="S134" s="630">
        <f>Discount!$J$36</f>
        <v>0</v>
      </c>
      <c r="T134" s="447">
        <f t="shared" si="15"/>
        <v>0</v>
      </c>
      <c r="U134" s="448">
        <f t="shared" si="12"/>
        <v>0</v>
      </c>
      <c r="V134" s="740">
        <f t="shared" si="13"/>
        <v>0</v>
      </c>
      <c r="W134" s="259"/>
      <c r="X134" s="259"/>
      <c r="Y134" s="259"/>
      <c r="Z134" s="259"/>
      <c r="AA134" s="259"/>
    </row>
    <row r="135" spans="1:27" ht="46.8">
      <c r="A135" s="734">
        <v>118</v>
      </c>
      <c r="B135" s="538">
        <v>7000016865</v>
      </c>
      <c r="C135" s="538">
        <v>1920</v>
      </c>
      <c r="D135" s="553">
        <v>120</v>
      </c>
      <c r="E135" s="553">
        <v>830</v>
      </c>
      <c r="F135" s="553" t="s">
        <v>649</v>
      </c>
      <c r="G135" s="553">
        <v>100024931</v>
      </c>
      <c r="H135" s="553">
        <v>998335</v>
      </c>
      <c r="I135" s="554"/>
      <c r="J135" s="553">
        <v>18</v>
      </c>
      <c r="K135" s="552"/>
      <c r="L135" s="551" t="s">
        <v>738</v>
      </c>
      <c r="M135" s="553" t="s">
        <v>476</v>
      </c>
      <c r="N135" s="553">
        <v>2</v>
      </c>
      <c r="O135" s="539"/>
      <c r="P135" s="550" t="str">
        <f t="shared" si="8"/>
        <v>INCLUDED</v>
      </c>
      <c r="Q135" s="509">
        <f t="shared" si="9"/>
        <v>0</v>
      </c>
      <c r="R135" s="447">
        <f t="shared" si="14"/>
        <v>0</v>
      </c>
      <c r="S135" s="630">
        <f>Discount!$J$36</f>
        <v>0</v>
      </c>
      <c r="T135" s="447">
        <f t="shared" si="15"/>
        <v>0</v>
      </c>
      <c r="U135" s="448">
        <f t="shared" si="12"/>
        <v>0</v>
      </c>
      <c r="V135" s="740">
        <f t="shared" si="13"/>
        <v>0</v>
      </c>
      <c r="W135" s="259"/>
      <c r="X135" s="259"/>
      <c r="Y135" s="259"/>
      <c r="Z135" s="259"/>
      <c r="AA135" s="259"/>
    </row>
    <row r="136" spans="1:27" ht="46.8">
      <c r="A136" s="734">
        <v>119</v>
      </c>
      <c r="B136" s="538">
        <v>7000016865</v>
      </c>
      <c r="C136" s="538">
        <v>1920</v>
      </c>
      <c r="D136" s="553">
        <v>120</v>
      </c>
      <c r="E136" s="553">
        <v>840</v>
      </c>
      <c r="F136" s="553" t="s">
        <v>649</v>
      </c>
      <c r="G136" s="553">
        <v>100024932</v>
      </c>
      <c r="H136" s="553">
        <v>998335</v>
      </c>
      <c r="I136" s="554"/>
      <c r="J136" s="553">
        <v>18</v>
      </c>
      <c r="K136" s="552"/>
      <c r="L136" s="551" t="s">
        <v>739</v>
      </c>
      <c r="M136" s="553" t="s">
        <v>476</v>
      </c>
      <c r="N136" s="553">
        <v>1</v>
      </c>
      <c r="O136" s="539"/>
      <c r="P136" s="550" t="str">
        <f t="shared" si="8"/>
        <v>INCLUDED</v>
      </c>
      <c r="Q136" s="509">
        <f t="shared" si="9"/>
        <v>0</v>
      </c>
      <c r="R136" s="447">
        <f t="shared" si="14"/>
        <v>0</v>
      </c>
      <c r="S136" s="630">
        <f>Discount!$J$36</f>
        <v>0</v>
      </c>
      <c r="T136" s="447">
        <f t="shared" si="15"/>
        <v>0</v>
      </c>
      <c r="U136" s="448">
        <f t="shared" si="12"/>
        <v>0</v>
      </c>
      <c r="V136" s="740">
        <f t="shared" si="13"/>
        <v>0</v>
      </c>
      <c r="W136" s="259"/>
      <c r="X136" s="259"/>
      <c r="Y136" s="259"/>
      <c r="Z136" s="259"/>
      <c r="AA136" s="259"/>
    </row>
    <row r="137" spans="1:27" ht="46.8">
      <c r="A137" s="734">
        <v>120</v>
      </c>
      <c r="B137" s="538">
        <v>7000016865</v>
      </c>
      <c r="C137" s="538">
        <v>1920</v>
      </c>
      <c r="D137" s="553">
        <v>120</v>
      </c>
      <c r="E137" s="553">
        <v>850</v>
      </c>
      <c r="F137" s="553" t="s">
        <v>649</v>
      </c>
      <c r="G137" s="553">
        <v>100024976</v>
      </c>
      <c r="H137" s="553">
        <v>998335</v>
      </c>
      <c r="I137" s="554"/>
      <c r="J137" s="553">
        <v>18</v>
      </c>
      <c r="K137" s="552"/>
      <c r="L137" s="551" t="s">
        <v>740</v>
      </c>
      <c r="M137" s="553" t="s">
        <v>476</v>
      </c>
      <c r="N137" s="553">
        <v>1</v>
      </c>
      <c r="O137" s="539"/>
      <c r="P137" s="550" t="str">
        <f t="shared" si="8"/>
        <v>INCLUDED</v>
      </c>
      <c r="Q137" s="509">
        <f t="shared" si="9"/>
        <v>0</v>
      </c>
      <c r="R137" s="447">
        <f t="shared" si="14"/>
        <v>0</v>
      </c>
      <c r="S137" s="630">
        <f>Discount!$J$36</f>
        <v>0</v>
      </c>
      <c r="T137" s="447">
        <f t="shared" si="15"/>
        <v>0</v>
      </c>
      <c r="U137" s="448">
        <f t="shared" si="12"/>
        <v>0</v>
      </c>
      <c r="V137" s="740">
        <f t="shared" si="13"/>
        <v>0</v>
      </c>
      <c r="W137" s="259"/>
      <c r="X137" s="259"/>
      <c r="Y137" s="259"/>
      <c r="Z137" s="259"/>
      <c r="AA137" s="259"/>
    </row>
    <row r="138" spans="1:27" ht="46.8">
      <c r="A138" s="734">
        <v>121</v>
      </c>
      <c r="B138" s="538">
        <v>7000016865</v>
      </c>
      <c r="C138" s="538">
        <v>1920</v>
      </c>
      <c r="D138" s="553">
        <v>120</v>
      </c>
      <c r="E138" s="553">
        <v>860</v>
      </c>
      <c r="F138" s="553" t="s">
        <v>649</v>
      </c>
      <c r="G138" s="553">
        <v>100024986</v>
      </c>
      <c r="H138" s="553">
        <v>998335</v>
      </c>
      <c r="I138" s="554"/>
      <c r="J138" s="553">
        <v>18</v>
      </c>
      <c r="K138" s="552"/>
      <c r="L138" s="551" t="s">
        <v>741</v>
      </c>
      <c r="M138" s="553" t="s">
        <v>476</v>
      </c>
      <c r="N138" s="553">
        <v>2</v>
      </c>
      <c r="O138" s="539"/>
      <c r="P138" s="550" t="str">
        <f t="shared" si="8"/>
        <v>INCLUDED</v>
      </c>
      <c r="Q138" s="509">
        <f t="shared" si="9"/>
        <v>0</v>
      </c>
      <c r="R138" s="447">
        <f t="shared" si="14"/>
        <v>0</v>
      </c>
      <c r="S138" s="630">
        <f>Discount!$J$36</f>
        <v>0</v>
      </c>
      <c r="T138" s="447">
        <f t="shared" si="15"/>
        <v>0</v>
      </c>
      <c r="U138" s="448">
        <f t="shared" si="12"/>
        <v>0</v>
      </c>
      <c r="V138" s="740">
        <f t="shared" si="13"/>
        <v>0</v>
      </c>
      <c r="W138" s="259"/>
      <c r="X138" s="259"/>
      <c r="Y138" s="259"/>
      <c r="Z138" s="259"/>
      <c r="AA138" s="259"/>
    </row>
    <row r="139" spans="1:27" ht="46.8">
      <c r="A139" s="734">
        <v>122</v>
      </c>
      <c r="B139" s="538">
        <v>7000016865</v>
      </c>
      <c r="C139" s="538">
        <v>1920</v>
      </c>
      <c r="D139" s="553">
        <v>120</v>
      </c>
      <c r="E139" s="553">
        <v>870</v>
      </c>
      <c r="F139" s="553" t="s">
        <v>649</v>
      </c>
      <c r="G139" s="553">
        <v>100024987</v>
      </c>
      <c r="H139" s="553">
        <v>998335</v>
      </c>
      <c r="I139" s="554"/>
      <c r="J139" s="553">
        <v>18</v>
      </c>
      <c r="K139" s="552"/>
      <c r="L139" s="551" t="s">
        <v>742</v>
      </c>
      <c r="M139" s="553" t="s">
        <v>476</v>
      </c>
      <c r="N139" s="553">
        <v>1</v>
      </c>
      <c r="O139" s="539"/>
      <c r="P139" s="550" t="str">
        <f t="shared" si="8"/>
        <v>INCLUDED</v>
      </c>
      <c r="Q139" s="509">
        <f t="shared" si="9"/>
        <v>0</v>
      </c>
      <c r="R139" s="447">
        <f t="shared" si="14"/>
        <v>0</v>
      </c>
      <c r="S139" s="630">
        <f>Discount!$J$36</f>
        <v>0</v>
      </c>
      <c r="T139" s="447">
        <f t="shared" si="15"/>
        <v>0</v>
      </c>
      <c r="U139" s="448">
        <f t="shared" si="12"/>
        <v>0</v>
      </c>
      <c r="V139" s="740">
        <f t="shared" si="13"/>
        <v>0</v>
      </c>
      <c r="W139" s="259"/>
      <c r="X139" s="259"/>
      <c r="Y139" s="259"/>
      <c r="Z139" s="259"/>
      <c r="AA139" s="259"/>
    </row>
    <row r="140" spans="1:27" ht="46.8">
      <c r="A140" s="734">
        <v>123</v>
      </c>
      <c r="B140" s="538">
        <v>7000016865</v>
      </c>
      <c r="C140" s="538">
        <v>1920</v>
      </c>
      <c r="D140" s="553">
        <v>120</v>
      </c>
      <c r="E140" s="553">
        <v>880</v>
      </c>
      <c r="F140" s="553" t="s">
        <v>649</v>
      </c>
      <c r="G140" s="553">
        <v>100024988</v>
      </c>
      <c r="H140" s="553">
        <v>998335</v>
      </c>
      <c r="I140" s="554"/>
      <c r="J140" s="553">
        <v>18</v>
      </c>
      <c r="K140" s="552"/>
      <c r="L140" s="551" t="s">
        <v>743</v>
      </c>
      <c r="M140" s="553" t="s">
        <v>476</v>
      </c>
      <c r="N140" s="553">
        <v>1</v>
      </c>
      <c r="O140" s="539"/>
      <c r="P140" s="550" t="str">
        <f t="shared" si="8"/>
        <v>INCLUDED</v>
      </c>
      <c r="Q140" s="509">
        <f t="shared" si="9"/>
        <v>0</v>
      </c>
      <c r="R140" s="447">
        <f t="shared" si="14"/>
        <v>0</v>
      </c>
      <c r="S140" s="630">
        <f>Discount!$J$36</f>
        <v>0</v>
      </c>
      <c r="T140" s="447">
        <f t="shared" si="15"/>
        <v>0</v>
      </c>
      <c r="U140" s="448">
        <f t="shared" si="12"/>
        <v>0</v>
      </c>
      <c r="V140" s="740">
        <f t="shared" si="13"/>
        <v>0</v>
      </c>
      <c r="W140" s="259"/>
      <c r="X140" s="259"/>
      <c r="Y140" s="259"/>
      <c r="Z140" s="259"/>
      <c r="AA140" s="259"/>
    </row>
    <row r="141" spans="1:27" ht="46.8">
      <c r="A141" s="734">
        <v>124</v>
      </c>
      <c r="B141" s="538">
        <v>7000016865</v>
      </c>
      <c r="C141" s="538">
        <v>1920</v>
      </c>
      <c r="D141" s="553">
        <v>120</v>
      </c>
      <c r="E141" s="553">
        <v>890</v>
      </c>
      <c r="F141" s="553" t="s">
        <v>649</v>
      </c>
      <c r="G141" s="553">
        <v>100024991</v>
      </c>
      <c r="H141" s="553">
        <v>998335</v>
      </c>
      <c r="I141" s="554"/>
      <c r="J141" s="553">
        <v>18</v>
      </c>
      <c r="K141" s="552"/>
      <c r="L141" s="551" t="s">
        <v>744</v>
      </c>
      <c r="M141" s="553" t="s">
        <v>476</v>
      </c>
      <c r="N141" s="553">
        <v>1</v>
      </c>
      <c r="O141" s="539"/>
      <c r="P141" s="550" t="str">
        <f t="shared" si="8"/>
        <v>INCLUDED</v>
      </c>
      <c r="Q141" s="509">
        <f t="shared" si="9"/>
        <v>0</v>
      </c>
      <c r="R141" s="447">
        <f t="shared" si="14"/>
        <v>0</v>
      </c>
      <c r="S141" s="630">
        <f>Discount!$J$36</f>
        <v>0</v>
      </c>
      <c r="T141" s="447">
        <f t="shared" si="15"/>
        <v>0</v>
      </c>
      <c r="U141" s="448">
        <f t="shared" si="12"/>
        <v>0</v>
      </c>
      <c r="V141" s="740">
        <f t="shared" si="13"/>
        <v>0</v>
      </c>
      <c r="W141" s="259"/>
      <c r="X141" s="259"/>
      <c r="Y141" s="259"/>
      <c r="Z141" s="259"/>
      <c r="AA141" s="259"/>
    </row>
    <row r="142" spans="1:27" ht="46.8">
      <c r="A142" s="734">
        <v>125</v>
      </c>
      <c r="B142" s="538">
        <v>7000016865</v>
      </c>
      <c r="C142" s="538">
        <v>1920</v>
      </c>
      <c r="D142" s="553">
        <v>120</v>
      </c>
      <c r="E142" s="553">
        <v>900</v>
      </c>
      <c r="F142" s="553" t="s">
        <v>649</v>
      </c>
      <c r="G142" s="553">
        <v>100024998</v>
      </c>
      <c r="H142" s="553">
        <v>998335</v>
      </c>
      <c r="I142" s="554"/>
      <c r="J142" s="553">
        <v>18</v>
      </c>
      <c r="K142" s="552"/>
      <c r="L142" s="551" t="s">
        <v>745</v>
      </c>
      <c r="M142" s="553" t="s">
        <v>476</v>
      </c>
      <c r="N142" s="553">
        <v>1</v>
      </c>
      <c r="O142" s="539"/>
      <c r="P142" s="550" t="str">
        <f t="shared" si="8"/>
        <v>INCLUDED</v>
      </c>
      <c r="Q142" s="509">
        <f t="shared" si="9"/>
        <v>0</v>
      </c>
      <c r="R142" s="447">
        <f t="shared" si="14"/>
        <v>0</v>
      </c>
      <c r="S142" s="630">
        <f>Discount!$J$36</f>
        <v>0</v>
      </c>
      <c r="T142" s="447">
        <f t="shared" si="15"/>
        <v>0</v>
      </c>
      <c r="U142" s="448">
        <f t="shared" si="12"/>
        <v>0</v>
      </c>
      <c r="V142" s="740">
        <f t="shared" si="13"/>
        <v>0</v>
      </c>
      <c r="W142" s="259"/>
      <c r="X142" s="259"/>
      <c r="Y142" s="259"/>
      <c r="Z142" s="259"/>
      <c r="AA142" s="259"/>
    </row>
    <row r="143" spans="1:27" ht="46.8">
      <c r="A143" s="734">
        <v>126</v>
      </c>
      <c r="B143" s="538">
        <v>7000016865</v>
      </c>
      <c r="C143" s="538">
        <v>1920</v>
      </c>
      <c r="D143" s="553">
        <v>120</v>
      </c>
      <c r="E143" s="553">
        <v>910</v>
      </c>
      <c r="F143" s="553" t="s">
        <v>649</v>
      </c>
      <c r="G143" s="553">
        <v>100025010</v>
      </c>
      <c r="H143" s="553">
        <v>998335</v>
      </c>
      <c r="I143" s="554"/>
      <c r="J143" s="553">
        <v>18</v>
      </c>
      <c r="K143" s="552"/>
      <c r="L143" s="551" t="s">
        <v>746</v>
      </c>
      <c r="M143" s="553" t="s">
        <v>476</v>
      </c>
      <c r="N143" s="553">
        <v>11</v>
      </c>
      <c r="O143" s="539"/>
      <c r="P143" s="550" t="str">
        <f t="shared" si="8"/>
        <v>INCLUDED</v>
      </c>
      <c r="Q143" s="509">
        <f t="shared" si="9"/>
        <v>0</v>
      </c>
      <c r="R143" s="447">
        <f t="shared" si="14"/>
        <v>0</v>
      </c>
      <c r="S143" s="630">
        <f>Discount!$J$36</f>
        <v>0</v>
      </c>
      <c r="T143" s="447">
        <f t="shared" si="15"/>
        <v>0</v>
      </c>
      <c r="U143" s="448">
        <f t="shared" si="12"/>
        <v>0</v>
      </c>
      <c r="V143" s="740">
        <f t="shared" si="13"/>
        <v>0</v>
      </c>
      <c r="W143" s="259"/>
      <c r="X143" s="259"/>
      <c r="Y143" s="259"/>
      <c r="Z143" s="259"/>
      <c r="AA143" s="259"/>
    </row>
    <row r="144" spans="1:27" ht="31.2">
      <c r="A144" s="734">
        <v>127</v>
      </c>
      <c r="B144" s="538">
        <v>7000016865</v>
      </c>
      <c r="C144" s="538">
        <v>1920</v>
      </c>
      <c r="D144" s="553">
        <v>120</v>
      </c>
      <c r="E144" s="553">
        <v>920</v>
      </c>
      <c r="F144" s="553" t="s">
        <v>649</v>
      </c>
      <c r="G144" s="553">
        <v>100024262</v>
      </c>
      <c r="H144" s="553">
        <v>995455</v>
      </c>
      <c r="I144" s="554"/>
      <c r="J144" s="553">
        <v>18</v>
      </c>
      <c r="K144" s="552"/>
      <c r="L144" s="551" t="s">
        <v>673</v>
      </c>
      <c r="M144" s="553" t="s">
        <v>476</v>
      </c>
      <c r="N144" s="553">
        <v>1</v>
      </c>
      <c r="O144" s="539"/>
      <c r="P144" s="550" t="str">
        <f t="shared" si="8"/>
        <v>INCLUDED</v>
      </c>
      <c r="Q144" s="509">
        <f t="shared" si="9"/>
        <v>0</v>
      </c>
      <c r="R144" s="447">
        <f t="shared" si="14"/>
        <v>0</v>
      </c>
      <c r="S144" s="630">
        <f>Discount!$J$36</f>
        <v>0</v>
      </c>
      <c r="T144" s="447">
        <f t="shared" si="15"/>
        <v>0</v>
      </c>
      <c r="U144" s="448">
        <f t="shared" si="12"/>
        <v>0</v>
      </c>
      <c r="V144" s="740">
        <f t="shared" si="13"/>
        <v>0</v>
      </c>
      <c r="W144" s="259"/>
      <c r="X144" s="259"/>
      <c r="Y144" s="259"/>
      <c r="Z144" s="259"/>
      <c r="AA144" s="259"/>
    </row>
    <row r="145" spans="1:27" ht="31.2">
      <c r="A145" s="734">
        <v>128</v>
      </c>
      <c r="B145" s="538">
        <v>7000016865</v>
      </c>
      <c r="C145" s="538">
        <v>1920</v>
      </c>
      <c r="D145" s="553">
        <v>120</v>
      </c>
      <c r="E145" s="553">
        <v>930</v>
      </c>
      <c r="F145" s="553" t="s">
        <v>649</v>
      </c>
      <c r="G145" s="553">
        <v>100024265</v>
      </c>
      <c r="H145" s="553">
        <v>995455</v>
      </c>
      <c r="I145" s="554"/>
      <c r="J145" s="553">
        <v>18</v>
      </c>
      <c r="K145" s="552"/>
      <c r="L145" s="551" t="s">
        <v>674</v>
      </c>
      <c r="M145" s="553" t="s">
        <v>476</v>
      </c>
      <c r="N145" s="553">
        <v>2</v>
      </c>
      <c r="O145" s="539"/>
      <c r="P145" s="550" t="str">
        <f t="shared" si="8"/>
        <v>INCLUDED</v>
      </c>
      <c r="Q145" s="509">
        <f t="shared" si="9"/>
        <v>0</v>
      </c>
      <c r="R145" s="447">
        <f t="shared" si="14"/>
        <v>0</v>
      </c>
      <c r="S145" s="630">
        <f>Discount!$J$36</f>
        <v>0</v>
      </c>
      <c r="T145" s="447">
        <f t="shared" si="15"/>
        <v>0</v>
      </c>
      <c r="U145" s="448">
        <f t="shared" si="12"/>
        <v>0</v>
      </c>
      <c r="V145" s="740">
        <f t="shared" si="13"/>
        <v>0</v>
      </c>
      <c r="W145" s="259"/>
      <c r="X145" s="259"/>
      <c r="Y145" s="259"/>
      <c r="Z145" s="259"/>
      <c r="AA145" s="259"/>
    </row>
    <row r="146" spans="1:27" ht="31.2">
      <c r="A146" s="734">
        <v>129</v>
      </c>
      <c r="B146" s="538">
        <v>7000016865</v>
      </c>
      <c r="C146" s="538">
        <v>1920</v>
      </c>
      <c r="D146" s="553">
        <v>120</v>
      </c>
      <c r="E146" s="553">
        <v>940</v>
      </c>
      <c r="F146" s="553" t="s">
        <v>649</v>
      </c>
      <c r="G146" s="553">
        <v>100024272</v>
      </c>
      <c r="H146" s="553">
        <v>995455</v>
      </c>
      <c r="I146" s="554"/>
      <c r="J146" s="553">
        <v>18</v>
      </c>
      <c r="K146" s="552"/>
      <c r="L146" s="551" t="s">
        <v>676</v>
      </c>
      <c r="M146" s="553" t="s">
        <v>476</v>
      </c>
      <c r="N146" s="553">
        <v>4</v>
      </c>
      <c r="O146" s="539"/>
      <c r="P146" s="550" t="str">
        <f t="shared" si="8"/>
        <v>INCLUDED</v>
      </c>
      <c r="Q146" s="509">
        <f t="shared" si="9"/>
        <v>0</v>
      </c>
      <c r="R146" s="447">
        <f t="shared" si="14"/>
        <v>0</v>
      </c>
      <c r="S146" s="630">
        <f>Discount!$J$36</f>
        <v>0</v>
      </c>
      <c r="T146" s="447">
        <f t="shared" si="15"/>
        <v>0</v>
      </c>
      <c r="U146" s="448">
        <f t="shared" si="12"/>
        <v>0</v>
      </c>
      <c r="V146" s="740">
        <f t="shared" si="13"/>
        <v>0</v>
      </c>
      <c r="W146" s="259"/>
      <c r="X146" s="259"/>
      <c r="Y146" s="259"/>
      <c r="Z146" s="259"/>
      <c r="AA146" s="259"/>
    </row>
    <row r="147" spans="1:27" ht="31.2">
      <c r="A147" s="734">
        <v>130</v>
      </c>
      <c r="B147" s="538">
        <v>7000016865</v>
      </c>
      <c r="C147" s="538">
        <v>1920</v>
      </c>
      <c r="D147" s="553">
        <v>120</v>
      </c>
      <c r="E147" s="553">
        <v>950</v>
      </c>
      <c r="F147" s="553" t="s">
        <v>649</v>
      </c>
      <c r="G147" s="553">
        <v>100024651</v>
      </c>
      <c r="H147" s="553">
        <v>995455</v>
      </c>
      <c r="I147" s="554"/>
      <c r="J147" s="553">
        <v>18</v>
      </c>
      <c r="K147" s="552"/>
      <c r="L147" s="551" t="s">
        <v>747</v>
      </c>
      <c r="M147" s="553" t="s">
        <v>476</v>
      </c>
      <c r="N147" s="553">
        <v>30</v>
      </c>
      <c r="O147" s="539"/>
      <c r="P147" s="550" t="str">
        <f t="shared" si="8"/>
        <v>INCLUDED</v>
      </c>
      <c r="Q147" s="509">
        <f t="shared" si="9"/>
        <v>0</v>
      </c>
      <c r="R147" s="447">
        <f t="shared" ref="R147:R158" si="16">IF( K147="",J147*(IF(P147="Included",0,P147))/100,K147*(IF(P147="Included",0,P147)))</f>
        <v>0</v>
      </c>
      <c r="S147" s="630">
        <f>Discount!$J$36</f>
        <v>0</v>
      </c>
      <c r="T147" s="447">
        <f t="shared" ref="T147:T158" si="17">S147*Q147</f>
        <v>0</v>
      </c>
      <c r="U147" s="448">
        <f t="shared" si="12"/>
        <v>0</v>
      </c>
      <c r="V147" s="740">
        <f t="shared" si="13"/>
        <v>0</v>
      </c>
      <c r="W147" s="259"/>
      <c r="X147" s="259"/>
      <c r="Y147" s="259"/>
      <c r="Z147" s="259"/>
      <c r="AA147" s="259"/>
    </row>
    <row r="148" spans="1:27" ht="31.2">
      <c r="A148" s="734">
        <v>131</v>
      </c>
      <c r="B148" s="538">
        <v>7000016865</v>
      </c>
      <c r="C148" s="538">
        <v>1920</v>
      </c>
      <c r="D148" s="553">
        <v>120</v>
      </c>
      <c r="E148" s="553">
        <v>960</v>
      </c>
      <c r="F148" s="553" t="s">
        <v>649</v>
      </c>
      <c r="G148" s="553">
        <v>100024652</v>
      </c>
      <c r="H148" s="553">
        <v>995455</v>
      </c>
      <c r="I148" s="554"/>
      <c r="J148" s="553">
        <v>18</v>
      </c>
      <c r="K148" s="552"/>
      <c r="L148" s="551" t="s">
        <v>748</v>
      </c>
      <c r="M148" s="553" t="s">
        <v>476</v>
      </c>
      <c r="N148" s="553">
        <v>5</v>
      </c>
      <c r="O148" s="539"/>
      <c r="P148" s="550" t="str">
        <f t="shared" si="8"/>
        <v>INCLUDED</v>
      </c>
      <c r="Q148" s="509">
        <f t="shared" si="9"/>
        <v>0</v>
      </c>
      <c r="R148" s="447">
        <f t="shared" si="16"/>
        <v>0</v>
      </c>
      <c r="S148" s="630">
        <f>Discount!$J$36</f>
        <v>0</v>
      </c>
      <c r="T148" s="447">
        <f t="shared" si="17"/>
        <v>0</v>
      </c>
      <c r="U148" s="448">
        <f t="shared" si="12"/>
        <v>0</v>
      </c>
      <c r="V148" s="740">
        <f t="shared" si="13"/>
        <v>0</v>
      </c>
      <c r="W148" s="259"/>
      <c r="X148" s="259"/>
      <c r="Y148" s="259"/>
      <c r="Z148" s="259"/>
      <c r="AA148" s="259"/>
    </row>
    <row r="149" spans="1:27" ht="31.2">
      <c r="A149" s="734">
        <v>132</v>
      </c>
      <c r="B149" s="538">
        <v>7000016865</v>
      </c>
      <c r="C149" s="538">
        <v>1920</v>
      </c>
      <c r="D149" s="553">
        <v>120</v>
      </c>
      <c r="E149" s="553">
        <v>970</v>
      </c>
      <c r="F149" s="553" t="s">
        <v>649</v>
      </c>
      <c r="G149" s="553">
        <v>100024655</v>
      </c>
      <c r="H149" s="553">
        <v>995455</v>
      </c>
      <c r="I149" s="554"/>
      <c r="J149" s="553">
        <v>18</v>
      </c>
      <c r="K149" s="552"/>
      <c r="L149" s="551" t="s">
        <v>749</v>
      </c>
      <c r="M149" s="553" t="s">
        <v>476</v>
      </c>
      <c r="N149" s="553">
        <v>7</v>
      </c>
      <c r="O149" s="539"/>
      <c r="P149" s="550" t="str">
        <f t="shared" si="8"/>
        <v>INCLUDED</v>
      </c>
      <c r="Q149" s="509">
        <f t="shared" si="9"/>
        <v>0</v>
      </c>
      <c r="R149" s="447">
        <f t="shared" si="16"/>
        <v>0</v>
      </c>
      <c r="S149" s="630">
        <f>Discount!$J$36</f>
        <v>0</v>
      </c>
      <c r="T149" s="447">
        <f t="shared" si="17"/>
        <v>0</v>
      </c>
      <c r="U149" s="448">
        <f t="shared" si="12"/>
        <v>0</v>
      </c>
      <c r="V149" s="740">
        <f t="shared" si="13"/>
        <v>0</v>
      </c>
      <c r="W149" s="259"/>
      <c r="X149" s="259"/>
      <c r="Y149" s="259"/>
      <c r="Z149" s="259"/>
      <c r="AA149" s="259"/>
    </row>
    <row r="150" spans="1:27" ht="46.8">
      <c r="A150" s="734">
        <v>133</v>
      </c>
      <c r="B150" s="538">
        <v>7000016865</v>
      </c>
      <c r="C150" s="538">
        <v>1920</v>
      </c>
      <c r="D150" s="553">
        <v>120</v>
      </c>
      <c r="E150" s="553">
        <v>980</v>
      </c>
      <c r="F150" s="553" t="s">
        <v>649</v>
      </c>
      <c r="G150" s="553">
        <v>100024658</v>
      </c>
      <c r="H150" s="553">
        <v>995455</v>
      </c>
      <c r="I150" s="554"/>
      <c r="J150" s="553">
        <v>18</v>
      </c>
      <c r="K150" s="552"/>
      <c r="L150" s="551" t="s">
        <v>750</v>
      </c>
      <c r="M150" s="553" t="s">
        <v>476</v>
      </c>
      <c r="N150" s="553">
        <v>3</v>
      </c>
      <c r="O150" s="539"/>
      <c r="P150" s="550" t="str">
        <f t="shared" si="8"/>
        <v>INCLUDED</v>
      </c>
      <c r="Q150" s="509">
        <f t="shared" si="9"/>
        <v>0</v>
      </c>
      <c r="R150" s="447">
        <f t="shared" si="16"/>
        <v>0</v>
      </c>
      <c r="S150" s="630">
        <f>Discount!$J$36</f>
        <v>0</v>
      </c>
      <c r="T150" s="447">
        <f t="shared" si="17"/>
        <v>0</v>
      </c>
      <c r="U150" s="448">
        <f t="shared" si="12"/>
        <v>0</v>
      </c>
      <c r="V150" s="740">
        <f t="shared" si="13"/>
        <v>0</v>
      </c>
      <c r="W150" s="259"/>
      <c r="X150" s="259"/>
      <c r="Y150" s="259"/>
      <c r="Z150" s="259"/>
      <c r="AA150" s="259"/>
    </row>
    <row r="151" spans="1:27" ht="46.8">
      <c r="A151" s="734">
        <v>134</v>
      </c>
      <c r="B151" s="538">
        <v>7000016865</v>
      </c>
      <c r="C151" s="538">
        <v>1920</v>
      </c>
      <c r="D151" s="553">
        <v>120</v>
      </c>
      <c r="E151" s="553">
        <v>990</v>
      </c>
      <c r="F151" s="553" t="s">
        <v>649</v>
      </c>
      <c r="G151" s="553">
        <v>100024662</v>
      </c>
      <c r="H151" s="553">
        <v>995455</v>
      </c>
      <c r="I151" s="554"/>
      <c r="J151" s="553">
        <v>18</v>
      </c>
      <c r="K151" s="552"/>
      <c r="L151" s="551" t="s">
        <v>751</v>
      </c>
      <c r="M151" s="744" t="s">
        <v>476</v>
      </c>
      <c r="N151" s="744">
        <v>6</v>
      </c>
      <c r="O151" s="539"/>
      <c r="P151" s="550" t="str">
        <f t="shared" si="8"/>
        <v>INCLUDED</v>
      </c>
      <c r="Q151" s="509">
        <f t="shared" si="9"/>
        <v>0</v>
      </c>
      <c r="R151" s="447">
        <f t="shared" si="16"/>
        <v>0</v>
      </c>
      <c r="S151" s="630">
        <f>Discount!$J$36</f>
        <v>0</v>
      </c>
      <c r="T151" s="447">
        <f t="shared" si="17"/>
        <v>0</v>
      </c>
      <c r="U151" s="448">
        <f t="shared" si="12"/>
        <v>0</v>
      </c>
      <c r="V151" s="740">
        <f t="shared" si="13"/>
        <v>0</v>
      </c>
      <c r="W151" s="259"/>
      <c r="X151" s="259"/>
      <c r="Y151" s="259"/>
      <c r="Z151" s="259"/>
      <c r="AA151" s="259"/>
    </row>
    <row r="152" spans="1:27" ht="46.8">
      <c r="A152" s="734">
        <v>135</v>
      </c>
      <c r="B152" s="538">
        <v>7000016865</v>
      </c>
      <c r="C152" s="538">
        <v>1920</v>
      </c>
      <c r="D152" s="553">
        <v>120</v>
      </c>
      <c r="E152" s="553">
        <v>1000</v>
      </c>
      <c r="F152" s="553" t="s">
        <v>649</v>
      </c>
      <c r="G152" s="553">
        <v>100024663</v>
      </c>
      <c r="H152" s="553">
        <v>995455</v>
      </c>
      <c r="I152" s="554"/>
      <c r="J152" s="553">
        <v>18</v>
      </c>
      <c r="K152" s="552"/>
      <c r="L152" s="551" t="s">
        <v>752</v>
      </c>
      <c r="M152" s="744" t="s">
        <v>476</v>
      </c>
      <c r="N152" s="744">
        <v>1</v>
      </c>
      <c r="O152" s="539"/>
      <c r="P152" s="550" t="str">
        <f t="shared" si="8"/>
        <v>INCLUDED</v>
      </c>
      <c r="Q152" s="509">
        <f t="shared" si="9"/>
        <v>0</v>
      </c>
      <c r="R152" s="447">
        <f t="shared" si="16"/>
        <v>0</v>
      </c>
      <c r="S152" s="630">
        <f>Discount!$J$36</f>
        <v>0</v>
      </c>
      <c r="T152" s="447">
        <f t="shared" si="17"/>
        <v>0</v>
      </c>
      <c r="U152" s="448">
        <f t="shared" si="12"/>
        <v>0</v>
      </c>
      <c r="V152" s="740">
        <f t="shared" si="13"/>
        <v>0</v>
      </c>
      <c r="W152" s="259"/>
      <c r="X152" s="259"/>
      <c r="Y152" s="259"/>
      <c r="Z152" s="259"/>
      <c r="AA152" s="259"/>
    </row>
    <row r="153" spans="1:27" ht="46.8">
      <c r="A153" s="734">
        <v>136</v>
      </c>
      <c r="B153" s="538">
        <v>7000016865</v>
      </c>
      <c r="C153" s="538">
        <v>1920</v>
      </c>
      <c r="D153" s="553">
        <v>120</v>
      </c>
      <c r="E153" s="553">
        <v>1010</v>
      </c>
      <c r="F153" s="553" t="s">
        <v>649</v>
      </c>
      <c r="G153" s="553">
        <v>100024664</v>
      </c>
      <c r="H153" s="553">
        <v>995455</v>
      </c>
      <c r="I153" s="554"/>
      <c r="J153" s="553">
        <v>18</v>
      </c>
      <c r="K153" s="552"/>
      <c r="L153" s="551" t="s">
        <v>753</v>
      </c>
      <c r="M153" s="744" t="s">
        <v>476</v>
      </c>
      <c r="N153" s="744">
        <v>11</v>
      </c>
      <c r="O153" s="539"/>
      <c r="P153" s="550" t="str">
        <f t="shared" si="8"/>
        <v>INCLUDED</v>
      </c>
      <c r="Q153" s="509">
        <f t="shared" si="9"/>
        <v>0</v>
      </c>
      <c r="R153" s="447">
        <f t="shared" si="16"/>
        <v>0</v>
      </c>
      <c r="S153" s="630">
        <f>Discount!$J$36</f>
        <v>0</v>
      </c>
      <c r="T153" s="447">
        <f t="shared" si="17"/>
        <v>0</v>
      </c>
      <c r="U153" s="448">
        <f t="shared" si="12"/>
        <v>0</v>
      </c>
      <c r="V153" s="740">
        <f t="shared" si="13"/>
        <v>0</v>
      </c>
      <c r="W153" s="259"/>
      <c r="X153" s="259"/>
      <c r="Y153" s="259"/>
      <c r="Z153" s="259"/>
      <c r="AA153" s="259"/>
    </row>
    <row r="154" spans="1:27" ht="31.2">
      <c r="A154" s="734">
        <v>137</v>
      </c>
      <c r="B154" s="538">
        <v>7000016865</v>
      </c>
      <c r="C154" s="538">
        <v>1920</v>
      </c>
      <c r="D154" s="553">
        <v>120</v>
      </c>
      <c r="E154" s="553">
        <v>1020</v>
      </c>
      <c r="F154" s="553" t="s">
        <v>649</v>
      </c>
      <c r="G154" s="553">
        <v>100001255</v>
      </c>
      <c r="H154" s="553">
        <v>995433</v>
      </c>
      <c r="I154" s="554"/>
      <c r="J154" s="553">
        <v>18</v>
      </c>
      <c r="K154" s="552"/>
      <c r="L154" s="551" t="s">
        <v>528</v>
      </c>
      <c r="M154" s="744" t="s">
        <v>498</v>
      </c>
      <c r="N154" s="744">
        <v>250</v>
      </c>
      <c r="O154" s="539"/>
      <c r="P154" s="550" t="str">
        <f t="shared" si="8"/>
        <v>INCLUDED</v>
      </c>
      <c r="Q154" s="509">
        <f t="shared" si="9"/>
        <v>0</v>
      </c>
      <c r="R154" s="447">
        <f t="shared" si="16"/>
        <v>0</v>
      </c>
      <c r="S154" s="630">
        <f>Discount!$J$36</f>
        <v>0</v>
      </c>
      <c r="T154" s="447">
        <f t="shared" si="17"/>
        <v>0</v>
      </c>
      <c r="U154" s="448">
        <f t="shared" si="12"/>
        <v>0</v>
      </c>
      <c r="V154" s="740">
        <f t="shared" si="13"/>
        <v>0</v>
      </c>
      <c r="W154" s="259"/>
      <c r="X154" s="259"/>
      <c r="Y154" s="259"/>
      <c r="Z154" s="259"/>
      <c r="AA154" s="259"/>
    </row>
    <row r="155" spans="1:27" ht="31.2">
      <c r="A155" s="734">
        <v>138</v>
      </c>
      <c r="B155" s="538">
        <v>7000016865</v>
      </c>
      <c r="C155" s="538">
        <v>1920</v>
      </c>
      <c r="D155" s="553">
        <v>120</v>
      </c>
      <c r="E155" s="553">
        <v>1030</v>
      </c>
      <c r="F155" s="553" t="s">
        <v>649</v>
      </c>
      <c r="G155" s="553">
        <v>100001256</v>
      </c>
      <c r="H155" s="553">
        <v>995433</v>
      </c>
      <c r="I155" s="554"/>
      <c r="J155" s="553">
        <v>18</v>
      </c>
      <c r="K155" s="552"/>
      <c r="L155" s="551" t="s">
        <v>717</v>
      </c>
      <c r="M155" s="744" t="s">
        <v>498</v>
      </c>
      <c r="N155" s="744">
        <v>250</v>
      </c>
      <c r="O155" s="539"/>
      <c r="P155" s="550" t="str">
        <f t="shared" si="8"/>
        <v>INCLUDED</v>
      </c>
      <c r="Q155" s="509">
        <f t="shared" si="9"/>
        <v>0</v>
      </c>
      <c r="R155" s="447">
        <f t="shared" si="16"/>
        <v>0</v>
      </c>
      <c r="S155" s="630">
        <f>Discount!$J$36</f>
        <v>0</v>
      </c>
      <c r="T155" s="447">
        <f t="shared" si="17"/>
        <v>0</v>
      </c>
      <c r="U155" s="448">
        <f t="shared" si="12"/>
        <v>0</v>
      </c>
      <c r="V155" s="740">
        <f t="shared" si="13"/>
        <v>0</v>
      </c>
      <c r="W155" s="259"/>
      <c r="X155" s="259"/>
      <c r="Y155" s="259"/>
      <c r="Z155" s="259"/>
      <c r="AA155" s="259"/>
    </row>
    <row r="156" spans="1:27" ht="31.2">
      <c r="A156" s="734">
        <v>139</v>
      </c>
      <c r="B156" s="538">
        <v>7000016865</v>
      </c>
      <c r="C156" s="538">
        <v>1920</v>
      </c>
      <c r="D156" s="553">
        <v>120</v>
      </c>
      <c r="E156" s="553">
        <v>1040</v>
      </c>
      <c r="F156" s="553" t="s">
        <v>649</v>
      </c>
      <c r="G156" s="553">
        <v>100001257</v>
      </c>
      <c r="H156" s="553">
        <v>995433</v>
      </c>
      <c r="I156" s="554"/>
      <c r="J156" s="553">
        <v>18</v>
      </c>
      <c r="K156" s="552"/>
      <c r="L156" s="551" t="s">
        <v>518</v>
      </c>
      <c r="M156" s="744" t="s">
        <v>498</v>
      </c>
      <c r="N156" s="744">
        <v>500</v>
      </c>
      <c r="O156" s="539"/>
      <c r="P156" s="550" t="str">
        <f t="shared" si="8"/>
        <v>INCLUDED</v>
      </c>
      <c r="Q156" s="509">
        <f t="shared" si="9"/>
        <v>0</v>
      </c>
      <c r="R156" s="447">
        <f t="shared" si="16"/>
        <v>0</v>
      </c>
      <c r="S156" s="630">
        <f>Discount!$J$36</f>
        <v>0</v>
      </c>
      <c r="T156" s="447">
        <f t="shared" si="17"/>
        <v>0</v>
      </c>
      <c r="U156" s="448">
        <f t="shared" si="12"/>
        <v>0</v>
      </c>
      <c r="V156" s="740">
        <f t="shared" si="13"/>
        <v>0</v>
      </c>
      <c r="W156" s="259"/>
      <c r="X156" s="259"/>
      <c r="Y156" s="259"/>
      <c r="Z156" s="259"/>
      <c r="AA156" s="259"/>
    </row>
    <row r="157" spans="1:27" ht="31.2">
      <c r="A157" s="734">
        <v>140</v>
      </c>
      <c r="B157" s="538">
        <v>7000016865</v>
      </c>
      <c r="C157" s="538">
        <v>1920</v>
      </c>
      <c r="D157" s="553">
        <v>120</v>
      </c>
      <c r="E157" s="553">
        <v>1050</v>
      </c>
      <c r="F157" s="553" t="s">
        <v>649</v>
      </c>
      <c r="G157" s="553">
        <v>100001258</v>
      </c>
      <c r="H157" s="553">
        <v>995433</v>
      </c>
      <c r="I157" s="554"/>
      <c r="J157" s="553">
        <v>18</v>
      </c>
      <c r="K157" s="552"/>
      <c r="L157" s="551" t="s">
        <v>718</v>
      </c>
      <c r="M157" s="744" t="s">
        <v>498</v>
      </c>
      <c r="N157" s="744">
        <v>144</v>
      </c>
      <c r="O157" s="539"/>
      <c r="P157" s="550" t="str">
        <f t="shared" si="8"/>
        <v>INCLUDED</v>
      </c>
      <c r="Q157" s="509">
        <f t="shared" si="9"/>
        <v>0</v>
      </c>
      <c r="R157" s="447">
        <f t="shared" si="16"/>
        <v>0</v>
      </c>
      <c r="S157" s="630">
        <f>Discount!$J$36</f>
        <v>0</v>
      </c>
      <c r="T157" s="447">
        <f t="shared" si="17"/>
        <v>0</v>
      </c>
      <c r="U157" s="448">
        <f t="shared" si="12"/>
        <v>0</v>
      </c>
      <c r="V157" s="740">
        <f t="shared" si="13"/>
        <v>0</v>
      </c>
      <c r="W157" s="259"/>
      <c r="X157" s="259"/>
      <c r="Y157" s="259"/>
      <c r="Z157" s="259"/>
      <c r="AA157" s="259"/>
    </row>
    <row r="158" spans="1:27" ht="31.2">
      <c r="A158" s="734">
        <v>141</v>
      </c>
      <c r="B158" s="538">
        <v>7000016865</v>
      </c>
      <c r="C158" s="538">
        <v>1920</v>
      </c>
      <c r="D158" s="553">
        <v>120</v>
      </c>
      <c r="E158" s="553">
        <v>1060</v>
      </c>
      <c r="F158" s="553" t="s">
        <v>649</v>
      </c>
      <c r="G158" s="553">
        <v>100013029</v>
      </c>
      <c r="H158" s="553">
        <v>995454</v>
      </c>
      <c r="I158" s="554"/>
      <c r="J158" s="553">
        <v>18</v>
      </c>
      <c r="K158" s="552"/>
      <c r="L158" s="551" t="s">
        <v>714</v>
      </c>
      <c r="M158" s="744" t="s">
        <v>498</v>
      </c>
      <c r="N158" s="744">
        <v>139</v>
      </c>
      <c r="O158" s="539"/>
      <c r="P158" s="550" t="str">
        <f t="shared" si="8"/>
        <v>INCLUDED</v>
      </c>
      <c r="Q158" s="509">
        <f t="shared" si="9"/>
        <v>0</v>
      </c>
      <c r="R158" s="447">
        <f t="shared" si="16"/>
        <v>0</v>
      </c>
      <c r="S158" s="630">
        <f>Discount!$J$36</f>
        <v>0</v>
      </c>
      <c r="T158" s="447">
        <f t="shared" si="17"/>
        <v>0</v>
      </c>
      <c r="U158" s="448">
        <f t="shared" si="12"/>
        <v>0</v>
      </c>
      <c r="V158" s="740">
        <f t="shared" si="13"/>
        <v>0</v>
      </c>
      <c r="W158" s="259"/>
      <c r="X158" s="259"/>
      <c r="Y158" s="259"/>
      <c r="Z158" s="259"/>
      <c r="AA158" s="259"/>
    </row>
    <row r="159" spans="1:27" ht="31.2">
      <c r="A159" s="734">
        <v>142</v>
      </c>
      <c r="B159" s="538">
        <v>7000016865</v>
      </c>
      <c r="C159" s="538">
        <v>1920</v>
      </c>
      <c r="D159" s="553">
        <v>120</v>
      </c>
      <c r="E159" s="553">
        <v>1070</v>
      </c>
      <c r="F159" s="553" t="s">
        <v>649</v>
      </c>
      <c r="G159" s="553">
        <v>100016698</v>
      </c>
      <c r="H159" s="553">
        <v>995451</v>
      </c>
      <c r="I159" s="554"/>
      <c r="J159" s="553">
        <v>18</v>
      </c>
      <c r="K159" s="552"/>
      <c r="L159" s="551" t="s">
        <v>715</v>
      </c>
      <c r="M159" s="744" t="s">
        <v>498</v>
      </c>
      <c r="N159" s="744">
        <v>13</v>
      </c>
      <c r="O159" s="539"/>
      <c r="P159" s="550" t="str">
        <f t="shared" si="0"/>
        <v>INCLUDED</v>
      </c>
      <c r="Q159" s="509">
        <f t="shared" si="1"/>
        <v>0</v>
      </c>
      <c r="R159" s="447">
        <f t="shared" si="2"/>
        <v>0</v>
      </c>
      <c r="S159" s="630">
        <f>Discount!$J$36</f>
        <v>0</v>
      </c>
      <c r="T159" s="447">
        <f t="shared" si="3"/>
        <v>0</v>
      </c>
      <c r="U159" s="448">
        <f t="shared" si="4"/>
        <v>0</v>
      </c>
      <c r="V159" s="740">
        <f t="shared" si="5"/>
        <v>0</v>
      </c>
      <c r="W159" s="259"/>
      <c r="X159" s="259"/>
      <c r="Y159" s="259"/>
      <c r="Z159" s="259"/>
      <c r="AA159" s="259"/>
    </row>
    <row r="160" spans="1:27" ht="31.2">
      <c r="A160" s="734">
        <v>143</v>
      </c>
      <c r="B160" s="538">
        <v>7000016865</v>
      </c>
      <c r="C160" s="538">
        <v>1920</v>
      </c>
      <c r="D160" s="553">
        <v>120</v>
      </c>
      <c r="E160" s="553">
        <v>1080</v>
      </c>
      <c r="F160" s="553" t="s">
        <v>649</v>
      </c>
      <c r="G160" s="553">
        <v>100002892</v>
      </c>
      <c r="H160" s="553">
        <v>995454</v>
      </c>
      <c r="I160" s="554"/>
      <c r="J160" s="553">
        <v>18</v>
      </c>
      <c r="K160" s="552"/>
      <c r="L160" s="551" t="s">
        <v>716</v>
      </c>
      <c r="M160" s="744" t="s">
        <v>514</v>
      </c>
      <c r="N160" s="744">
        <v>10</v>
      </c>
      <c r="O160" s="539"/>
      <c r="P160" s="550" t="str">
        <f t="shared" si="0"/>
        <v>INCLUDED</v>
      </c>
      <c r="Q160" s="509">
        <f t="shared" si="1"/>
        <v>0</v>
      </c>
      <c r="R160" s="447">
        <f t="shared" si="2"/>
        <v>0</v>
      </c>
      <c r="S160" s="630">
        <f>Discount!$J$36</f>
        <v>0</v>
      </c>
      <c r="T160" s="447">
        <f t="shared" si="3"/>
        <v>0</v>
      </c>
      <c r="U160" s="448">
        <f t="shared" si="4"/>
        <v>0</v>
      </c>
      <c r="V160" s="740">
        <f t="shared" si="5"/>
        <v>0</v>
      </c>
      <c r="W160" s="259"/>
      <c r="X160" s="259"/>
      <c r="Y160" s="259"/>
      <c r="Z160" s="259"/>
      <c r="AA160" s="259"/>
    </row>
    <row r="161" spans="1:27" ht="31.2">
      <c r="A161" s="734">
        <v>144</v>
      </c>
      <c r="B161" s="538">
        <v>7000016865</v>
      </c>
      <c r="C161" s="538">
        <v>1920</v>
      </c>
      <c r="D161" s="553">
        <v>120</v>
      </c>
      <c r="E161" s="553">
        <v>1090</v>
      </c>
      <c r="F161" s="553" t="s">
        <v>649</v>
      </c>
      <c r="G161" s="553">
        <v>100001263</v>
      </c>
      <c r="H161" s="553">
        <v>995455</v>
      </c>
      <c r="I161" s="554"/>
      <c r="J161" s="553">
        <v>18</v>
      </c>
      <c r="K161" s="552"/>
      <c r="L161" s="551" t="s">
        <v>527</v>
      </c>
      <c r="M161" s="744" t="s">
        <v>514</v>
      </c>
      <c r="N161" s="744">
        <v>3.2</v>
      </c>
      <c r="O161" s="539"/>
      <c r="P161" s="550" t="str">
        <f t="shared" si="0"/>
        <v>INCLUDED</v>
      </c>
      <c r="Q161" s="509">
        <f t="shared" si="1"/>
        <v>0</v>
      </c>
      <c r="R161" s="447">
        <f t="shared" si="2"/>
        <v>0</v>
      </c>
      <c r="S161" s="630">
        <f>Discount!$J$36</f>
        <v>0</v>
      </c>
      <c r="T161" s="447">
        <f t="shared" si="3"/>
        <v>0</v>
      </c>
      <c r="U161" s="448">
        <f t="shared" si="4"/>
        <v>0</v>
      </c>
      <c r="V161" s="740">
        <f t="shared" si="5"/>
        <v>0</v>
      </c>
      <c r="W161" s="259"/>
      <c r="X161" s="259"/>
      <c r="Y161" s="259"/>
      <c r="Z161" s="259"/>
      <c r="AA161" s="259"/>
    </row>
    <row r="162" spans="1:27" ht="62.4">
      <c r="A162" s="734">
        <v>145</v>
      </c>
      <c r="B162" s="538">
        <v>7000016865</v>
      </c>
      <c r="C162" s="538">
        <v>2260</v>
      </c>
      <c r="D162" s="553">
        <v>125</v>
      </c>
      <c r="E162" s="553">
        <v>10</v>
      </c>
      <c r="F162" s="553" t="s">
        <v>650</v>
      </c>
      <c r="G162" s="553">
        <v>100025431</v>
      </c>
      <c r="H162" s="553">
        <v>995451</v>
      </c>
      <c r="I162" s="554"/>
      <c r="J162" s="553">
        <v>18</v>
      </c>
      <c r="K162" s="552"/>
      <c r="L162" s="551" t="s">
        <v>754</v>
      </c>
      <c r="M162" s="744" t="s">
        <v>476</v>
      </c>
      <c r="N162" s="744">
        <v>1</v>
      </c>
      <c r="O162" s="539"/>
      <c r="P162" s="550" t="str">
        <f t="shared" si="0"/>
        <v>INCLUDED</v>
      </c>
      <c r="Q162" s="509">
        <f t="shared" si="1"/>
        <v>0</v>
      </c>
      <c r="R162" s="447">
        <f t="shared" si="2"/>
        <v>0</v>
      </c>
      <c r="S162" s="630">
        <f>Discount!$J$36</f>
        <v>0</v>
      </c>
      <c r="T162" s="447">
        <f t="shared" si="3"/>
        <v>0</v>
      </c>
      <c r="U162" s="448">
        <f t="shared" si="4"/>
        <v>0</v>
      </c>
      <c r="V162" s="740">
        <f t="shared" si="5"/>
        <v>0</v>
      </c>
      <c r="W162" s="259"/>
      <c r="X162" s="259"/>
      <c r="Y162" s="259"/>
      <c r="Z162" s="259"/>
      <c r="AA162" s="259"/>
    </row>
    <row r="163" spans="1:27" ht="62.4">
      <c r="A163" s="734">
        <v>146</v>
      </c>
      <c r="B163" s="538">
        <v>7000016865</v>
      </c>
      <c r="C163" s="538">
        <v>2260</v>
      </c>
      <c r="D163" s="553">
        <v>125</v>
      </c>
      <c r="E163" s="553">
        <v>20</v>
      </c>
      <c r="F163" s="553" t="s">
        <v>650</v>
      </c>
      <c r="G163" s="553">
        <v>100025435</v>
      </c>
      <c r="H163" s="553">
        <v>995451</v>
      </c>
      <c r="I163" s="554"/>
      <c r="J163" s="553">
        <v>18</v>
      </c>
      <c r="K163" s="552"/>
      <c r="L163" s="551" t="s">
        <v>755</v>
      </c>
      <c r="M163" s="744" t="s">
        <v>476</v>
      </c>
      <c r="N163" s="744">
        <v>3</v>
      </c>
      <c r="O163" s="539"/>
      <c r="P163" s="550" t="str">
        <f t="shared" si="0"/>
        <v>INCLUDED</v>
      </c>
      <c r="Q163" s="509">
        <f t="shared" si="1"/>
        <v>0</v>
      </c>
      <c r="R163" s="447">
        <f t="shared" si="2"/>
        <v>0</v>
      </c>
      <c r="S163" s="630">
        <f>Discount!$J$36</f>
        <v>0</v>
      </c>
      <c r="T163" s="447">
        <f t="shared" si="3"/>
        <v>0</v>
      </c>
      <c r="U163" s="448">
        <f t="shared" si="4"/>
        <v>0</v>
      </c>
      <c r="V163" s="740">
        <f t="shared" si="5"/>
        <v>0</v>
      </c>
      <c r="W163" s="259"/>
      <c r="X163" s="259"/>
      <c r="Y163" s="259"/>
      <c r="Z163" s="259"/>
      <c r="AA163" s="259"/>
    </row>
    <row r="164" spans="1:27" ht="62.4">
      <c r="A164" s="734">
        <v>147</v>
      </c>
      <c r="B164" s="538">
        <v>7000016865</v>
      </c>
      <c r="C164" s="538">
        <v>2260</v>
      </c>
      <c r="D164" s="553">
        <v>125</v>
      </c>
      <c r="E164" s="553">
        <v>30</v>
      </c>
      <c r="F164" s="553" t="s">
        <v>650</v>
      </c>
      <c r="G164" s="553">
        <v>100025436</v>
      </c>
      <c r="H164" s="553">
        <v>995451</v>
      </c>
      <c r="I164" s="554"/>
      <c r="J164" s="553">
        <v>18</v>
      </c>
      <c r="K164" s="552"/>
      <c r="L164" s="551" t="s">
        <v>756</v>
      </c>
      <c r="M164" s="744" t="s">
        <v>476</v>
      </c>
      <c r="N164" s="744">
        <v>7</v>
      </c>
      <c r="O164" s="539"/>
      <c r="P164" s="550" t="str">
        <f t="shared" si="0"/>
        <v>INCLUDED</v>
      </c>
      <c r="Q164" s="509">
        <f t="shared" si="1"/>
        <v>0</v>
      </c>
      <c r="R164" s="447">
        <f t="shared" si="2"/>
        <v>0</v>
      </c>
      <c r="S164" s="630">
        <f>Discount!$J$36</f>
        <v>0</v>
      </c>
      <c r="T164" s="447">
        <f t="shared" si="3"/>
        <v>0</v>
      </c>
      <c r="U164" s="448">
        <f t="shared" si="4"/>
        <v>0</v>
      </c>
      <c r="V164" s="740">
        <f t="shared" si="5"/>
        <v>0</v>
      </c>
      <c r="W164" s="259"/>
      <c r="X164" s="259"/>
      <c r="Y164" s="259"/>
      <c r="Z164" s="259"/>
      <c r="AA164" s="259"/>
    </row>
    <row r="165" spans="1:27" ht="62.4">
      <c r="A165" s="734">
        <v>148</v>
      </c>
      <c r="B165" s="538">
        <v>7000016865</v>
      </c>
      <c r="C165" s="538">
        <v>2260</v>
      </c>
      <c r="D165" s="553">
        <v>125</v>
      </c>
      <c r="E165" s="553">
        <v>40</v>
      </c>
      <c r="F165" s="553" t="s">
        <v>650</v>
      </c>
      <c r="G165" s="553">
        <v>100025437</v>
      </c>
      <c r="H165" s="553">
        <v>995451</v>
      </c>
      <c r="I165" s="554"/>
      <c r="J165" s="553">
        <v>18</v>
      </c>
      <c r="K165" s="552"/>
      <c r="L165" s="551" t="s">
        <v>757</v>
      </c>
      <c r="M165" s="744" t="s">
        <v>476</v>
      </c>
      <c r="N165" s="744">
        <v>9</v>
      </c>
      <c r="O165" s="539"/>
      <c r="P165" s="550" t="str">
        <f t="shared" si="0"/>
        <v>INCLUDED</v>
      </c>
      <c r="Q165" s="509">
        <f t="shared" si="1"/>
        <v>0</v>
      </c>
      <c r="R165" s="447">
        <f t="shared" si="2"/>
        <v>0</v>
      </c>
      <c r="S165" s="630">
        <f>Discount!$J$36</f>
        <v>0</v>
      </c>
      <c r="T165" s="447">
        <f t="shared" si="3"/>
        <v>0</v>
      </c>
      <c r="U165" s="448">
        <f t="shared" si="4"/>
        <v>0</v>
      </c>
      <c r="V165" s="740">
        <f t="shared" si="5"/>
        <v>0</v>
      </c>
      <c r="W165" s="259"/>
      <c r="X165" s="259"/>
      <c r="Y165" s="259"/>
      <c r="Z165" s="259"/>
      <c r="AA165" s="259"/>
    </row>
    <row r="166" spans="1:27" ht="46.8">
      <c r="A166" s="734">
        <v>149</v>
      </c>
      <c r="B166" s="538">
        <v>7000016865</v>
      </c>
      <c r="C166" s="538">
        <v>2260</v>
      </c>
      <c r="D166" s="553">
        <v>125</v>
      </c>
      <c r="E166" s="553">
        <v>50</v>
      </c>
      <c r="F166" s="553" t="s">
        <v>650</v>
      </c>
      <c r="G166" s="553">
        <v>100024738</v>
      </c>
      <c r="H166" s="553">
        <v>998335</v>
      </c>
      <c r="I166" s="554"/>
      <c r="J166" s="553">
        <v>18</v>
      </c>
      <c r="K166" s="552"/>
      <c r="L166" s="551" t="s">
        <v>728</v>
      </c>
      <c r="M166" s="744" t="s">
        <v>476</v>
      </c>
      <c r="N166" s="744">
        <v>1</v>
      </c>
      <c r="O166" s="539"/>
      <c r="P166" s="550" t="str">
        <f t="shared" si="0"/>
        <v>INCLUDED</v>
      </c>
      <c r="Q166" s="509">
        <f t="shared" si="1"/>
        <v>0</v>
      </c>
      <c r="R166" s="447">
        <f t="shared" si="2"/>
        <v>0</v>
      </c>
      <c r="S166" s="630">
        <f>Discount!$J$36</f>
        <v>0</v>
      </c>
      <c r="T166" s="447">
        <f t="shared" si="3"/>
        <v>0</v>
      </c>
      <c r="U166" s="448">
        <f t="shared" si="4"/>
        <v>0</v>
      </c>
      <c r="V166" s="740">
        <f t="shared" si="5"/>
        <v>0</v>
      </c>
      <c r="W166" s="259"/>
      <c r="X166" s="259"/>
      <c r="Y166" s="259"/>
      <c r="Z166" s="259"/>
      <c r="AA166" s="259"/>
    </row>
    <row r="167" spans="1:27" ht="46.8">
      <c r="A167" s="734">
        <v>150</v>
      </c>
      <c r="B167" s="538">
        <v>7000016865</v>
      </c>
      <c r="C167" s="538">
        <v>2260</v>
      </c>
      <c r="D167" s="553">
        <v>125</v>
      </c>
      <c r="E167" s="553">
        <v>60</v>
      </c>
      <c r="F167" s="553" t="s">
        <v>650</v>
      </c>
      <c r="G167" s="553">
        <v>100025453</v>
      </c>
      <c r="H167" s="553">
        <v>995451</v>
      </c>
      <c r="I167" s="554"/>
      <c r="J167" s="553">
        <v>18</v>
      </c>
      <c r="K167" s="552"/>
      <c r="L167" s="551" t="s">
        <v>758</v>
      </c>
      <c r="M167" s="744" t="s">
        <v>476</v>
      </c>
      <c r="N167" s="744">
        <v>1</v>
      </c>
      <c r="O167" s="539"/>
      <c r="P167" s="550" t="str">
        <f t="shared" si="0"/>
        <v>INCLUDED</v>
      </c>
      <c r="Q167" s="509">
        <f t="shared" si="1"/>
        <v>0</v>
      </c>
      <c r="R167" s="447">
        <f t="shared" si="2"/>
        <v>0</v>
      </c>
      <c r="S167" s="630">
        <f>Discount!$J$36</f>
        <v>0</v>
      </c>
      <c r="T167" s="447">
        <f t="shared" si="3"/>
        <v>0</v>
      </c>
      <c r="U167" s="448">
        <f t="shared" si="4"/>
        <v>0</v>
      </c>
      <c r="V167" s="740">
        <f t="shared" si="5"/>
        <v>0</v>
      </c>
      <c r="W167" s="259"/>
      <c r="X167" s="259"/>
      <c r="Y167" s="259"/>
      <c r="Z167" s="259"/>
      <c r="AA167" s="259"/>
    </row>
    <row r="168" spans="1:27" ht="62.4">
      <c r="A168" s="734">
        <v>151</v>
      </c>
      <c r="B168" s="538">
        <v>7000016865</v>
      </c>
      <c r="C168" s="538">
        <v>2260</v>
      </c>
      <c r="D168" s="553">
        <v>125</v>
      </c>
      <c r="E168" s="553">
        <v>70</v>
      </c>
      <c r="F168" s="553" t="s">
        <v>650</v>
      </c>
      <c r="G168" s="553">
        <v>100025469</v>
      </c>
      <c r="H168" s="553">
        <v>995451</v>
      </c>
      <c r="I168" s="554"/>
      <c r="J168" s="553">
        <v>18</v>
      </c>
      <c r="K168" s="552"/>
      <c r="L168" s="551" t="s">
        <v>759</v>
      </c>
      <c r="M168" s="744" t="s">
        <v>476</v>
      </c>
      <c r="N168" s="744">
        <v>1</v>
      </c>
      <c r="O168" s="539"/>
      <c r="P168" s="550" t="str">
        <f t="shared" si="0"/>
        <v>INCLUDED</v>
      </c>
      <c r="Q168" s="509">
        <f t="shared" si="1"/>
        <v>0</v>
      </c>
      <c r="R168" s="447">
        <f t="shared" si="2"/>
        <v>0</v>
      </c>
      <c r="S168" s="630">
        <f>Discount!$J$36</f>
        <v>0</v>
      </c>
      <c r="T168" s="447">
        <f t="shared" si="3"/>
        <v>0</v>
      </c>
      <c r="U168" s="448">
        <f t="shared" si="4"/>
        <v>0</v>
      </c>
      <c r="V168" s="740">
        <f t="shared" si="5"/>
        <v>0</v>
      </c>
      <c r="W168" s="259"/>
      <c r="X168" s="259"/>
      <c r="Y168" s="259"/>
      <c r="Z168" s="259"/>
      <c r="AA168" s="259"/>
    </row>
    <row r="169" spans="1:27" ht="62.4">
      <c r="A169" s="734">
        <v>152</v>
      </c>
      <c r="B169" s="538">
        <v>7000016865</v>
      </c>
      <c r="C169" s="538">
        <v>2260</v>
      </c>
      <c r="D169" s="553">
        <v>125</v>
      </c>
      <c r="E169" s="553">
        <v>80</v>
      </c>
      <c r="F169" s="553" t="s">
        <v>650</v>
      </c>
      <c r="G169" s="553">
        <v>100025489</v>
      </c>
      <c r="H169" s="553">
        <v>995451</v>
      </c>
      <c r="I169" s="554"/>
      <c r="J169" s="553">
        <v>18</v>
      </c>
      <c r="K169" s="552"/>
      <c r="L169" s="551" t="s">
        <v>760</v>
      </c>
      <c r="M169" s="744" t="s">
        <v>476</v>
      </c>
      <c r="N169" s="744">
        <v>3</v>
      </c>
      <c r="O169" s="539"/>
      <c r="P169" s="550" t="str">
        <f t="shared" si="0"/>
        <v>INCLUDED</v>
      </c>
      <c r="Q169" s="509">
        <f t="shared" si="1"/>
        <v>0</v>
      </c>
      <c r="R169" s="447">
        <f t="shared" si="2"/>
        <v>0</v>
      </c>
      <c r="S169" s="630">
        <f>Discount!$J$36</f>
        <v>0</v>
      </c>
      <c r="T169" s="447">
        <f t="shared" si="3"/>
        <v>0</v>
      </c>
      <c r="U169" s="448">
        <f t="shared" si="4"/>
        <v>0</v>
      </c>
      <c r="V169" s="740">
        <f t="shared" si="5"/>
        <v>0</v>
      </c>
      <c r="W169" s="259"/>
      <c r="X169" s="259"/>
      <c r="Y169" s="259"/>
      <c r="Z169" s="259"/>
      <c r="AA169" s="259"/>
    </row>
    <row r="170" spans="1:27" ht="62.4">
      <c r="A170" s="734">
        <v>153</v>
      </c>
      <c r="B170" s="538">
        <v>7000016865</v>
      </c>
      <c r="C170" s="538">
        <v>2260</v>
      </c>
      <c r="D170" s="553">
        <v>125</v>
      </c>
      <c r="E170" s="553">
        <v>90</v>
      </c>
      <c r="F170" s="553" t="s">
        <v>650</v>
      </c>
      <c r="G170" s="553">
        <v>100025509</v>
      </c>
      <c r="H170" s="553">
        <v>995451</v>
      </c>
      <c r="I170" s="554"/>
      <c r="J170" s="553">
        <v>18</v>
      </c>
      <c r="K170" s="552"/>
      <c r="L170" s="551" t="s">
        <v>761</v>
      </c>
      <c r="M170" s="744" t="s">
        <v>476</v>
      </c>
      <c r="N170" s="744">
        <v>5</v>
      </c>
      <c r="O170" s="539"/>
      <c r="P170" s="550" t="str">
        <f t="shared" si="0"/>
        <v>INCLUDED</v>
      </c>
      <c r="Q170" s="509">
        <f t="shared" si="1"/>
        <v>0</v>
      </c>
      <c r="R170" s="447">
        <f t="shared" si="2"/>
        <v>0</v>
      </c>
      <c r="S170" s="630">
        <f>Discount!$J$36</f>
        <v>0</v>
      </c>
      <c r="T170" s="447">
        <f t="shared" si="3"/>
        <v>0</v>
      </c>
      <c r="U170" s="448">
        <f t="shared" si="4"/>
        <v>0</v>
      </c>
      <c r="V170" s="740">
        <f t="shared" si="5"/>
        <v>0</v>
      </c>
      <c r="W170" s="259"/>
      <c r="X170" s="259"/>
      <c r="Y170" s="259"/>
      <c r="Z170" s="259"/>
      <c r="AA170" s="259"/>
    </row>
    <row r="171" spans="1:27" ht="46.8">
      <c r="A171" s="734">
        <v>154</v>
      </c>
      <c r="B171" s="538">
        <v>7000016865</v>
      </c>
      <c r="C171" s="538">
        <v>2260</v>
      </c>
      <c r="D171" s="553">
        <v>125</v>
      </c>
      <c r="E171" s="553">
        <v>100</v>
      </c>
      <c r="F171" s="553" t="s">
        <v>650</v>
      </c>
      <c r="G171" s="553">
        <v>100025520</v>
      </c>
      <c r="H171" s="553">
        <v>995451</v>
      </c>
      <c r="I171" s="554"/>
      <c r="J171" s="553">
        <v>18</v>
      </c>
      <c r="K171" s="552"/>
      <c r="L171" s="551" t="s">
        <v>762</v>
      </c>
      <c r="M171" s="744" t="s">
        <v>476</v>
      </c>
      <c r="N171" s="744">
        <v>1</v>
      </c>
      <c r="O171" s="539"/>
      <c r="P171" s="550" t="str">
        <f t="shared" si="0"/>
        <v>INCLUDED</v>
      </c>
      <c r="Q171" s="509">
        <f t="shared" si="1"/>
        <v>0</v>
      </c>
      <c r="R171" s="447">
        <f t="shared" si="2"/>
        <v>0</v>
      </c>
      <c r="S171" s="630">
        <f>Discount!$J$36</f>
        <v>0</v>
      </c>
      <c r="T171" s="447">
        <f t="shared" si="3"/>
        <v>0</v>
      </c>
      <c r="U171" s="448">
        <f t="shared" si="4"/>
        <v>0</v>
      </c>
      <c r="V171" s="740">
        <f t="shared" si="5"/>
        <v>0</v>
      </c>
      <c r="W171" s="259"/>
      <c r="X171" s="259"/>
      <c r="Y171" s="259"/>
      <c r="Z171" s="259"/>
      <c r="AA171" s="259"/>
    </row>
    <row r="172" spans="1:27" ht="62.4">
      <c r="A172" s="734">
        <v>155</v>
      </c>
      <c r="B172" s="538">
        <v>7000016865</v>
      </c>
      <c r="C172" s="538">
        <v>2260</v>
      </c>
      <c r="D172" s="553">
        <v>125</v>
      </c>
      <c r="E172" s="553">
        <v>110</v>
      </c>
      <c r="F172" s="553" t="s">
        <v>650</v>
      </c>
      <c r="G172" s="553">
        <v>100025529</v>
      </c>
      <c r="H172" s="553">
        <v>995451</v>
      </c>
      <c r="I172" s="554"/>
      <c r="J172" s="553">
        <v>18</v>
      </c>
      <c r="K172" s="552"/>
      <c r="L172" s="551" t="s">
        <v>763</v>
      </c>
      <c r="M172" s="744" t="s">
        <v>476</v>
      </c>
      <c r="N172" s="744">
        <v>3</v>
      </c>
      <c r="O172" s="539"/>
      <c r="P172" s="550" t="str">
        <f t="shared" si="0"/>
        <v>INCLUDED</v>
      </c>
      <c r="Q172" s="509">
        <f t="shared" si="1"/>
        <v>0</v>
      </c>
      <c r="R172" s="447">
        <f t="shared" si="2"/>
        <v>0</v>
      </c>
      <c r="S172" s="630">
        <f>Discount!$J$36</f>
        <v>0</v>
      </c>
      <c r="T172" s="447">
        <f t="shared" si="3"/>
        <v>0</v>
      </c>
      <c r="U172" s="448">
        <f t="shared" si="4"/>
        <v>0</v>
      </c>
      <c r="V172" s="740">
        <f t="shared" si="5"/>
        <v>0</v>
      </c>
      <c r="W172" s="259"/>
      <c r="X172" s="259"/>
      <c r="Y172" s="259"/>
      <c r="Z172" s="259"/>
      <c r="AA172" s="259"/>
    </row>
    <row r="173" spans="1:27" ht="46.8">
      <c r="A173" s="734">
        <v>156</v>
      </c>
      <c r="B173" s="538">
        <v>7000016865</v>
      </c>
      <c r="C173" s="538">
        <v>2260</v>
      </c>
      <c r="D173" s="553">
        <v>125</v>
      </c>
      <c r="E173" s="553">
        <v>120</v>
      </c>
      <c r="F173" s="553" t="s">
        <v>650</v>
      </c>
      <c r="G173" s="553">
        <v>100025534</v>
      </c>
      <c r="H173" s="553">
        <v>995451</v>
      </c>
      <c r="I173" s="554"/>
      <c r="J173" s="553">
        <v>18</v>
      </c>
      <c r="K173" s="552"/>
      <c r="L173" s="551" t="s">
        <v>764</v>
      </c>
      <c r="M173" s="744" t="s">
        <v>476</v>
      </c>
      <c r="N173" s="744">
        <v>1</v>
      </c>
      <c r="O173" s="539"/>
      <c r="P173" s="550" t="str">
        <f t="shared" si="0"/>
        <v>INCLUDED</v>
      </c>
      <c r="Q173" s="509">
        <f t="shared" si="1"/>
        <v>0</v>
      </c>
      <c r="R173" s="447">
        <f t="shared" si="2"/>
        <v>0</v>
      </c>
      <c r="S173" s="630">
        <f>Discount!$J$36</f>
        <v>0</v>
      </c>
      <c r="T173" s="447">
        <f t="shared" si="3"/>
        <v>0</v>
      </c>
      <c r="U173" s="448">
        <f t="shared" si="4"/>
        <v>0</v>
      </c>
      <c r="V173" s="740">
        <f t="shared" si="5"/>
        <v>0</v>
      </c>
      <c r="W173" s="259"/>
      <c r="X173" s="259"/>
      <c r="Y173" s="259"/>
      <c r="Z173" s="259"/>
      <c r="AA173" s="259"/>
    </row>
    <row r="174" spans="1:27" ht="46.8">
      <c r="A174" s="734">
        <v>157</v>
      </c>
      <c r="B174" s="538">
        <v>7000016865</v>
      </c>
      <c r="C174" s="538">
        <v>2260</v>
      </c>
      <c r="D174" s="553">
        <v>125</v>
      </c>
      <c r="E174" s="553">
        <v>130</v>
      </c>
      <c r="F174" s="553" t="s">
        <v>650</v>
      </c>
      <c r="G174" s="553">
        <v>100025539</v>
      </c>
      <c r="H174" s="553">
        <v>995451</v>
      </c>
      <c r="I174" s="554"/>
      <c r="J174" s="553">
        <v>18</v>
      </c>
      <c r="K174" s="552"/>
      <c r="L174" s="551" t="s">
        <v>765</v>
      </c>
      <c r="M174" s="744" t="s">
        <v>476</v>
      </c>
      <c r="N174" s="744">
        <v>1</v>
      </c>
      <c r="O174" s="539"/>
      <c r="P174" s="550" t="str">
        <f t="shared" si="0"/>
        <v>INCLUDED</v>
      </c>
      <c r="Q174" s="509">
        <f t="shared" si="1"/>
        <v>0</v>
      </c>
      <c r="R174" s="447">
        <f t="shared" si="2"/>
        <v>0</v>
      </c>
      <c r="S174" s="630">
        <f>Discount!$J$36</f>
        <v>0</v>
      </c>
      <c r="T174" s="447">
        <f t="shared" si="3"/>
        <v>0</v>
      </c>
      <c r="U174" s="448">
        <f t="shared" si="4"/>
        <v>0</v>
      </c>
      <c r="V174" s="740">
        <f t="shared" si="5"/>
        <v>0</v>
      </c>
      <c r="W174" s="259"/>
      <c r="X174" s="259"/>
      <c r="Y174" s="259"/>
      <c r="Z174" s="259"/>
      <c r="AA174" s="259"/>
    </row>
    <row r="175" spans="1:27" ht="62.4">
      <c r="A175" s="734">
        <v>158</v>
      </c>
      <c r="B175" s="538">
        <v>7000016865</v>
      </c>
      <c r="C175" s="538">
        <v>2260</v>
      </c>
      <c r="D175" s="553">
        <v>125</v>
      </c>
      <c r="E175" s="553">
        <v>140</v>
      </c>
      <c r="F175" s="553" t="s">
        <v>650</v>
      </c>
      <c r="G175" s="553">
        <v>100025554</v>
      </c>
      <c r="H175" s="553">
        <v>995451</v>
      </c>
      <c r="I175" s="554"/>
      <c r="J175" s="553">
        <v>18</v>
      </c>
      <c r="K175" s="552"/>
      <c r="L175" s="551" t="s">
        <v>766</v>
      </c>
      <c r="M175" s="744" t="s">
        <v>476</v>
      </c>
      <c r="N175" s="744">
        <v>5</v>
      </c>
      <c r="O175" s="539"/>
      <c r="P175" s="550" t="str">
        <f t="shared" si="0"/>
        <v>INCLUDED</v>
      </c>
      <c r="Q175" s="509">
        <f t="shared" si="1"/>
        <v>0</v>
      </c>
      <c r="R175" s="447">
        <f t="shared" si="2"/>
        <v>0</v>
      </c>
      <c r="S175" s="630">
        <f>Discount!$J$36</f>
        <v>0</v>
      </c>
      <c r="T175" s="447">
        <f t="shared" si="3"/>
        <v>0</v>
      </c>
      <c r="U175" s="448">
        <f t="shared" si="4"/>
        <v>0</v>
      </c>
      <c r="V175" s="740">
        <f t="shared" si="5"/>
        <v>0</v>
      </c>
      <c r="W175" s="259"/>
      <c r="X175" s="259"/>
      <c r="Y175" s="259"/>
      <c r="Z175" s="259"/>
      <c r="AA175" s="259"/>
    </row>
    <row r="176" spans="1:27" ht="62.4">
      <c r="A176" s="734">
        <v>159</v>
      </c>
      <c r="B176" s="538">
        <v>7000016865</v>
      </c>
      <c r="C176" s="538">
        <v>2260</v>
      </c>
      <c r="D176" s="553">
        <v>125</v>
      </c>
      <c r="E176" s="553">
        <v>150</v>
      </c>
      <c r="F176" s="553" t="s">
        <v>650</v>
      </c>
      <c r="G176" s="553">
        <v>100025555</v>
      </c>
      <c r="H176" s="553">
        <v>995451</v>
      </c>
      <c r="I176" s="554"/>
      <c r="J176" s="553">
        <v>18</v>
      </c>
      <c r="K176" s="552"/>
      <c r="L176" s="551" t="s">
        <v>767</v>
      </c>
      <c r="M176" s="744" t="s">
        <v>476</v>
      </c>
      <c r="N176" s="744">
        <v>2</v>
      </c>
      <c r="O176" s="539"/>
      <c r="P176" s="550" t="str">
        <f t="shared" si="0"/>
        <v>INCLUDED</v>
      </c>
      <c r="Q176" s="509">
        <f t="shared" si="1"/>
        <v>0</v>
      </c>
      <c r="R176" s="447">
        <f t="shared" si="2"/>
        <v>0</v>
      </c>
      <c r="S176" s="630">
        <f>Discount!$J$36</f>
        <v>0</v>
      </c>
      <c r="T176" s="447">
        <f t="shared" si="3"/>
        <v>0</v>
      </c>
      <c r="U176" s="448">
        <f t="shared" si="4"/>
        <v>0</v>
      </c>
      <c r="V176" s="740">
        <f t="shared" si="5"/>
        <v>0</v>
      </c>
      <c r="W176" s="259"/>
      <c r="X176" s="259"/>
      <c r="Y176" s="259"/>
      <c r="Z176" s="259"/>
      <c r="AA176" s="259"/>
    </row>
    <row r="177" spans="1:27" ht="46.8">
      <c r="A177" s="734">
        <v>160</v>
      </c>
      <c r="B177" s="538">
        <v>7000016865</v>
      </c>
      <c r="C177" s="538">
        <v>2260</v>
      </c>
      <c r="D177" s="553">
        <v>125</v>
      </c>
      <c r="E177" s="553">
        <v>160</v>
      </c>
      <c r="F177" s="553" t="s">
        <v>650</v>
      </c>
      <c r="G177" s="553">
        <v>100025559</v>
      </c>
      <c r="H177" s="553">
        <v>995451</v>
      </c>
      <c r="I177" s="554"/>
      <c r="J177" s="553">
        <v>18</v>
      </c>
      <c r="K177" s="552"/>
      <c r="L177" s="551" t="s">
        <v>768</v>
      </c>
      <c r="M177" s="744" t="s">
        <v>476</v>
      </c>
      <c r="N177" s="744">
        <v>1</v>
      </c>
      <c r="O177" s="539"/>
      <c r="P177" s="550" t="str">
        <f t="shared" si="0"/>
        <v>INCLUDED</v>
      </c>
      <c r="Q177" s="509">
        <f t="shared" si="1"/>
        <v>0</v>
      </c>
      <c r="R177" s="447">
        <f t="shared" si="2"/>
        <v>0</v>
      </c>
      <c r="S177" s="630">
        <f>Discount!$J$36</f>
        <v>0</v>
      </c>
      <c r="T177" s="447">
        <f t="shared" si="3"/>
        <v>0</v>
      </c>
      <c r="U177" s="448">
        <f t="shared" si="4"/>
        <v>0</v>
      </c>
      <c r="V177" s="740">
        <f t="shared" si="5"/>
        <v>0</v>
      </c>
      <c r="W177" s="259"/>
      <c r="X177" s="259"/>
      <c r="Y177" s="259"/>
      <c r="Z177" s="259"/>
      <c r="AA177" s="259"/>
    </row>
    <row r="178" spans="1:27" ht="46.8">
      <c r="A178" s="734">
        <v>161</v>
      </c>
      <c r="B178" s="538">
        <v>7000016865</v>
      </c>
      <c r="C178" s="538">
        <v>2260</v>
      </c>
      <c r="D178" s="553">
        <v>125</v>
      </c>
      <c r="E178" s="553">
        <v>170</v>
      </c>
      <c r="F178" s="553" t="s">
        <v>650</v>
      </c>
      <c r="G178" s="553">
        <v>100025565</v>
      </c>
      <c r="H178" s="553">
        <v>995451</v>
      </c>
      <c r="I178" s="554"/>
      <c r="J178" s="553">
        <v>18</v>
      </c>
      <c r="K178" s="552"/>
      <c r="L178" s="551" t="s">
        <v>769</v>
      </c>
      <c r="M178" s="744" t="s">
        <v>476</v>
      </c>
      <c r="N178" s="744">
        <v>5</v>
      </c>
      <c r="O178" s="539"/>
      <c r="P178" s="550" t="str">
        <f t="shared" ref="P178" si="18">IF(O178=0, "INCLUDED", IF(ISERROR(N178*O178), O178, N178*O178))</f>
        <v>INCLUDED</v>
      </c>
      <c r="Q178" s="509">
        <f t="shared" ref="Q178" si="19">IF(P178="Included",0,P178)</f>
        <v>0</v>
      </c>
      <c r="R178" s="447">
        <f t="shared" ref="R178" si="20">IF( K178="",J178*(IF(P178="Included",0,P178))/100,K178*(IF(P178="Included",0,P178)))</f>
        <v>0</v>
      </c>
      <c r="S178" s="630">
        <f>Discount!$J$36</f>
        <v>0</v>
      </c>
      <c r="T178" s="447">
        <f t="shared" ref="T178" si="21">S178*Q178</f>
        <v>0</v>
      </c>
      <c r="U178" s="448">
        <f t="shared" ref="U178" si="22">IF(K178="",J178*T178/100,K178*T178)</f>
        <v>0</v>
      </c>
      <c r="V178" s="740">
        <f t="shared" ref="V178" si="23">O178*N178</f>
        <v>0</v>
      </c>
      <c r="W178" s="259"/>
      <c r="X178" s="259"/>
      <c r="Y178" s="259"/>
      <c r="Z178" s="259"/>
      <c r="AA178" s="259"/>
    </row>
    <row r="179" spans="1:27" ht="46.8">
      <c r="A179" s="734">
        <v>162</v>
      </c>
      <c r="B179" s="538">
        <v>7000016865</v>
      </c>
      <c r="C179" s="538">
        <v>2260</v>
      </c>
      <c r="D179" s="553">
        <v>125</v>
      </c>
      <c r="E179" s="553">
        <v>180</v>
      </c>
      <c r="F179" s="553" t="s">
        <v>650</v>
      </c>
      <c r="G179" s="553">
        <v>100025570</v>
      </c>
      <c r="H179" s="553">
        <v>995451</v>
      </c>
      <c r="I179" s="554"/>
      <c r="J179" s="553">
        <v>18</v>
      </c>
      <c r="K179" s="552"/>
      <c r="L179" s="551" t="s">
        <v>770</v>
      </c>
      <c r="M179" s="744" t="s">
        <v>476</v>
      </c>
      <c r="N179" s="744">
        <v>2</v>
      </c>
      <c r="O179" s="539"/>
      <c r="P179" s="550" t="str">
        <f t="shared" si="0"/>
        <v>INCLUDED</v>
      </c>
      <c r="Q179" s="509">
        <f t="shared" si="1"/>
        <v>0</v>
      </c>
      <c r="R179" s="447">
        <f>IF( K179="",J179*(IF(P179="Included",0,P179))/100,K179*(IF(P179="Included",0,P179)))</f>
        <v>0</v>
      </c>
      <c r="S179" s="630">
        <f>Discount!$J$36</f>
        <v>0</v>
      </c>
      <c r="T179" s="447">
        <f>S179*Q179</f>
        <v>0</v>
      </c>
      <c r="U179" s="448">
        <f t="shared" ref="U179:U190" si="24">IF(K179="",J179*T179/100,K179*T179)</f>
        <v>0</v>
      </c>
      <c r="V179" s="740">
        <f t="shared" si="5"/>
        <v>0</v>
      </c>
      <c r="W179" s="259"/>
      <c r="X179" s="259"/>
      <c r="Y179" s="259"/>
      <c r="Z179" s="259"/>
      <c r="AA179" s="259"/>
    </row>
    <row r="180" spans="1:27" ht="31.2">
      <c r="A180" s="734">
        <v>163</v>
      </c>
      <c r="B180" s="538">
        <v>7000016865</v>
      </c>
      <c r="C180" s="538">
        <v>2260</v>
      </c>
      <c r="D180" s="553">
        <v>125</v>
      </c>
      <c r="E180" s="553">
        <v>190</v>
      </c>
      <c r="F180" s="553" t="s">
        <v>650</v>
      </c>
      <c r="G180" s="553">
        <v>100024651</v>
      </c>
      <c r="H180" s="553">
        <v>995455</v>
      </c>
      <c r="I180" s="554"/>
      <c r="J180" s="553">
        <v>18</v>
      </c>
      <c r="K180" s="552"/>
      <c r="L180" s="551" t="s">
        <v>747</v>
      </c>
      <c r="M180" s="744" t="s">
        <v>476</v>
      </c>
      <c r="N180" s="744">
        <v>21</v>
      </c>
      <c r="O180" s="720"/>
      <c r="P180" s="550" t="str">
        <f t="shared" ref="P180:P248" si="25">IF(O180=0, "INCLUDED", IF(ISERROR(N180*O180), O180, N180*O180))</f>
        <v>INCLUDED</v>
      </c>
      <c r="Q180" s="509">
        <f t="shared" ref="Q180:Q190" si="26">IF(P180="Included",0,P180)</f>
        <v>0</v>
      </c>
      <c r="R180" s="447">
        <f t="shared" ref="R180:R190" si="27">IF( K180="",J180*(IF(P180="Included",0,P180))/100,K180*(IF(P180="Included",0,P180)))</f>
        <v>0</v>
      </c>
      <c r="S180" s="630">
        <f>Discount!$J$36</f>
        <v>0</v>
      </c>
      <c r="T180" s="447">
        <f t="shared" ref="T180:T190" si="28">S180*Q180</f>
        <v>0</v>
      </c>
      <c r="U180" s="448">
        <f t="shared" si="24"/>
        <v>0</v>
      </c>
      <c r="V180" s="740">
        <f t="shared" si="5"/>
        <v>0</v>
      </c>
      <c r="W180" s="259"/>
      <c r="X180" s="259"/>
      <c r="Y180" s="259"/>
      <c r="Z180" s="259"/>
      <c r="AA180" s="259"/>
    </row>
    <row r="181" spans="1:27" ht="31.2">
      <c r="A181" s="734">
        <v>164</v>
      </c>
      <c r="B181" s="538">
        <v>7000016865</v>
      </c>
      <c r="C181" s="538">
        <v>2260</v>
      </c>
      <c r="D181" s="553">
        <v>125</v>
      </c>
      <c r="E181" s="553">
        <v>200</v>
      </c>
      <c r="F181" s="553" t="s">
        <v>650</v>
      </c>
      <c r="G181" s="553">
        <v>100024652</v>
      </c>
      <c r="H181" s="553">
        <v>995455</v>
      </c>
      <c r="I181" s="554"/>
      <c r="J181" s="553">
        <v>18</v>
      </c>
      <c r="K181" s="552"/>
      <c r="L181" s="551" t="s">
        <v>748</v>
      </c>
      <c r="M181" s="744" t="s">
        <v>476</v>
      </c>
      <c r="N181" s="744">
        <v>1</v>
      </c>
      <c r="O181" s="720"/>
      <c r="P181" s="550" t="str">
        <f t="shared" si="25"/>
        <v>INCLUDED</v>
      </c>
      <c r="Q181" s="509">
        <f t="shared" si="26"/>
        <v>0</v>
      </c>
      <c r="R181" s="447">
        <f t="shared" si="27"/>
        <v>0</v>
      </c>
      <c r="S181" s="630">
        <f>Discount!$J$36</f>
        <v>0</v>
      </c>
      <c r="T181" s="447">
        <f t="shared" si="28"/>
        <v>0</v>
      </c>
      <c r="U181" s="448">
        <f t="shared" si="24"/>
        <v>0</v>
      </c>
      <c r="V181" s="740">
        <f t="shared" si="5"/>
        <v>0</v>
      </c>
      <c r="W181" s="259"/>
      <c r="X181" s="259"/>
      <c r="Y181" s="259"/>
      <c r="Z181" s="259"/>
      <c r="AA181" s="259"/>
    </row>
    <row r="182" spans="1:27" ht="46.8">
      <c r="A182" s="734">
        <v>165</v>
      </c>
      <c r="B182" s="538">
        <v>7000016865</v>
      </c>
      <c r="C182" s="538">
        <v>2260</v>
      </c>
      <c r="D182" s="553">
        <v>125</v>
      </c>
      <c r="E182" s="553">
        <v>210</v>
      </c>
      <c r="F182" s="553" t="s">
        <v>650</v>
      </c>
      <c r="G182" s="553">
        <v>100024653</v>
      </c>
      <c r="H182" s="553">
        <v>995455</v>
      </c>
      <c r="I182" s="554"/>
      <c r="J182" s="553">
        <v>18</v>
      </c>
      <c r="K182" s="552"/>
      <c r="L182" s="551" t="s">
        <v>771</v>
      </c>
      <c r="M182" s="744" t="s">
        <v>476</v>
      </c>
      <c r="N182" s="744">
        <v>1</v>
      </c>
      <c r="O182" s="720"/>
      <c r="P182" s="550" t="str">
        <f t="shared" si="25"/>
        <v>INCLUDED</v>
      </c>
      <c r="Q182" s="509">
        <f t="shared" si="26"/>
        <v>0</v>
      </c>
      <c r="R182" s="447">
        <f t="shared" si="27"/>
        <v>0</v>
      </c>
      <c r="S182" s="630">
        <f>Discount!$J$36</f>
        <v>0</v>
      </c>
      <c r="T182" s="447">
        <f t="shared" si="28"/>
        <v>0</v>
      </c>
      <c r="U182" s="448">
        <f t="shared" si="24"/>
        <v>0</v>
      </c>
      <c r="V182" s="740">
        <f t="shared" si="5"/>
        <v>0</v>
      </c>
      <c r="W182" s="259"/>
      <c r="X182" s="259"/>
      <c r="Y182" s="259"/>
      <c r="Z182" s="259"/>
      <c r="AA182" s="259"/>
    </row>
    <row r="183" spans="1:27" ht="31.2">
      <c r="A183" s="734">
        <v>166</v>
      </c>
      <c r="B183" s="538">
        <v>7000016865</v>
      </c>
      <c r="C183" s="538">
        <v>2260</v>
      </c>
      <c r="D183" s="553">
        <v>125</v>
      </c>
      <c r="E183" s="553">
        <v>220</v>
      </c>
      <c r="F183" s="553" t="s">
        <v>650</v>
      </c>
      <c r="G183" s="553">
        <v>100024655</v>
      </c>
      <c r="H183" s="553">
        <v>995455</v>
      </c>
      <c r="I183" s="554"/>
      <c r="J183" s="553">
        <v>18</v>
      </c>
      <c r="K183" s="552"/>
      <c r="L183" s="551" t="s">
        <v>749</v>
      </c>
      <c r="M183" s="744" t="s">
        <v>476</v>
      </c>
      <c r="N183" s="744">
        <v>8</v>
      </c>
      <c r="O183" s="720"/>
      <c r="P183" s="550" t="str">
        <f t="shared" si="25"/>
        <v>INCLUDED</v>
      </c>
      <c r="Q183" s="509">
        <f t="shared" si="26"/>
        <v>0</v>
      </c>
      <c r="R183" s="447">
        <f t="shared" si="27"/>
        <v>0</v>
      </c>
      <c r="S183" s="630">
        <f>Discount!$J$36</f>
        <v>0</v>
      </c>
      <c r="T183" s="447">
        <f t="shared" si="28"/>
        <v>0</v>
      </c>
      <c r="U183" s="448">
        <f t="shared" si="24"/>
        <v>0</v>
      </c>
      <c r="V183" s="740">
        <f t="shared" si="5"/>
        <v>0</v>
      </c>
      <c r="W183" s="259"/>
      <c r="X183" s="259"/>
      <c r="Y183" s="259"/>
      <c r="Z183" s="259"/>
      <c r="AA183" s="259"/>
    </row>
    <row r="184" spans="1:27" ht="46.8">
      <c r="A184" s="734">
        <v>167</v>
      </c>
      <c r="B184" s="538">
        <v>7000016865</v>
      </c>
      <c r="C184" s="538">
        <v>2260</v>
      </c>
      <c r="D184" s="553">
        <v>125</v>
      </c>
      <c r="E184" s="553">
        <v>230</v>
      </c>
      <c r="F184" s="553" t="s">
        <v>650</v>
      </c>
      <c r="G184" s="553">
        <v>100024657</v>
      </c>
      <c r="H184" s="553">
        <v>995455</v>
      </c>
      <c r="I184" s="554"/>
      <c r="J184" s="553">
        <v>18</v>
      </c>
      <c r="K184" s="552"/>
      <c r="L184" s="551" t="s">
        <v>772</v>
      </c>
      <c r="M184" s="744" t="s">
        <v>476</v>
      </c>
      <c r="N184" s="744">
        <v>1</v>
      </c>
      <c r="O184" s="720"/>
      <c r="P184" s="550" t="str">
        <f t="shared" si="25"/>
        <v>INCLUDED</v>
      </c>
      <c r="Q184" s="509">
        <f t="shared" si="26"/>
        <v>0</v>
      </c>
      <c r="R184" s="447">
        <f t="shared" si="27"/>
        <v>0</v>
      </c>
      <c r="S184" s="630">
        <f>Discount!$J$36</f>
        <v>0</v>
      </c>
      <c r="T184" s="447">
        <f t="shared" si="28"/>
        <v>0</v>
      </c>
      <c r="U184" s="448">
        <f t="shared" si="24"/>
        <v>0</v>
      </c>
      <c r="V184" s="740">
        <f t="shared" si="5"/>
        <v>0</v>
      </c>
      <c r="W184" s="259"/>
      <c r="X184" s="259"/>
      <c r="Y184" s="259"/>
      <c r="Z184" s="259"/>
      <c r="AA184" s="259"/>
    </row>
    <row r="185" spans="1:27" ht="46.8">
      <c r="A185" s="734">
        <v>168</v>
      </c>
      <c r="B185" s="538">
        <v>7000016865</v>
      </c>
      <c r="C185" s="538">
        <v>2260</v>
      </c>
      <c r="D185" s="553">
        <v>125</v>
      </c>
      <c r="E185" s="553">
        <v>240</v>
      </c>
      <c r="F185" s="553" t="s">
        <v>650</v>
      </c>
      <c r="G185" s="553">
        <v>100024658</v>
      </c>
      <c r="H185" s="553">
        <v>995455</v>
      </c>
      <c r="I185" s="554"/>
      <c r="J185" s="553">
        <v>18</v>
      </c>
      <c r="K185" s="552"/>
      <c r="L185" s="551" t="s">
        <v>750</v>
      </c>
      <c r="M185" s="744" t="s">
        <v>476</v>
      </c>
      <c r="N185" s="744">
        <v>3</v>
      </c>
      <c r="O185" s="720"/>
      <c r="P185" s="550" t="str">
        <f t="shared" si="25"/>
        <v>INCLUDED</v>
      </c>
      <c r="Q185" s="509">
        <f t="shared" si="26"/>
        <v>0</v>
      </c>
      <c r="R185" s="447">
        <f t="shared" si="27"/>
        <v>0</v>
      </c>
      <c r="S185" s="630">
        <f>Discount!$J$36</f>
        <v>0</v>
      </c>
      <c r="T185" s="447">
        <f t="shared" si="28"/>
        <v>0</v>
      </c>
      <c r="U185" s="448">
        <f t="shared" si="24"/>
        <v>0</v>
      </c>
      <c r="V185" s="740">
        <f t="shared" si="5"/>
        <v>0</v>
      </c>
      <c r="W185" s="259"/>
      <c r="X185" s="259"/>
      <c r="Y185" s="259"/>
      <c r="Z185" s="259"/>
      <c r="AA185" s="259"/>
    </row>
    <row r="186" spans="1:27" ht="46.8">
      <c r="A186" s="734">
        <v>169</v>
      </c>
      <c r="B186" s="538">
        <v>7000016865</v>
      </c>
      <c r="C186" s="538">
        <v>2260</v>
      </c>
      <c r="D186" s="553">
        <v>125</v>
      </c>
      <c r="E186" s="553">
        <v>250</v>
      </c>
      <c r="F186" s="553" t="s">
        <v>650</v>
      </c>
      <c r="G186" s="553">
        <v>100024659</v>
      </c>
      <c r="H186" s="553">
        <v>995455</v>
      </c>
      <c r="I186" s="554"/>
      <c r="J186" s="553">
        <v>18</v>
      </c>
      <c r="K186" s="552"/>
      <c r="L186" s="551" t="s">
        <v>773</v>
      </c>
      <c r="M186" s="744" t="s">
        <v>476</v>
      </c>
      <c r="N186" s="744">
        <v>1</v>
      </c>
      <c r="O186" s="720"/>
      <c r="P186" s="550" t="str">
        <f t="shared" si="25"/>
        <v>INCLUDED</v>
      </c>
      <c r="Q186" s="509">
        <f t="shared" si="26"/>
        <v>0</v>
      </c>
      <c r="R186" s="447">
        <f t="shared" si="27"/>
        <v>0</v>
      </c>
      <c r="S186" s="630">
        <f>Discount!$J$36</f>
        <v>0</v>
      </c>
      <c r="T186" s="447">
        <f t="shared" si="28"/>
        <v>0</v>
      </c>
      <c r="U186" s="448">
        <f t="shared" si="24"/>
        <v>0</v>
      </c>
      <c r="V186" s="740">
        <f t="shared" si="5"/>
        <v>0</v>
      </c>
      <c r="W186" s="259"/>
      <c r="X186" s="259"/>
      <c r="Y186" s="259"/>
      <c r="Z186" s="259"/>
      <c r="AA186" s="259"/>
    </row>
    <row r="187" spans="1:27" ht="46.8">
      <c r="A187" s="734">
        <v>170</v>
      </c>
      <c r="B187" s="538">
        <v>7000016865</v>
      </c>
      <c r="C187" s="538">
        <v>2260</v>
      </c>
      <c r="D187" s="553">
        <v>125</v>
      </c>
      <c r="E187" s="553">
        <v>260</v>
      </c>
      <c r="F187" s="553" t="s">
        <v>650</v>
      </c>
      <c r="G187" s="553">
        <v>100024660</v>
      </c>
      <c r="H187" s="553">
        <v>995455</v>
      </c>
      <c r="I187" s="554"/>
      <c r="J187" s="553">
        <v>18</v>
      </c>
      <c r="K187" s="552"/>
      <c r="L187" s="551" t="s">
        <v>774</v>
      </c>
      <c r="M187" s="744" t="s">
        <v>476</v>
      </c>
      <c r="N187" s="744">
        <v>1</v>
      </c>
      <c r="O187" s="720"/>
      <c r="P187" s="550" t="str">
        <f t="shared" si="25"/>
        <v>INCLUDED</v>
      </c>
      <c r="Q187" s="509">
        <f t="shared" si="26"/>
        <v>0</v>
      </c>
      <c r="R187" s="447">
        <f t="shared" si="27"/>
        <v>0</v>
      </c>
      <c r="S187" s="630">
        <f>Discount!$J$36</f>
        <v>0</v>
      </c>
      <c r="T187" s="447">
        <f t="shared" si="28"/>
        <v>0</v>
      </c>
      <c r="U187" s="448">
        <f t="shared" si="24"/>
        <v>0</v>
      </c>
      <c r="V187" s="740">
        <f t="shared" si="5"/>
        <v>0</v>
      </c>
      <c r="W187" s="259"/>
      <c r="X187" s="259"/>
      <c r="Y187" s="259"/>
      <c r="Z187" s="259"/>
      <c r="AA187" s="259"/>
    </row>
    <row r="188" spans="1:27" ht="46.8">
      <c r="A188" s="734">
        <v>171</v>
      </c>
      <c r="B188" s="538">
        <v>7000016865</v>
      </c>
      <c r="C188" s="538">
        <v>2260</v>
      </c>
      <c r="D188" s="553">
        <v>125</v>
      </c>
      <c r="E188" s="553">
        <v>270</v>
      </c>
      <c r="F188" s="553" t="s">
        <v>650</v>
      </c>
      <c r="G188" s="553">
        <v>100024662</v>
      </c>
      <c r="H188" s="553">
        <v>995455</v>
      </c>
      <c r="I188" s="554"/>
      <c r="J188" s="553">
        <v>18</v>
      </c>
      <c r="K188" s="552"/>
      <c r="L188" s="551" t="s">
        <v>751</v>
      </c>
      <c r="M188" s="744" t="s">
        <v>476</v>
      </c>
      <c r="N188" s="744">
        <v>7</v>
      </c>
      <c r="O188" s="720"/>
      <c r="P188" s="550" t="str">
        <f t="shared" si="25"/>
        <v>INCLUDED</v>
      </c>
      <c r="Q188" s="509">
        <f t="shared" si="26"/>
        <v>0</v>
      </c>
      <c r="R188" s="447">
        <f t="shared" si="27"/>
        <v>0</v>
      </c>
      <c r="S188" s="630">
        <f>Discount!$J$36</f>
        <v>0</v>
      </c>
      <c r="T188" s="447">
        <f t="shared" si="28"/>
        <v>0</v>
      </c>
      <c r="U188" s="448">
        <f t="shared" si="24"/>
        <v>0</v>
      </c>
      <c r="V188" s="740">
        <f t="shared" si="5"/>
        <v>0</v>
      </c>
      <c r="W188" s="259"/>
      <c r="X188" s="259"/>
      <c r="Y188" s="259"/>
      <c r="Z188" s="259"/>
      <c r="AA188" s="259"/>
    </row>
    <row r="189" spans="1:27" ht="46.8">
      <c r="A189" s="734">
        <v>172</v>
      </c>
      <c r="B189" s="538">
        <v>7000016865</v>
      </c>
      <c r="C189" s="538">
        <v>2260</v>
      </c>
      <c r="D189" s="553">
        <v>125</v>
      </c>
      <c r="E189" s="553">
        <v>280</v>
      </c>
      <c r="F189" s="553" t="s">
        <v>650</v>
      </c>
      <c r="G189" s="553">
        <v>100024663</v>
      </c>
      <c r="H189" s="553">
        <v>995455</v>
      </c>
      <c r="I189" s="554"/>
      <c r="J189" s="553">
        <v>18</v>
      </c>
      <c r="K189" s="552"/>
      <c r="L189" s="551" t="s">
        <v>752</v>
      </c>
      <c r="M189" s="744" t="s">
        <v>476</v>
      </c>
      <c r="N189" s="744">
        <v>1</v>
      </c>
      <c r="O189" s="720"/>
      <c r="P189" s="550" t="str">
        <f t="shared" si="25"/>
        <v>INCLUDED</v>
      </c>
      <c r="Q189" s="509">
        <f t="shared" si="26"/>
        <v>0</v>
      </c>
      <c r="R189" s="447">
        <f t="shared" si="27"/>
        <v>0</v>
      </c>
      <c r="S189" s="630">
        <f>Discount!$J$36</f>
        <v>0</v>
      </c>
      <c r="T189" s="447">
        <f t="shared" si="28"/>
        <v>0</v>
      </c>
      <c r="U189" s="448">
        <f t="shared" si="24"/>
        <v>0</v>
      </c>
      <c r="V189" s="740">
        <f t="shared" si="5"/>
        <v>0</v>
      </c>
      <c r="W189" s="259"/>
      <c r="X189" s="259"/>
      <c r="Y189" s="259"/>
      <c r="Z189" s="259"/>
      <c r="AA189" s="259"/>
    </row>
    <row r="190" spans="1:27" ht="46.8">
      <c r="A190" s="734">
        <v>173</v>
      </c>
      <c r="B190" s="538">
        <v>7000016865</v>
      </c>
      <c r="C190" s="538">
        <v>2260</v>
      </c>
      <c r="D190" s="553">
        <v>125</v>
      </c>
      <c r="E190" s="553">
        <v>290</v>
      </c>
      <c r="F190" s="553" t="s">
        <v>650</v>
      </c>
      <c r="G190" s="553">
        <v>100024664</v>
      </c>
      <c r="H190" s="553">
        <v>995455</v>
      </c>
      <c r="I190" s="554"/>
      <c r="J190" s="553">
        <v>18</v>
      </c>
      <c r="K190" s="552"/>
      <c r="L190" s="551" t="s">
        <v>753</v>
      </c>
      <c r="M190" s="744" t="s">
        <v>476</v>
      </c>
      <c r="N190" s="744">
        <v>5</v>
      </c>
      <c r="O190" s="720"/>
      <c r="P190" s="550" t="str">
        <f t="shared" si="25"/>
        <v>INCLUDED</v>
      </c>
      <c r="Q190" s="509">
        <f t="shared" si="26"/>
        <v>0</v>
      </c>
      <c r="R190" s="447">
        <f t="shared" si="27"/>
        <v>0</v>
      </c>
      <c r="S190" s="630">
        <f>Discount!$J$36</f>
        <v>0</v>
      </c>
      <c r="T190" s="447">
        <f t="shared" si="28"/>
        <v>0</v>
      </c>
      <c r="U190" s="448">
        <f t="shared" si="24"/>
        <v>0</v>
      </c>
      <c r="V190" s="740">
        <f t="shared" si="5"/>
        <v>0</v>
      </c>
      <c r="W190" s="259"/>
      <c r="X190" s="259"/>
      <c r="Y190" s="259"/>
      <c r="Z190" s="259"/>
      <c r="AA190" s="259"/>
    </row>
    <row r="191" spans="1:27" ht="46.8">
      <c r="A191" s="734">
        <v>174</v>
      </c>
      <c r="B191" s="538">
        <v>7000016865</v>
      </c>
      <c r="C191" s="538">
        <v>2260</v>
      </c>
      <c r="D191" s="553">
        <v>125</v>
      </c>
      <c r="E191" s="553">
        <v>300</v>
      </c>
      <c r="F191" s="553" t="s">
        <v>650</v>
      </c>
      <c r="G191" s="553">
        <v>100024665</v>
      </c>
      <c r="H191" s="553">
        <v>995455</v>
      </c>
      <c r="I191" s="554"/>
      <c r="J191" s="553">
        <v>18</v>
      </c>
      <c r="K191" s="552"/>
      <c r="L191" s="551" t="s">
        <v>775</v>
      </c>
      <c r="M191" s="744" t="s">
        <v>476</v>
      </c>
      <c r="N191" s="744">
        <v>2</v>
      </c>
      <c r="O191" s="720"/>
      <c r="P191" s="550" t="str">
        <f t="shared" si="25"/>
        <v>INCLUDED</v>
      </c>
      <c r="Q191" s="509">
        <f t="shared" ref="Q191:Q196" si="29">IF(P191="Included",0,P191)</f>
        <v>0</v>
      </c>
      <c r="R191" s="447">
        <f t="shared" ref="R191:R196" si="30">IF( K191="",J191*(IF(P191="Included",0,P191))/100,K191*(IF(P191="Included",0,P191)))</f>
        <v>0</v>
      </c>
      <c r="S191" s="630">
        <f>Discount!$J$36</f>
        <v>0</v>
      </c>
      <c r="T191" s="447">
        <f t="shared" ref="T191:T196" si="31">S191*Q191</f>
        <v>0</v>
      </c>
      <c r="U191" s="448">
        <f t="shared" ref="U191:U196" si="32">IF(K191="",J191*T191/100,K191*T191)</f>
        <v>0</v>
      </c>
      <c r="V191" s="740">
        <f t="shared" si="5"/>
        <v>0</v>
      </c>
      <c r="W191" s="259"/>
      <c r="X191" s="259"/>
      <c r="Y191" s="259"/>
      <c r="Z191" s="259"/>
      <c r="AA191" s="259"/>
    </row>
    <row r="192" spans="1:27" ht="46.8">
      <c r="A192" s="734">
        <v>175</v>
      </c>
      <c r="B192" s="538">
        <v>7000016865</v>
      </c>
      <c r="C192" s="538">
        <v>1930</v>
      </c>
      <c r="D192" s="553">
        <v>130</v>
      </c>
      <c r="E192" s="553">
        <v>230</v>
      </c>
      <c r="F192" s="553" t="s">
        <v>641</v>
      </c>
      <c r="G192" s="553">
        <v>100018154</v>
      </c>
      <c r="H192" s="553">
        <v>995455</v>
      </c>
      <c r="I192" s="554"/>
      <c r="J192" s="553">
        <v>18</v>
      </c>
      <c r="K192" s="552"/>
      <c r="L192" s="551" t="s">
        <v>697</v>
      </c>
      <c r="M192" s="744" t="s">
        <v>476</v>
      </c>
      <c r="N192" s="744">
        <v>1</v>
      </c>
      <c r="O192" s="720"/>
      <c r="P192" s="550" t="str">
        <f t="shared" si="25"/>
        <v>INCLUDED</v>
      </c>
      <c r="Q192" s="509">
        <f t="shared" si="29"/>
        <v>0</v>
      </c>
      <c r="R192" s="447">
        <f t="shared" si="30"/>
        <v>0</v>
      </c>
      <c r="S192" s="630">
        <f>Discount!$J$36</f>
        <v>0</v>
      </c>
      <c r="T192" s="447">
        <f t="shared" si="31"/>
        <v>0</v>
      </c>
      <c r="U192" s="448">
        <f t="shared" si="32"/>
        <v>0</v>
      </c>
      <c r="V192" s="740">
        <f t="shared" si="5"/>
        <v>0</v>
      </c>
      <c r="W192" s="259"/>
      <c r="X192" s="259"/>
      <c r="Y192" s="259"/>
      <c r="Z192" s="259"/>
      <c r="AA192" s="259"/>
    </row>
    <row r="193" spans="1:27" ht="46.8">
      <c r="A193" s="734">
        <v>176</v>
      </c>
      <c r="B193" s="538">
        <v>7000016865</v>
      </c>
      <c r="C193" s="538">
        <v>1930</v>
      </c>
      <c r="D193" s="553">
        <v>130</v>
      </c>
      <c r="E193" s="553">
        <v>240</v>
      </c>
      <c r="F193" s="553" t="s">
        <v>641</v>
      </c>
      <c r="G193" s="553">
        <v>100018160</v>
      </c>
      <c r="H193" s="553">
        <v>995455</v>
      </c>
      <c r="I193" s="554"/>
      <c r="J193" s="553">
        <v>18</v>
      </c>
      <c r="K193" s="552"/>
      <c r="L193" s="551" t="s">
        <v>698</v>
      </c>
      <c r="M193" s="744" t="s">
        <v>476</v>
      </c>
      <c r="N193" s="744">
        <v>2</v>
      </c>
      <c r="O193" s="720"/>
      <c r="P193" s="550" t="str">
        <f t="shared" si="25"/>
        <v>INCLUDED</v>
      </c>
      <c r="Q193" s="509">
        <f t="shared" si="29"/>
        <v>0</v>
      </c>
      <c r="R193" s="447">
        <f t="shared" si="30"/>
        <v>0</v>
      </c>
      <c r="S193" s="630">
        <f>Discount!$J$36</f>
        <v>0</v>
      </c>
      <c r="T193" s="447">
        <f t="shared" si="31"/>
        <v>0</v>
      </c>
      <c r="U193" s="448">
        <f t="shared" si="32"/>
        <v>0</v>
      </c>
      <c r="V193" s="740">
        <f t="shared" si="5"/>
        <v>0</v>
      </c>
      <c r="W193" s="259"/>
      <c r="X193" s="259"/>
      <c r="Y193" s="259"/>
      <c r="Z193" s="259"/>
      <c r="AA193" s="259"/>
    </row>
    <row r="194" spans="1:27" ht="46.8">
      <c r="A194" s="734">
        <v>177</v>
      </c>
      <c r="B194" s="538">
        <v>7000016865</v>
      </c>
      <c r="C194" s="538">
        <v>1930</v>
      </c>
      <c r="D194" s="553">
        <v>130</v>
      </c>
      <c r="E194" s="553">
        <v>250</v>
      </c>
      <c r="F194" s="553" t="s">
        <v>641</v>
      </c>
      <c r="G194" s="553">
        <v>100018170</v>
      </c>
      <c r="H194" s="553">
        <v>995455</v>
      </c>
      <c r="I194" s="554"/>
      <c r="J194" s="553">
        <v>18</v>
      </c>
      <c r="K194" s="552"/>
      <c r="L194" s="551" t="s">
        <v>776</v>
      </c>
      <c r="M194" s="744" t="s">
        <v>476</v>
      </c>
      <c r="N194" s="744">
        <v>1</v>
      </c>
      <c r="O194" s="720"/>
      <c r="P194" s="550" t="str">
        <f t="shared" si="25"/>
        <v>INCLUDED</v>
      </c>
      <c r="Q194" s="509">
        <f t="shared" si="29"/>
        <v>0</v>
      </c>
      <c r="R194" s="447">
        <f t="shared" si="30"/>
        <v>0</v>
      </c>
      <c r="S194" s="630">
        <f>Discount!$J$36</f>
        <v>0</v>
      </c>
      <c r="T194" s="447">
        <f t="shared" si="31"/>
        <v>0</v>
      </c>
      <c r="U194" s="448">
        <f t="shared" si="32"/>
        <v>0</v>
      </c>
      <c r="V194" s="740">
        <f t="shared" si="5"/>
        <v>0</v>
      </c>
      <c r="W194" s="259"/>
      <c r="X194" s="259"/>
      <c r="Y194" s="259"/>
      <c r="Z194" s="259"/>
      <c r="AA194" s="259"/>
    </row>
    <row r="195" spans="1:27" ht="46.8">
      <c r="A195" s="734">
        <v>178</v>
      </c>
      <c r="B195" s="538">
        <v>7000016865</v>
      </c>
      <c r="C195" s="538">
        <v>1930</v>
      </c>
      <c r="D195" s="553">
        <v>130</v>
      </c>
      <c r="E195" s="553">
        <v>260</v>
      </c>
      <c r="F195" s="553" t="s">
        <v>641</v>
      </c>
      <c r="G195" s="553">
        <v>100018173</v>
      </c>
      <c r="H195" s="553">
        <v>995455</v>
      </c>
      <c r="I195" s="554"/>
      <c r="J195" s="553">
        <v>18</v>
      </c>
      <c r="K195" s="552"/>
      <c r="L195" s="551" t="s">
        <v>702</v>
      </c>
      <c r="M195" s="744" t="s">
        <v>476</v>
      </c>
      <c r="N195" s="744">
        <v>3</v>
      </c>
      <c r="O195" s="720"/>
      <c r="P195" s="550" t="str">
        <f t="shared" si="25"/>
        <v>INCLUDED</v>
      </c>
      <c r="Q195" s="509">
        <f t="shared" si="29"/>
        <v>0</v>
      </c>
      <c r="R195" s="447">
        <f t="shared" si="30"/>
        <v>0</v>
      </c>
      <c r="S195" s="630">
        <f>Discount!$J$36</f>
        <v>0</v>
      </c>
      <c r="T195" s="447">
        <f t="shared" si="31"/>
        <v>0</v>
      </c>
      <c r="U195" s="448">
        <f t="shared" si="32"/>
        <v>0</v>
      </c>
      <c r="V195" s="740">
        <f t="shared" si="5"/>
        <v>0</v>
      </c>
      <c r="W195" s="259"/>
      <c r="X195" s="259"/>
      <c r="Y195" s="259"/>
      <c r="Z195" s="259"/>
      <c r="AA195" s="259"/>
    </row>
    <row r="196" spans="1:27" ht="62.4">
      <c r="A196" s="734">
        <v>179</v>
      </c>
      <c r="B196" s="538">
        <v>7000016865</v>
      </c>
      <c r="C196" s="538">
        <v>1930</v>
      </c>
      <c r="D196" s="553">
        <v>130</v>
      </c>
      <c r="E196" s="553">
        <v>270</v>
      </c>
      <c r="F196" s="553" t="s">
        <v>641</v>
      </c>
      <c r="G196" s="553">
        <v>100024481</v>
      </c>
      <c r="H196" s="553">
        <v>995455</v>
      </c>
      <c r="I196" s="554"/>
      <c r="J196" s="553">
        <v>18</v>
      </c>
      <c r="K196" s="552"/>
      <c r="L196" s="551" t="s">
        <v>777</v>
      </c>
      <c r="M196" s="744" t="s">
        <v>476</v>
      </c>
      <c r="N196" s="744">
        <v>1</v>
      </c>
      <c r="O196" s="720"/>
      <c r="P196" s="550" t="str">
        <f t="shared" si="25"/>
        <v>INCLUDED</v>
      </c>
      <c r="Q196" s="509">
        <f t="shared" si="29"/>
        <v>0</v>
      </c>
      <c r="R196" s="447">
        <f t="shared" si="30"/>
        <v>0</v>
      </c>
      <c r="S196" s="630">
        <f>Discount!$J$36</f>
        <v>0</v>
      </c>
      <c r="T196" s="447">
        <f t="shared" si="31"/>
        <v>0</v>
      </c>
      <c r="U196" s="448">
        <f t="shared" si="32"/>
        <v>0</v>
      </c>
      <c r="V196" s="740">
        <f t="shared" si="5"/>
        <v>0</v>
      </c>
      <c r="W196" s="259"/>
      <c r="X196" s="259"/>
      <c r="Y196" s="259"/>
      <c r="Z196" s="259"/>
      <c r="AA196" s="259"/>
    </row>
    <row r="197" spans="1:27" ht="62.4">
      <c r="A197" s="734">
        <v>180</v>
      </c>
      <c r="B197" s="538">
        <v>7000016865</v>
      </c>
      <c r="C197" s="538">
        <v>1930</v>
      </c>
      <c r="D197" s="553">
        <v>130</v>
      </c>
      <c r="E197" s="553">
        <v>280</v>
      </c>
      <c r="F197" s="553" t="s">
        <v>641</v>
      </c>
      <c r="G197" s="553">
        <v>100024482</v>
      </c>
      <c r="H197" s="553">
        <v>995455</v>
      </c>
      <c r="I197" s="554"/>
      <c r="J197" s="553">
        <v>18</v>
      </c>
      <c r="K197" s="552"/>
      <c r="L197" s="551" t="s">
        <v>778</v>
      </c>
      <c r="M197" s="744" t="s">
        <v>476</v>
      </c>
      <c r="N197" s="744">
        <v>7</v>
      </c>
      <c r="O197" s="539"/>
      <c r="P197" s="550" t="str">
        <f t="shared" si="25"/>
        <v>INCLUDED</v>
      </c>
      <c r="Q197" s="509">
        <f t="shared" ref="Q197:Q201" si="33">IF(P197="Included",0,P197)</f>
        <v>0</v>
      </c>
      <c r="R197" s="447">
        <f t="shared" ref="R197:R201" si="34">IF( K197="",J197*(IF(P197="Included",0,P197))/100,K197*(IF(P197="Included",0,P197)))</f>
        <v>0</v>
      </c>
      <c r="S197" s="630">
        <f>Discount!$J$36</f>
        <v>0</v>
      </c>
      <c r="T197" s="447">
        <f t="shared" ref="T197:T201" si="35">S197*Q197</f>
        <v>0</v>
      </c>
      <c r="U197" s="448">
        <f t="shared" ref="U197:U201" si="36">IF(K197="",J197*T197/100,K197*T197)</f>
        <v>0</v>
      </c>
      <c r="V197" s="740">
        <f t="shared" si="5"/>
        <v>0</v>
      </c>
      <c r="W197" s="259"/>
      <c r="X197" s="259"/>
      <c r="Y197" s="259"/>
      <c r="Z197" s="259"/>
      <c r="AA197" s="259"/>
    </row>
    <row r="198" spans="1:27" ht="62.4">
      <c r="A198" s="734">
        <v>181</v>
      </c>
      <c r="B198" s="538">
        <v>7000016865</v>
      </c>
      <c r="C198" s="538">
        <v>1930</v>
      </c>
      <c r="D198" s="553">
        <v>130</v>
      </c>
      <c r="E198" s="553">
        <v>290</v>
      </c>
      <c r="F198" s="553" t="s">
        <v>641</v>
      </c>
      <c r="G198" s="553">
        <v>100024483</v>
      </c>
      <c r="H198" s="553">
        <v>995455</v>
      </c>
      <c r="I198" s="554"/>
      <c r="J198" s="553">
        <v>18</v>
      </c>
      <c r="K198" s="552"/>
      <c r="L198" s="551" t="s">
        <v>779</v>
      </c>
      <c r="M198" s="744" t="s">
        <v>476</v>
      </c>
      <c r="N198" s="744">
        <v>12</v>
      </c>
      <c r="O198" s="539"/>
      <c r="P198" s="550" t="str">
        <f t="shared" si="25"/>
        <v>INCLUDED</v>
      </c>
      <c r="Q198" s="509">
        <f t="shared" si="33"/>
        <v>0</v>
      </c>
      <c r="R198" s="447">
        <f t="shared" si="34"/>
        <v>0</v>
      </c>
      <c r="S198" s="630">
        <f>Discount!$J$36</f>
        <v>0</v>
      </c>
      <c r="T198" s="447">
        <f t="shared" si="35"/>
        <v>0</v>
      </c>
      <c r="U198" s="448">
        <f t="shared" si="36"/>
        <v>0</v>
      </c>
      <c r="V198" s="740">
        <f t="shared" si="5"/>
        <v>0</v>
      </c>
      <c r="W198" s="259"/>
      <c r="X198" s="259"/>
      <c r="Y198" s="259"/>
      <c r="Z198" s="259"/>
      <c r="AA198" s="259"/>
    </row>
    <row r="199" spans="1:27" ht="62.4">
      <c r="A199" s="734">
        <v>182</v>
      </c>
      <c r="B199" s="538">
        <v>7000016865</v>
      </c>
      <c r="C199" s="538">
        <v>1930</v>
      </c>
      <c r="D199" s="553">
        <v>130</v>
      </c>
      <c r="E199" s="553">
        <v>300</v>
      </c>
      <c r="F199" s="553" t="s">
        <v>641</v>
      </c>
      <c r="G199" s="553">
        <v>100024484</v>
      </c>
      <c r="H199" s="553">
        <v>995455</v>
      </c>
      <c r="I199" s="554"/>
      <c r="J199" s="553">
        <v>18</v>
      </c>
      <c r="K199" s="552"/>
      <c r="L199" s="551" t="s">
        <v>780</v>
      </c>
      <c r="M199" s="744" t="s">
        <v>476</v>
      </c>
      <c r="N199" s="744">
        <v>31</v>
      </c>
      <c r="O199" s="539"/>
      <c r="P199" s="550" t="str">
        <f t="shared" si="25"/>
        <v>INCLUDED</v>
      </c>
      <c r="Q199" s="509">
        <f t="shared" si="33"/>
        <v>0</v>
      </c>
      <c r="R199" s="447">
        <f t="shared" si="34"/>
        <v>0</v>
      </c>
      <c r="S199" s="630">
        <f>Discount!$J$36</f>
        <v>0</v>
      </c>
      <c r="T199" s="447">
        <f t="shared" si="35"/>
        <v>0</v>
      </c>
      <c r="U199" s="448">
        <f t="shared" si="36"/>
        <v>0</v>
      </c>
      <c r="V199" s="740">
        <f t="shared" si="5"/>
        <v>0</v>
      </c>
      <c r="W199" s="259"/>
      <c r="X199" s="259"/>
      <c r="Y199" s="259"/>
      <c r="Z199" s="259"/>
      <c r="AA199" s="259"/>
    </row>
    <row r="200" spans="1:27" ht="62.4">
      <c r="A200" s="734">
        <v>183</v>
      </c>
      <c r="B200" s="538">
        <v>7000016865</v>
      </c>
      <c r="C200" s="538">
        <v>1930</v>
      </c>
      <c r="D200" s="553">
        <v>130</v>
      </c>
      <c r="E200" s="553">
        <v>310</v>
      </c>
      <c r="F200" s="553" t="s">
        <v>641</v>
      </c>
      <c r="G200" s="553">
        <v>100024485</v>
      </c>
      <c r="H200" s="553">
        <v>995455</v>
      </c>
      <c r="I200" s="554"/>
      <c r="J200" s="553">
        <v>18</v>
      </c>
      <c r="K200" s="552"/>
      <c r="L200" s="551" t="s">
        <v>781</v>
      </c>
      <c r="M200" s="744" t="s">
        <v>476</v>
      </c>
      <c r="N200" s="744">
        <v>1</v>
      </c>
      <c r="O200" s="539"/>
      <c r="P200" s="550" t="str">
        <f t="shared" si="25"/>
        <v>INCLUDED</v>
      </c>
      <c r="Q200" s="509">
        <f t="shared" si="33"/>
        <v>0</v>
      </c>
      <c r="R200" s="447">
        <f t="shared" si="34"/>
        <v>0</v>
      </c>
      <c r="S200" s="630">
        <f>Discount!$J$36</f>
        <v>0</v>
      </c>
      <c r="T200" s="447">
        <f t="shared" si="35"/>
        <v>0</v>
      </c>
      <c r="U200" s="448">
        <f t="shared" si="36"/>
        <v>0</v>
      </c>
      <c r="V200" s="740">
        <f t="shared" si="5"/>
        <v>0</v>
      </c>
      <c r="W200" s="259"/>
      <c r="X200" s="259"/>
      <c r="Y200" s="259"/>
      <c r="Z200" s="259"/>
      <c r="AA200" s="259"/>
    </row>
    <row r="201" spans="1:27" ht="62.4">
      <c r="A201" s="734">
        <v>184</v>
      </c>
      <c r="B201" s="538">
        <v>7000016865</v>
      </c>
      <c r="C201" s="538">
        <v>1930</v>
      </c>
      <c r="D201" s="553">
        <v>130</v>
      </c>
      <c r="E201" s="553">
        <v>320</v>
      </c>
      <c r="F201" s="553" t="s">
        <v>641</v>
      </c>
      <c r="G201" s="553">
        <v>100024488</v>
      </c>
      <c r="H201" s="553">
        <v>995455</v>
      </c>
      <c r="I201" s="554"/>
      <c r="J201" s="553">
        <v>18</v>
      </c>
      <c r="K201" s="552"/>
      <c r="L201" s="551" t="s">
        <v>782</v>
      </c>
      <c r="M201" s="744" t="s">
        <v>476</v>
      </c>
      <c r="N201" s="744">
        <v>5</v>
      </c>
      <c r="O201" s="539"/>
      <c r="P201" s="550" t="str">
        <f t="shared" si="25"/>
        <v>INCLUDED</v>
      </c>
      <c r="Q201" s="509">
        <f t="shared" si="33"/>
        <v>0</v>
      </c>
      <c r="R201" s="447">
        <f t="shared" si="34"/>
        <v>0</v>
      </c>
      <c r="S201" s="630">
        <f>Discount!$J$36</f>
        <v>0</v>
      </c>
      <c r="T201" s="447">
        <f t="shared" si="35"/>
        <v>0</v>
      </c>
      <c r="U201" s="448">
        <f t="shared" si="36"/>
        <v>0</v>
      </c>
      <c r="V201" s="740">
        <f t="shared" si="5"/>
        <v>0</v>
      </c>
      <c r="W201" s="259"/>
      <c r="X201" s="259"/>
      <c r="Y201" s="259"/>
      <c r="Z201" s="259"/>
      <c r="AA201" s="259"/>
    </row>
    <row r="202" spans="1:27" ht="62.4">
      <c r="A202" s="734">
        <v>185</v>
      </c>
      <c r="B202" s="538">
        <v>7000016865</v>
      </c>
      <c r="C202" s="538">
        <v>1930</v>
      </c>
      <c r="D202" s="553">
        <v>130</v>
      </c>
      <c r="E202" s="553">
        <v>330</v>
      </c>
      <c r="F202" s="553" t="s">
        <v>641</v>
      </c>
      <c r="G202" s="553">
        <v>100024489</v>
      </c>
      <c r="H202" s="553">
        <v>995455</v>
      </c>
      <c r="I202" s="554"/>
      <c r="J202" s="553">
        <v>18</v>
      </c>
      <c r="K202" s="552"/>
      <c r="L202" s="551" t="s">
        <v>783</v>
      </c>
      <c r="M202" s="553" t="s">
        <v>476</v>
      </c>
      <c r="N202" s="553">
        <v>1</v>
      </c>
      <c r="O202" s="539"/>
      <c r="P202" s="550" t="str">
        <f t="shared" si="25"/>
        <v>INCLUDED</v>
      </c>
      <c r="Q202" s="509">
        <f t="shared" ref="Q202:Q249" si="37">IF(P202="Included",0,P202)</f>
        <v>0</v>
      </c>
      <c r="R202" s="447">
        <f t="shared" ref="R202:R249" si="38">IF( K202="",J202*(IF(P202="Included",0,P202))/100,K202*(IF(P202="Included",0,P202)))</f>
        <v>0</v>
      </c>
      <c r="S202" s="630">
        <f>Discount!$J$36</f>
        <v>0</v>
      </c>
      <c r="T202" s="447">
        <f t="shared" ref="T202:T249" si="39">S202*Q202</f>
        <v>0</v>
      </c>
      <c r="U202" s="448">
        <f t="shared" ref="U202:U249" si="40">IF(K202="",J202*T202/100,K202*T202)</f>
        <v>0</v>
      </c>
      <c r="V202" s="740">
        <f t="shared" ref="V202:V249" si="41">O202*N202</f>
        <v>0</v>
      </c>
      <c r="W202" s="259"/>
      <c r="X202" s="259"/>
      <c r="Y202" s="259"/>
      <c r="Z202" s="259"/>
      <c r="AA202" s="259"/>
    </row>
    <row r="203" spans="1:27" ht="62.4">
      <c r="A203" s="734">
        <v>186</v>
      </c>
      <c r="B203" s="538">
        <v>7000016865</v>
      </c>
      <c r="C203" s="538">
        <v>1930</v>
      </c>
      <c r="D203" s="553">
        <v>130</v>
      </c>
      <c r="E203" s="553">
        <v>340</v>
      </c>
      <c r="F203" s="553" t="s">
        <v>641</v>
      </c>
      <c r="G203" s="553">
        <v>100024623</v>
      </c>
      <c r="H203" s="553">
        <v>995455</v>
      </c>
      <c r="I203" s="554"/>
      <c r="J203" s="553">
        <v>18</v>
      </c>
      <c r="K203" s="552"/>
      <c r="L203" s="551" t="s">
        <v>784</v>
      </c>
      <c r="M203" s="553" t="s">
        <v>476</v>
      </c>
      <c r="N203" s="553">
        <v>1</v>
      </c>
      <c r="O203" s="539"/>
      <c r="P203" s="550" t="str">
        <f t="shared" si="25"/>
        <v>INCLUDED</v>
      </c>
      <c r="Q203" s="509">
        <f t="shared" si="37"/>
        <v>0</v>
      </c>
      <c r="R203" s="447">
        <f t="shared" si="38"/>
        <v>0</v>
      </c>
      <c r="S203" s="630">
        <f>Discount!$J$36</f>
        <v>0</v>
      </c>
      <c r="T203" s="447">
        <f t="shared" si="39"/>
        <v>0</v>
      </c>
      <c r="U203" s="448">
        <f t="shared" si="40"/>
        <v>0</v>
      </c>
      <c r="V203" s="740">
        <f t="shared" si="41"/>
        <v>0</v>
      </c>
      <c r="W203" s="259"/>
      <c r="X203" s="259"/>
      <c r="Y203" s="259"/>
      <c r="Z203" s="259"/>
      <c r="AA203" s="259"/>
    </row>
    <row r="204" spans="1:27" ht="62.4">
      <c r="A204" s="734">
        <v>187</v>
      </c>
      <c r="B204" s="538">
        <v>7000016865</v>
      </c>
      <c r="C204" s="538">
        <v>1930</v>
      </c>
      <c r="D204" s="553">
        <v>130</v>
      </c>
      <c r="E204" s="553">
        <v>350</v>
      </c>
      <c r="F204" s="553" t="s">
        <v>641</v>
      </c>
      <c r="G204" s="553">
        <v>100024624</v>
      </c>
      <c r="H204" s="553">
        <v>995455</v>
      </c>
      <c r="I204" s="554"/>
      <c r="J204" s="553">
        <v>18</v>
      </c>
      <c r="K204" s="552"/>
      <c r="L204" s="551" t="s">
        <v>785</v>
      </c>
      <c r="M204" s="553" t="s">
        <v>476</v>
      </c>
      <c r="N204" s="553">
        <v>1</v>
      </c>
      <c r="O204" s="539"/>
      <c r="P204" s="550" t="str">
        <f t="shared" si="25"/>
        <v>INCLUDED</v>
      </c>
      <c r="Q204" s="509">
        <f t="shared" si="37"/>
        <v>0</v>
      </c>
      <c r="R204" s="447">
        <f t="shared" si="38"/>
        <v>0</v>
      </c>
      <c r="S204" s="630">
        <f>Discount!$J$36</f>
        <v>0</v>
      </c>
      <c r="T204" s="447">
        <f t="shared" si="39"/>
        <v>0</v>
      </c>
      <c r="U204" s="448">
        <f t="shared" si="40"/>
        <v>0</v>
      </c>
      <c r="V204" s="740">
        <f t="shared" si="41"/>
        <v>0</v>
      </c>
      <c r="W204" s="259"/>
      <c r="X204" s="259"/>
      <c r="Y204" s="259"/>
      <c r="Z204" s="259"/>
      <c r="AA204" s="259"/>
    </row>
    <row r="205" spans="1:27" ht="62.4">
      <c r="A205" s="734">
        <v>188</v>
      </c>
      <c r="B205" s="538">
        <v>7000016865</v>
      </c>
      <c r="C205" s="538">
        <v>1930</v>
      </c>
      <c r="D205" s="553">
        <v>130</v>
      </c>
      <c r="E205" s="553">
        <v>360</v>
      </c>
      <c r="F205" s="553" t="s">
        <v>641</v>
      </c>
      <c r="G205" s="553">
        <v>100024625</v>
      </c>
      <c r="H205" s="553">
        <v>995455</v>
      </c>
      <c r="I205" s="554"/>
      <c r="J205" s="553">
        <v>18</v>
      </c>
      <c r="K205" s="552"/>
      <c r="L205" s="551" t="s">
        <v>786</v>
      </c>
      <c r="M205" s="553" t="s">
        <v>476</v>
      </c>
      <c r="N205" s="553">
        <v>7</v>
      </c>
      <c r="O205" s="539"/>
      <c r="P205" s="550" t="str">
        <f t="shared" si="25"/>
        <v>INCLUDED</v>
      </c>
      <c r="Q205" s="509">
        <f t="shared" si="37"/>
        <v>0</v>
      </c>
      <c r="R205" s="447">
        <f t="shared" si="38"/>
        <v>0</v>
      </c>
      <c r="S205" s="630">
        <f>Discount!$J$36</f>
        <v>0</v>
      </c>
      <c r="T205" s="447">
        <f t="shared" si="39"/>
        <v>0</v>
      </c>
      <c r="U205" s="448">
        <f t="shared" si="40"/>
        <v>0</v>
      </c>
      <c r="V205" s="740">
        <f t="shared" si="41"/>
        <v>0</v>
      </c>
      <c r="W205" s="259"/>
      <c r="X205" s="259"/>
      <c r="Y205" s="259"/>
      <c r="Z205" s="259"/>
      <c r="AA205" s="259"/>
    </row>
    <row r="206" spans="1:27" ht="62.4">
      <c r="A206" s="734">
        <v>189</v>
      </c>
      <c r="B206" s="538">
        <v>7000016865</v>
      </c>
      <c r="C206" s="538">
        <v>1930</v>
      </c>
      <c r="D206" s="553">
        <v>130</v>
      </c>
      <c r="E206" s="553">
        <v>370</v>
      </c>
      <c r="F206" s="553" t="s">
        <v>641</v>
      </c>
      <c r="G206" s="553">
        <v>100024626</v>
      </c>
      <c r="H206" s="553">
        <v>995455</v>
      </c>
      <c r="I206" s="554"/>
      <c r="J206" s="553">
        <v>18</v>
      </c>
      <c r="K206" s="552"/>
      <c r="L206" s="551" t="s">
        <v>787</v>
      </c>
      <c r="M206" s="553" t="s">
        <v>476</v>
      </c>
      <c r="N206" s="553">
        <v>6</v>
      </c>
      <c r="O206" s="539"/>
      <c r="P206" s="550" t="str">
        <f t="shared" ref="P206:P209" si="42">IF(O206=0, "INCLUDED", IF(ISERROR(N206*O206), O206, N206*O206))</f>
        <v>INCLUDED</v>
      </c>
      <c r="Q206" s="509">
        <f t="shared" ref="Q206:Q209" si="43">IF(P206="Included",0,P206)</f>
        <v>0</v>
      </c>
      <c r="R206" s="447">
        <f t="shared" ref="R206:R209" si="44">IF( K206="",J206*(IF(P206="Included",0,P206))/100,K206*(IF(P206="Included",0,P206)))</f>
        <v>0</v>
      </c>
      <c r="S206" s="630">
        <f>Discount!$J$36</f>
        <v>0</v>
      </c>
      <c r="T206" s="447">
        <f t="shared" ref="T206:T209" si="45">S206*Q206</f>
        <v>0</v>
      </c>
      <c r="U206" s="448">
        <f t="shared" ref="U206:U209" si="46">IF(K206="",J206*T206/100,K206*T206)</f>
        <v>0</v>
      </c>
      <c r="V206" s="740">
        <f t="shared" ref="V206:V209" si="47">O206*N206</f>
        <v>0</v>
      </c>
      <c r="W206" s="259"/>
      <c r="X206" s="259"/>
      <c r="Y206" s="259"/>
      <c r="Z206" s="259"/>
      <c r="AA206" s="259"/>
    </row>
    <row r="207" spans="1:27" ht="62.4">
      <c r="A207" s="734">
        <v>190</v>
      </c>
      <c r="B207" s="538">
        <v>7000016865</v>
      </c>
      <c r="C207" s="538">
        <v>1930</v>
      </c>
      <c r="D207" s="553">
        <v>130</v>
      </c>
      <c r="E207" s="553">
        <v>380</v>
      </c>
      <c r="F207" s="553" t="s">
        <v>641</v>
      </c>
      <c r="G207" s="553">
        <v>100024629</v>
      </c>
      <c r="H207" s="553">
        <v>995455</v>
      </c>
      <c r="I207" s="554"/>
      <c r="J207" s="553">
        <v>18</v>
      </c>
      <c r="K207" s="552"/>
      <c r="L207" s="551" t="s">
        <v>788</v>
      </c>
      <c r="M207" s="553" t="s">
        <v>476</v>
      </c>
      <c r="N207" s="553">
        <v>1</v>
      </c>
      <c r="O207" s="539"/>
      <c r="P207" s="550" t="str">
        <f t="shared" si="42"/>
        <v>INCLUDED</v>
      </c>
      <c r="Q207" s="509">
        <f t="shared" si="43"/>
        <v>0</v>
      </c>
      <c r="R207" s="447">
        <f t="shared" si="44"/>
        <v>0</v>
      </c>
      <c r="S207" s="630">
        <f>Discount!$J$36</f>
        <v>0</v>
      </c>
      <c r="T207" s="447">
        <f t="shared" si="45"/>
        <v>0</v>
      </c>
      <c r="U207" s="448">
        <f t="shared" si="46"/>
        <v>0</v>
      </c>
      <c r="V207" s="740">
        <f t="shared" si="47"/>
        <v>0</v>
      </c>
      <c r="W207" s="259"/>
      <c r="X207" s="259"/>
      <c r="Y207" s="259"/>
      <c r="Z207" s="259"/>
      <c r="AA207" s="259"/>
    </row>
    <row r="208" spans="1:27" ht="62.4">
      <c r="A208" s="734">
        <v>191</v>
      </c>
      <c r="B208" s="538">
        <v>7000016865</v>
      </c>
      <c r="C208" s="538">
        <v>1930</v>
      </c>
      <c r="D208" s="553">
        <v>130</v>
      </c>
      <c r="E208" s="553">
        <v>390</v>
      </c>
      <c r="F208" s="553" t="s">
        <v>641</v>
      </c>
      <c r="G208" s="553">
        <v>100024632</v>
      </c>
      <c r="H208" s="553">
        <v>995455</v>
      </c>
      <c r="I208" s="554"/>
      <c r="J208" s="553">
        <v>18</v>
      </c>
      <c r="K208" s="552"/>
      <c r="L208" s="551" t="s">
        <v>789</v>
      </c>
      <c r="M208" s="553" t="s">
        <v>476</v>
      </c>
      <c r="N208" s="553">
        <v>2</v>
      </c>
      <c r="O208" s="539"/>
      <c r="P208" s="550" t="str">
        <f t="shared" si="42"/>
        <v>INCLUDED</v>
      </c>
      <c r="Q208" s="509">
        <f t="shared" si="43"/>
        <v>0</v>
      </c>
      <c r="R208" s="447">
        <f t="shared" si="44"/>
        <v>0</v>
      </c>
      <c r="S208" s="630">
        <f>Discount!$J$36</f>
        <v>0</v>
      </c>
      <c r="T208" s="447">
        <f t="shared" si="45"/>
        <v>0</v>
      </c>
      <c r="U208" s="448">
        <f t="shared" si="46"/>
        <v>0</v>
      </c>
      <c r="V208" s="740">
        <f t="shared" si="47"/>
        <v>0</v>
      </c>
      <c r="W208" s="259"/>
      <c r="X208" s="259"/>
      <c r="Y208" s="259"/>
      <c r="Z208" s="259"/>
      <c r="AA208" s="259"/>
    </row>
    <row r="209" spans="1:27" ht="62.4">
      <c r="A209" s="734">
        <v>192</v>
      </c>
      <c r="B209" s="538">
        <v>7000016865</v>
      </c>
      <c r="C209" s="538">
        <v>1930</v>
      </c>
      <c r="D209" s="553">
        <v>130</v>
      </c>
      <c r="E209" s="553">
        <v>400</v>
      </c>
      <c r="F209" s="553" t="s">
        <v>641</v>
      </c>
      <c r="G209" s="553">
        <v>100024633</v>
      </c>
      <c r="H209" s="553">
        <v>995455</v>
      </c>
      <c r="I209" s="554"/>
      <c r="J209" s="553">
        <v>18</v>
      </c>
      <c r="K209" s="552"/>
      <c r="L209" s="551" t="s">
        <v>790</v>
      </c>
      <c r="M209" s="553" t="s">
        <v>476</v>
      </c>
      <c r="N209" s="553">
        <v>1</v>
      </c>
      <c r="O209" s="539"/>
      <c r="P209" s="550" t="str">
        <f t="shared" si="42"/>
        <v>INCLUDED</v>
      </c>
      <c r="Q209" s="509">
        <f t="shared" si="43"/>
        <v>0</v>
      </c>
      <c r="R209" s="447">
        <f t="shared" si="44"/>
        <v>0</v>
      </c>
      <c r="S209" s="630">
        <f>Discount!$J$36</f>
        <v>0</v>
      </c>
      <c r="T209" s="447">
        <f t="shared" si="45"/>
        <v>0</v>
      </c>
      <c r="U209" s="448">
        <f t="shared" si="46"/>
        <v>0</v>
      </c>
      <c r="V209" s="740">
        <f t="shared" si="47"/>
        <v>0</v>
      </c>
      <c r="W209" s="259"/>
      <c r="X209" s="259"/>
      <c r="Y209" s="259"/>
      <c r="Z209" s="259"/>
      <c r="AA209" s="259"/>
    </row>
    <row r="210" spans="1:27" ht="62.4">
      <c r="A210" s="734">
        <v>193</v>
      </c>
      <c r="B210" s="538">
        <v>7000016865</v>
      </c>
      <c r="C210" s="538">
        <v>1930</v>
      </c>
      <c r="D210" s="553">
        <v>130</v>
      </c>
      <c r="E210" s="553">
        <v>410</v>
      </c>
      <c r="F210" s="553" t="s">
        <v>641</v>
      </c>
      <c r="G210" s="553">
        <v>100024634</v>
      </c>
      <c r="H210" s="553">
        <v>995455</v>
      </c>
      <c r="I210" s="554"/>
      <c r="J210" s="553">
        <v>18</v>
      </c>
      <c r="K210" s="552"/>
      <c r="L210" s="551" t="s">
        <v>791</v>
      </c>
      <c r="M210" s="553" t="s">
        <v>476</v>
      </c>
      <c r="N210" s="553">
        <v>3</v>
      </c>
      <c r="O210" s="539"/>
      <c r="P210" s="550" t="str">
        <f t="shared" si="25"/>
        <v>INCLUDED</v>
      </c>
      <c r="Q210" s="509">
        <f t="shared" si="37"/>
        <v>0</v>
      </c>
      <c r="R210" s="447">
        <f t="shared" si="38"/>
        <v>0</v>
      </c>
      <c r="S210" s="630">
        <f>Discount!$J$36</f>
        <v>0</v>
      </c>
      <c r="T210" s="447">
        <f t="shared" si="39"/>
        <v>0</v>
      </c>
      <c r="U210" s="448">
        <f t="shared" si="40"/>
        <v>0</v>
      </c>
      <c r="V210" s="740">
        <f t="shared" si="41"/>
        <v>0</v>
      </c>
      <c r="W210" s="259"/>
      <c r="X210" s="259"/>
      <c r="Y210" s="259"/>
      <c r="Z210" s="259"/>
      <c r="AA210" s="259"/>
    </row>
    <row r="211" spans="1:27" ht="62.4">
      <c r="A211" s="734">
        <v>194</v>
      </c>
      <c r="B211" s="538">
        <v>7000016865</v>
      </c>
      <c r="C211" s="538">
        <v>1930</v>
      </c>
      <c r="D211" s="553">
        <v>130</v>
      </c>
      <c r="E211" s="553">
        <v>420</v>
      </c>
      <c r="F211" s="553" t="s">
        <v>641</v>
      </c>
      <c r="G211" s="553">
        <v>100024635</v>
      </c>
      <c r="H211" s="553">
        <v>995455</v>
      </c>
      <c r="I211" s="554"/>
      <c r="J211" s="553">
        <v>18</v>
      </c>
      <c r="K211" s="552"/>
      <c r="L211" s="551" t="s">
        <v>792</v>
      </c>
      <c r="M211" s="553" t="s">
        <v>476</v>
      </c>
      <c r="N211" s="553">
        <v>1</v>
      </c>
      <c r="O211" s="539"/>
      <c r="P211" s="550" t="str">
        <f t="shared" si="25"/>
        <v>INCLUDED</v>
      </c>
      <c r="Q211" s="509">
        <f t="shared" si="37"/>
        <v>0</v>
      </c>
      <c r="R211" s="447">
        <f t="shared" si="38"/>
        <v>0</v>
      </c>
      <c r="S211" s="630">
        <f>Discount!$J$36</f>
        <v>0</v>
      </c>
      <c r="T211" s="447">
        <f t="shared" si="39"/>
        <v>0</v>
      </c>
      <c r="U211" s="448">
        <f t="shared" si="40"/>
        <v>0</v>
      </c>
      <c r="V211" s="740">
        <f t="shared" si="41"/>
        <v>0</v>
      </c>
      <c r="W211" s="259"/>
      <c r="X211" s="259"/>
      <c r="Y211" s="259"/>
      <c r="Z211" s="259"/>
      <c r="AA211" s="259"/>
    </row>
    <row r="212" spans="1:27" ht="62.4">
      <c r="A212" s="734">
        <v>195</v>
      </c>
      <c r="B212" s="538">
        <v>7000016865</v>
      </c>
      <c r="C212" s="538">
        <v>1930</v>
      </c>
      <c r="D212" s="553">
        <v>130</v>
      </c>
      <c r="E212" s="553">
        <v>430</v>
      </c>
      <c r="F212" s="553" t="s">
        <v>641</v>
      </c>
      <c r="G212" s="553">
        <v>100024638</v>
      </c>
      <c r="H212" s="553">
        <v>995455</v>
      </c>
      <c r="I212" s="554"/>
      <c r="J212" s="553">
        <v>18</v>
      </c>
      <c r="K212" s="552"/>
      <c r="L212" s="551" t="s">
        <v>793</v>
      </c>
      <c r="M212" s="553" t="s">
        <v>476</v>
      </c>
      <c r="N212" s="553">
        <v>1</v>
      </c>
      <c r="O212" s="539"/>
      <c r="P212" s="550" t="str">
        <f t="shared" si="25"/>
        <v>INCLUDED</v>
      </c>
      <c r="Q212" s="509">
        <f t="shared" si="37"/>
        <v>0</v>
      </c>
      <c r="R212" s="447">
        <f t="shared" si="38"/>
        <v>0</v>
      </c>
      <c r="S212" s="630">
        <f>Discount!$J$36</f>
        <v>0</v>
      </c>
      <c r="T212" s="447">
        <f t="shared" si="39"/>
        <v>0</v>
      </c>
      <c r="U212" s="448">
        <f t="shared" si="40"/>
        <v>0</v>
      </c>
      <c r="V212" s="740">
        <f t="shared" si="41"/>
        <v>0</v>
      </c>
      <c r="W212" s="259"/>
      <c r="X212" s="259"/>
      <c r="Y212" s="259"/>
      <c r="Z212" s="259"/>
      <c r="AA212" s="259"/>
    </row>
    <row r="213" spans="1:27" ht="62.4">
      <c r="A213" s="734">
        <v>196</v>
      </c>
      <c r="B213" s="538">
        <v>7000016865</v>
      </c>
      <c r="C213" s="538">
        <v>1930</v>
      </c>
      <c r="D213" s="553">
        <v>130</v>
      </c>
      <c r="E213" s="553">
        <v>440</v>
      </c>
      <c r="F213" s="553" t="s">
        <v>641</v>
      </c>
      <c r="G213" s="553">
        <v>100024641</v>
      </c>
      <c r="H213" s="553">
        <v>995455</v>
      </c>
      <c r="I213" s="554"/>
      <c r="J213" s="553">
        <v>18</v>
      </c>
      <c r="K213" s="552"/>
      <c r="L213" s="551" t="s">
        <v>794</v>
      </c>
      <c r="M213" s="553" t="s">
        <v>476</v>
      </c>
      <c r="N213" s="553">
        <v>1</v>
      </c>
      <c r="O213" s="539"/>
      <c r="P213" s="550" t="str">
        <f t="shared" si="25"/>
        <v>INCLUDED</v>
      </c>
      <c r="Q213" s="509">
        <f t="shared" si="37"/>
        <v>0</v>
      </c>
      <c r="R213" s="447">
        <f t="shared" si="38"/>
        <v>0</v>
      </c>
      <c r="S213" s="630">
        <f>Discount!$J$36</f>
        <v>0</v>
      </c>
      <c r="T213" s="447">
        <f t="shared" si="39"/>
        <v>0</v>
      </c>
      <c r="U213" s="448">
        <f t="shared" si="40"/>
        <v>0</v>
      </c>
      <c r="V213" s="740">
        <f t="shared" si="41"/>
        <v>0</v>
      </c>
      <c r="W213" s="259"/>
      <c r="X213" s="259"/>
      <c r="Y213" s="259"/>
      <c r="Z213" s="259"/>
      <c r="AA213" s="259"/>
    </row>
    <row r="214" spans="1:27" ht="62.4">
      <c r="A214" s="734">
        <v>197</v>
      </c>
      <c r="B214" s="538">
        <v>7000016865</v>
      </c>
      <c r="C214" s="538">
        <v>1930</v>
      </c>
      <c r="D214" s="553">
        <v>130</v>
      </c>
      <c r="E214" s="553">
        <v>450</v>
      </c>
      <c r="F214" s="553" t="s">
        <v>641</v>
      </c>
      <c r="G214" s="553">
        <v>100024642</v>
      </c>
      <c r="H214" s="553">
        <v>995455</v>
      </c>
      <c r="I214" s="554"/>
      <c r="J214" s="553">
        <v>18</v>
      </c>
      <c r="K214" s="552"/>
      <c r="L214" s="551" t="s">
        <v>795</v>
      </c>
      <c r="M214" s="553" t="s">
        <v>476</v>
      </c>
      <c r="N214" s="553">
        <v>1</v>
      </c>
      <c r="O214" s="539"/>
      <c r="P214" s="550" t="str">
        <f t="shared" ref="P214:P228" si="48">IF(O214=0, "INCLUDED", IF(ISERROR(N214*O214), O214, N214*O214))</f>
        <v>INCLUDED</v>
      </c>
      <c r="Q214" s="509">
        <f t="shared" ref="Q214:Q228" si="49">IF(P214="Included",0,P214)</f>
        <v>0</v>
      </c>
      <c r="R214" s="447">
        <f t="shared" ref="R214:R228" si="50">IF( K214="",J214*(IF(P214="Included",0,P214))/100,K214*(IF(P214="Included",0,P214)))</f>
        <v>0</v>
      </c>
      <c r="S214" s="630">
        <f>Discount!$J$36</f>
        <v>0</v>
      </c>
      <c r="T214" s="447">
        <f t="shared" ref="T214:T228" si="51">S214*Q214</f>
        <v>0</v>
      </c>
      <c r="U214" s="448">
        <f t="shared" ref="U214:U228" si="52">IF(K214="",J214*T214/100,K214*T214)</f>
        <v>0</v>
      </c>
      <c r="V214" s="740">
        <f t="shared" ref="V214:V228" si="53">O214*N214</f>
        <v>0</v>
      </c>
      <c r="W214" s="259"/>
      <c r="X214" s="259"/>
      <c r="Y214" s="259"/>
      <c r="Z214" s="259"/>
      <c r="AA214" s="259"/>
    </row>
    <row r="215" spans="1:27" ht="62.4">
      <c r="A215" s="734">
        <v>198</v>
      </c>
      <c r="B215" s="538">
        <v>7000016865</v>
      </c>
      <c r="C215" s="538">
        <v>1930</v>
      </c>
      <c r="D215" s="553">
        <v>130</v>
      </c>
      <c r="E215" s="553">
        <v>460</v>
      </c>
      <c r="F215" s="553" t="s">
        <v>641</v>
      </c>
      <c r="G215" s="553">
        <v>100024643</v>
      </c>
      <c r="H215" s="553">
        <v>995455</v>
      </c>
      <c r="I215" s="554"/>
      <c r="J215" s="553">
        <v>18</v>
      </c>
      <c r="K215" s="552"/>
      <c r="L215" s="551" t="s">
        <v>796</v>
      </c>
      <c r="M215" s="553" t="s">
        <v>476</v>
      </c>
      <c r="N215" s="553">
        <v>4</v>
      </c>
      <c r="O215" s="539"/>
      <c r="P215" s="550" t="str">
        <f t="shared" si="48"/>
        <v>INCLUDED</v>
      </c>
      <c r="Q215" s="509">
        <f t="shared" si="49"/>
        <v>0</v>
      </c>
      <c r="R215" s="447">
        <f t="shared" si="50"/>
        <v>0</v>
      </c>
      <c r="S215" s="630">
        <f>Discount!$J$36</f>
        <v>0</v>
      </c>
      <c r="T215" s="447">
        <f t="shared" si="51"/>
        <v>0</v>
      </c>
      <c r="U215" s="448">
        <f t="shared" si="52"/>
        <v>0</v>
      </c>
      <c r="V215" s="740">
        <f t="shared" si="53"/>
        <v>0</v>
      </c>
      <c r="W215" s="259"/>
      <c r="X215" s="259"/>
      <c r="Y215" s="259"/>
      <c r="Z215" s="259"/>
      <c r="AA215" s="259"/>
    </row>
    <row r="216" spans="1:27" ht="62.4">
      <c r="A216" s="734">
        <v>199</v>
      </c>
      <c r="B216" s="538">
        <v>7000016865</v>
      </c>
      <c r="C216" s="538">
        <v>1930</v>
      </c>
      <c r="D216" s="553">
        <v>130</v>
      </c>
      <c r="E216" s="553">
        <v>470</v>
      </c>
      <c r="F216" s="553" t="s">
        <v>641</v>
      </c>
      <c r="G216" s="553">
        <v>100024644</v>
      </c>
      <c r="H216" s="553">
        <v>995455</v>
      </c>
      <c r="I216" s="554"/>
      <c r="J216" s="553">
        <v>18</v>
      </c>
      <c r="K216" s="552"/>
      <c r="L216" s="551" t="s">
        <v>797</v>
      </c>
      <c r="M216" s="553" t="s">
        <v>476</v>
      </c>
      <c r="N216" s="553">
        <v>7</v>
      </c>
      <c r="O216" s="539"/>
      <c r="P216" s="550" t="str">
        <f t="shared" si="48"/>
        <v>INCLUDED</v>
      </c>
      <c r="Q216" s="509">
        <f t="shared" si="49"/>
        <v>0</v>
      </c>
      <c r="R216" s="447">
        <f t="shared" si="50"/>
        <v>0</v>
      </c>
      <c r="S216" s="630">
        <f>Discount!$J$36</f>
        <v>0</v>
      </c>
      <c r="T216" s="447">
        <f t="shared" si="51"/>
        <v>0</v>
      </c>
      <c r="U216" s="448">
        <f t="shared" si="52"/>
        <v>0</v>
      </c>
      <c r="V216" s="740">
        <f t="shared" si="53"/>
        <v>0</v>
      </c>
      <c r="W216" s="259"/>
      <c r="X216" s="259"/>
      <c r="Y216" s="259"/>
      <c r="Z216" s="259"/>
      <c r="AA216" s="259"/>
    </row>
    <row r="217" spans="1:27" ht="62.4">
      <c r="A217" s="734">
        <v>200</v>
      </c>
      <c r="B217" s="538">
        <v>7000016865</v>
      </c>
      <c r="C217" s="538">
        <v>1930</v>
      </c>
      <c r="D217" s="553">
        <v>130</v>
      </c>
      <c r="E217" s="553">
        <v>480</v>
      </c>
      <c r="F217" s="553" t="s">
        <v>641</v>
      </c>
      <c r="G217" s="553">
        <v>100024645</v>
      </c>
      <c r="H217" s="553">
        <v>995455</v>
      </c>
      <c r="I217" s="554"/>
      <c r="J217" s="553">
        <v>18</v>
      </c>
      <c r="K217" s="552"/>
      <c r="L217" s="551" t="s">
        <v>798</v>
      </c>
      <c r="M217" s="553" t="s">
        <v>476</v>
      </c>
      <c r="N217" s="553">
        <v>2</v>
      </c>
      <c r="O217" s="539"/>
      <c r="P217" s="550" t="str">
        <f t="shared" si="48"/>
        <v>INCLUDED</v>
      </c>
      <c r="Q217" s="509">
        <f t="shared" si="49"/>
        <v>0</v>
      </c>
      <c r="R217" s="447">
        <f t="shared" si="50"/>
        <v>0</v>
      </c>
      <c r="S217" s="630">
        <f>Discount!$J$36</f>
        <v>0</v>
      </c>
      <c r="T217" s="447">
        <f t="shared" si="51"/>
        <v>0</v>
      </c>
      <c r="U217" s="448">
        <f t="shared" si="52"/>
        <v>0</v>
      </c>
      <c r="V217" s="740">
        <f t="shared" si="53"/>
        <v>0</v>
      </c>
      <c r="W217" s="259"/>
      <c r="X217" s="259"/>
      <c r="Y217" s="259"/>
      <c r="Z217" s="259"/>
      <c r="AA217" s="259"/>
    </row>
    <row r="218" spans="1:27" ht="62.4">
      <c r="A218" s="734">
        <v>201</v>
      </c>
      <c r="B218" s="538">
        <v>7000016865</v>
      </c>
      <c r="C218" s="538">
        <v>1930</v>
      </c>
      <c r="D218" s="553">
        <v>130</v>
      </c>
      <c r="E218" s="553">
        <v>490</v>
      </c>
      <c r="F218" s="553" t="s">
        <v>641</v>
      </c>
      <c r="G218" s="553">
        <v>100024647</v>
      </c>
      <c r="H218" s="553">
        <v>995455</v>
      </c>
      <c r="I218" s="554"/>
      <c r="J218" s="553">
        <v>18</v>
      </c>
      <c r="K218" s="552"/>
      <c r="L218" s="551" t="s">
        <v>799</v>
      </c>
      <c r="M218" s="553" t="s">
        <v>476</v>
      </c>
      <c r="N218" s="553">
        <v>2</v>
      </c>
      <c r="O218" s="539"/>
      <c r="P218" s="550" t="str">
        <f t="shared" si="48"/>
        <v>INCLUDED</v>
      </c>
      <c r="Q218" s="509">
        <f t="shared" si="49"/>
        <v>0</v>
      </c>
      <c r="R218" s="447">
        <f t="shared" si="50"/>
        <v>0</v>
      </c>
      <c r="S218" s="630">
        <f>Discount!$J$36</f>
        <v>0</v>
      </c>
      <c r="T218" s="447">
        <f t="shared" si="51"/>
        <v>0</v>
      </c>
      <c r="U218" s="448">
        <f t="shared" si="52"/>
        <v>0</v>
      </c>
      <c r="V218" s="740">
        <f t="shared" si="53"/>
        <v>0</v>
      </c>
      <c r="W218" s="259"/>
      <c r="X218" s="259"/>
      <c r="Y218" s="259"/>
      <c r="Z218" s="259"/>
      <c r="AA218" s="259"/>
    </row>
    <row r="219" spans="1:27" ht="62.4">
      <c r="A219" s="734">
        <v>202</v>
      </c>
      <c r="B219" s="538">
        <v>7000016865</v>
      </c>
      <c r="C219" s="538">
        <v>1930</v>
      </c>
      <c r="D219" s="553">
        <v>130</v>
      </c>
      <c r="E219" s="553">
        <v>500</v>
      </c>
      <c r="F219" s="553" t="s">
        <v>641</v>
      </c>
      <c r="G219" s="553">
        <v>100024648</v>
      </c>
      <c r="H219" s="553">
        <v>995455</v>
      </c>
      <c r="I219" s="554"/>
      <c r="J219" s="553">
        <v>18</v>
      </c>
      <c r="K219" s="552"/>
      <c r="L219" s="551" t="s">
        <v>800</v>
      </c>
      <c r="M219" s="553" t="s">
        <v>476</v>
      </c>
      <c r="N219" s="553">
        <v>14</v>
      </c>
      <c r="O219" s="539"/>
      <c r="P219" s="550" t="str">
        <f t="shared" si="48"/>
        <v>INCLUDED</v>
      </c>
      <c r="Q219" s="509">
        <f t="shared" si="49"/>
        <v>0</v>
      </c>
      <c r="R219" s="447">
        <f t="shared" si="50"/>
        <v>0</v>
      </c>
      <c r="S219" s="630">
        <f>Discount!$J$36</f>
        <v>0</v>
      </c>
      <c r="T219" s="447">
        <f t="shared" si="51"/>
        <v>0</v>
      </c>
      <c r="U219" s="448">
        <f t="shared" si="52"/>
        <v>0</v>
      </c>
      <c r="V219" s="740">
        <f t="shared" si="53"/>
        <v>0</v>
      </c>
      <c r="W219" s="259"/>
      <c r="X219" s="259"/>
      <c r="Y219" s="259"/>
      <c r="Z219" s="259"/>
      <c r="AA219" s="259"/>
    </row>
    <row r="220" spans="1:27" ht="62.4">
      <c r="A220" s="734">
        <v>203</v>
      </c>
      <c r="B220" s="538">
        <v>7000016865</v>
      </c>
      <c r="C220" s="538">
        <v>1930</v>
      </c>
      <c r="D220" s="553">
        <v>130</v>
      </c>
      <c r="E220" s="553">
        <v>510</v>
      </c>
      <c r="F220" s="553" t="s">
        <v>641</v>
      </c>
      <c r="G220" s="553">
        <v>100024649</v>
      </c>
      <c r="H220" s="553">
        <v>995455</v>
      </c>
      <c r="I220" s="554"/>
      <c r="J220" s="553">
        <v>18</v>
      </c>
      <c r="K220" s="552"/>
      <c r="L220" s="551" t="s">
        <v>801</v>
      </c>
      <c r="M220" s="553" t="s">
        <v>476</v>
      </c>
      <c r="N220" s="553">
        <v>2</v>
      </c>
      <c r="O220" s="539"/>
      <c r="P220" s="550" t="str">
        <f t="shared" si="48"/>
        <v>INCLUDED</v>
      </c>
      <c r="Q220" s="509">
        <f t="shared" si="49"/>
        <v>0</v>
      </c>
      <c r="R220" s="447">
        <f t="shared" si="50"/>
        <v>0</v>
      </c>
      <c r="S220" s="630">
        <f>Discount!$J$36</f>
        <v>0</v>
      </c>
      <c r="T220" s="447">
        <f t="shared" si="51"/>
        <v>0</v>
      </c>
      <c r="U220" s="448">
        <f t="shared" si="52"/>
        <v>0</v>
      </c>
      <c r="V220" s="740">
        <f t="shared" si="53"/>
        <v>0</v>
      </c>
      <c r="W220" s="259"/>
      <c r="X220" s="259"/>
      <c r="Y220" s="259"/>
      <c r="Z220" s="259"/>
      <c r="AA220" s="259"/>
    </row>
    <row r="221" spans="1:27" ht="31.2">
      <c r="A221" s="734">
        <v>204</v>
      </c>
      <c r="B221" s="538">
        <v>7000016865</v>
      </c>
      <c r="C221" s="538">
        <v>1930</v>
      </c>
      <c r="D221" s="553">
        <v>130</v>
      </c>
      <c r="E221" s="553">
        <v>520</v>
      </c>
      <c r="F221" s="553" t="s">
        <v>641</v>
      </c>
      <c r="G221" s="553">
        <v>100001248</v>
      </c>
      <c r="H221" s="553">
        <v>995455</v>
      </c>
      <c r="I221" s="554"/>
      <c r="J221" s="553">
        <v>18</v>
      </c>
      <c r="K221" s="552"/>
      <c r="L221" s="551" t="s">
        <v>529</v>
      </c>
      <c r="M221" s="553" t="s">
        <v>514</v>
      </c>
      <c r="N221" s="553">
        <v>149.30000000000001</v>
      </c>
      <c r="O221" s="539"/>
      <c r="P221" s="550" t="str">
        <f t="shared" si="48"/>
        <v>INCLUDED</v>
      </c>
      <c r="Q221" s="509">
        <f t="shared" si="49"/>
        <v>0</v>
      </c>
      <c r="R221" s="447">
        <f t="shared" si="50"/>
        <v>0</v>
      </c>
      <c r="S221" s="630">
        <f>Discount!$J$36</f>
        <v>0</v>
      </c>
      <c r="T221" s="447">
        <f t="shared" si="51"/>
        <v>0</v>
      </c>
      <c r="U221" s="448">
        <f t="shared" si="52"/>
        <v>0</v>
      </c>
      <c r="V221" s="740">
        <f t="shared" si="53"/>
        <v>0</v>
      </c>
      <c r="W221" s="259"/>
      <c r="X221" s="259"/>
      <c r="Y221" s="259"/>
      <c r="Z221" s="259"/>
      <c r="AA221" s="259"/>
    </row>
    <row r="222" spans="1:27" ht="31.2">
      <c r="A222" s="734">
        <v>205</v>
      </c>
      <c r="B222" s="538">
        <v>7000016865</v>
      </c>
      <c r="C222" s="538">
        <v>1940</v>
      </c>
      <c r="D222" s="553">
        <v>140</v>
      </c>
      <c r="E222" s="553">
        <v>10</v>
      </c>
      <c r="F222" s="553" t="s">
        <v>642</v>
      </c>
      <c r="G222" s="553">
        <v>100001274</v>
      </c>
      <c r="H222" s="553">
        <v>995444</v>
      </c>
      <c r="I222" s="554"/>
      <c r="J222" s="553">
        <v>18</v>
      </c>
      <c r="K222" s="552"/>
      <c r="L222" s="551" t="s">
        <v>502</v>
      </c>
      <c r="M222" s="553" t="s">
        <v>476</v>
      </c>
      <c r="N222" s="553">
        <v>124</v>
      </c>
      <c r="O222" s="539"/>
      <c r="P222" s="550" t="str">
        <f t="shared" si="48"/>
        <v>INCLUDED</v>
      </c>
      <c r="Q222" s="509">
        <f t="shared" si="49"/>
        <v>0</v>
      </c>
      <c r="R222" s="447">
        <f t="shared" si="50"/>
        <v>0</v>
      </c>
      <c r="S222" s="630">
        <f>Discount!$J$36</f>
        <v>0</v>
      </c>
      <c r="T222" s="447">
        <f t="shared" si="51"/>
        <v>0</v>
      </c>
      <c r="U222" s="448">
        <f t="shared" si="52"/>
        <v>0</v>
      </c>
      <c r="V222" s="740">
        <f t="shared" si="53"/>
        <v>0</v>
      </c>
      <c r="W222" s="259"/>
      <c r="X222" s="259"/>
      <c r="Y222" s="259"/>
      <c r="Z222" s="259"/>
      <c r="AA222" s="259"/>
    </row>
    <row r="223" spans="1:27" ht="31.2">
      <c r="A223" s="734">
        <v>206</v>
      </c>
      <c r="B223" s="538">
        <v>7000016865</v>
      </c>
      <c r="C223" s="538">
        <v>1940</v>
      </c>
      <c r="D223" s="553">
        <v>140</v>
      </c>
      <c r="E223" s="553">
        <v>20</v>
      </c>
      <c r="F223" s="553" t="s">
        <v>642</v>
      </c>
      <c r="G223" s="553">
        <v>100001275</v>
      </c>
      <c r="H223" s="553">
        <v>995444</v>
      </c>
      <c r="I223" s="554"/>
      <c r="J223" s="553">
        <v>18</v>
      </c>
      <c r="K223" s="552"/>
      <c r="L223" s="758" t="s">
        <v>503</v>
      </c>
      <c r="M223" s="759" t="s">
        <v>476</v>
      </c>
      <c r="N223" s="759">
        <v>124</v>
      </c>
      <c r="O223" s="539"/>
      <c r="P223" s="550" t="str">
        <f t="shared" si="48"/>
        <v>INCLUDED</v>
      </c>
      <c r="Q223" s="509">
        <f t="shared" si="49"/>
        <v>0</v>
      </c>
      <c r="R223" s="447">
        <f t="shared" si="50"/>
        <v>0</v>
      </c>
      <c r="S223" s="630">
        <f>Discount!$J$36</f>
        <v>0</v>
      </c>
      <c r="T223" s="447">
        <f t="shared" si="51"/>
        <v>0</v>
      </c>
      <c r="U223" s="448">
        <f t="shared" si="52"/>
        <v>0</v>
      </c>
      <c r="V223" s="740">
        <f t="shared" si="53"/>
        <v>0</v>
      </c>
      <c r="W223" s="259"/>
      <c r="X223" s="259"/>
      <c r="Y223" s="259"/>
      <c r="Z223" s="259"/>
      <c r="AA223" s="259"/>
    </row>
    <row r="224" spans="1:27" ht="31.2">
      <c r="A224" s="734">
        <v>207</v>
      </c>
      <c r="B224" s="538">
        <v>7000016865</v>
      </c>
      <c r="C224" s="538">
        <v>1940</v>
      </c>
      <c r="D224" s="553">
        <v>140</v>
      </c>
      <c r="E224" s="553">
        <v>30</v>
      </c>
      <c r="F224" s="553" t="s">
        <v>642</v>
      </c>
      <c r="G224" s="553">
        <v>100001276</v>
      </c>
      <c r="H224" s="553">
        <v>995444</v>
      </c>
      <c r="I224" s="554"/>
      <c r="J224" s="553">
        <v>18</v>
      </c>
      <c r="K224" s="552"/>
      <c r="L224" s="551" t="s">
        <v>504</v>
      </c>
      <c r="M224" s="553" t="s">
        <v>481</v>
      </c>
      <c r="N224" s="553">
        <v>248</v>
      </c>
      <c r="O224" s="539"/>
      <c r="P224" s="550" t="str">
        <f t="shared" si="48"/>
        <v>INCLUDED</v>
      </c>
      <c r="Q224" s="509">
        <f t="shared" si="49"/>
        <v>0</v>
      </c>
      <c r="R224" s="447">
        <f t="shared" si="50"/>
        <v>0</v>
      </c>
      <c r="S224" s="630">
        <f>Discount!$J$36</f>
        <v>0</v>
      </c>
      <c r="T224" s="447">
        <f t="shared" si="51"/>
        <v>0</v>
      </c>
      <c r="U224" s="448">
        <f t="shared" si="52"/>
        <v>0</v>
      </c>
      <c r="V224" s="740">
        <f t="shared" si="53"/>
        <v>0</v>
      </c>
      <c r="W224" s="259"/>
      <c r="X224" s="259"/>
      <c r="Y224" s="259"/>
      <c r="Z224" s="259"/>
      <c r="AA224" s="259"/>
    </row>
    <row r="225" spans="1:27" ht="31.2">
      <c r="A225" s="734">
        <v>208</v>
      </c>
      <c r="B225" s="538">
        <v>7000016865</v>
      </c>
      <c r="C225" s="538">
        <v>1940</v>
      </c>
      <c r="D225" s="553">
        <v>140</v>
      </c>
      <c r="E225" s="553">
        <v>40</v>
      </c>
      <c r="F225" s="553" t="s">
        <v>642</v>
      </c>
      <c r="G225" s="553">
        <v>100001278</v>
      </c>
      <c r="H225" s="553">
        <v>995444</v>
      </c>
      <c r="I225" s="554"/>
      <c r="J225" s="553">
        <v>18</v>
      </c>
      <c r="K225" s="552"/>
      <c r="L225" s="551" t="s">
        <v>505</v>
      </c>
      <c r="M225" s="553" t="s">
        <v>481</v>
      </c>
      <c r="N225" s="553">
        <v>124</v>
      </c>
      <c r="O225" s="539"/>
      <c r="P225" s="550" t="str">
        <f t="shared" si="48"/>
        <v>INCLUDED</v>
      </c>
      <c r="Q225" s="509">
        <f t="shared" si="49"/>
        <v>0</v>
      </c>
      <c r="R225" s="447">
        <f t="shared" si="50"/>
        <v>0</v>
      </c>
      <c r="S225" s="630">
        <f>Discount!$J$36</f>
        <v>0</v>
      </c>
      <c r="T225" s="447">
        <f t="shared" si="51"/>
        <v>0</v>
      </c>
      <c r="U225" s="448">
        <f t="shared" si="52"/>
        <v>0</v>
      </c>
      <c r="V225" s="740">
        <f t="shared" si="53"/>
        <v>0</v>
      </c>
      <c r="W225" s="259"/>
      <c r="X225" s="259"/>
      <c r="Y225" s="259"/>
      <c r="Z225" s="259"/>
      <c r="AA225" s="259"/>
    </row>
    <row r="226" spans="1:27" ht="31.2">
      <c r="A226" s="734">
        <v>209</v>
      </c>
      <c r="B226" s="538">
        <v>7000016865</v>
      </c>
      <c r="C226" s="538">
        <v>1940</v>
      </c>
      <c r="D226" s="553">
        <v>140</v>
      </c>
      <c r="E226" s="553">
        <v>50</v>
      </c>
      <c r="F226" s="553" t="s">
        <v>642</v>
      </c>
      <c r="G226" s="553">
        <v>100001277</v>
      </c>
      <c r="H226" s="553">
        <v>995444</v>
      </c>
      <c r="I226" s="554"/>
      <c r="J226" s="553">
        <v>18</v>
      </c>
      <c r="K226" s="552"/>
      <c r="L226" s="551" t="s">
        <v>506</v>
      </c>
      <c r="M226" s="553" t="s">
        <v>476</v>
      </c>
      <c r="N226" s="553">
        <v>124</v>
      </c>
      <c r="O226" s="539"/>
      <c r="P226" s="550" t="str">
        <f t="shared" si="48"/>
        <v>INCLUDED</v>
      </c>
      <c r="Q226" s="509">
        <f t="shared" si="49"/>
        <v>0</v>
      </c>
      <c r="R226" s="447">
        <f t="shared" si="50"/>
        <v>0</v>
      </c>
      <c r="S226" s="630">
        <f>Discount!$J$36</f>
        <v>0</v>
      </c>
      <c r="T226" s="447">
        <f t="shared" si="51"/>
        <v>0</v>
      </c>
      <c r="U226" s="448">
        <f t="shared" si="52"/>
        <v>0</v>
      </c>
      <c r="V226" s="740">
        <f t="shared" si="53"/>
        <v>0</v>
      </c>
      <c r="W226" s="259"/>
      <c r="X226" s="259"/>
      <c r="Y226" s="259"/>
      <c r="Z226" s="259"/>
      <c r="AA226" s="259"/>
    </row>
    <row r="227" spans="1:27" ht="31.2">
      <c r="A227" s="734">
        <v>210</v>
      </c>
      <c r="B227" s="538">
        <v>7000016865</v>
      </c>
      <c r="C227" s="538">
        <v>1940</v>
      </c>
      <c r="D227" s="553">
        <v>140</v>
      </c>
      <c r="E227" s="553">
        <v>60</v>
      </c>
      <c r="F227" s="553" t="s">
        <v>642</v>
      </c>
      <c r="G227" s="553">
        <v>100001279</v>
      </c>
      <c r="H227" s="553">
        <v>995444</v>
      </c>
      <c r="I227" s="554"/>
      <c r="J227" s="553">
        <v>18</v>
      </c>
      <c r="K227" s="552"/>
      <c r="L227" s="551" t="s">
        <v>704</v>
      </c>
      <c r="M227" s="553" t="s">
        <v>481</v>
      </c>
      <c r="N227" s="553">
        <v>102</v>
      </c>
      <c r="O227" s="539"/>
      <c r="P227" s="550" t="str">
        <f t="shared" si="48"/>
        <v>INCLUDED</v>
      </c>
      <c r="Q227" s="509">
        <f t="shared" si="49"/>
        <v>0</v>
      </c>
      <c r="R227" s="447">
        <f t="shared" si="50"/>
        <v>0</v>
      </c>
      <c r="S227" s="630">
        <f>Discount!$J$36</f>
        <v>0</v>
      </c>
      <c r="T227" s="447">
        <f t="shared" si="51"/>
        <v>0</v>
      </c>
      <c r="U227" s="448">
        <f t="shared" si="52"/>
        <v>0</v>
      </c>
      <c r="V227" s="740">
        <f t="shared" si="53"/>
        <v>0</v>
      </c>
      <c r="W227" s="259"/>
      <c r="X227" s="259"/>
      <c r="Y227" s="259"/>
      <c r="Z227" s="259"/>
      <c r="AA227" s="259"/>
    </row>
    <row r="228" spans="1:27" ht="31.2">
      <c r="A228" s="734">
        <v>211</v>
      </c>
      <c r="B228" s="538">
        <v>7000016865</v>
      </c>
      <c r="C228" s="538">
        <v>1950</v>
      </c>
      <c r="D228" s="553">
        <v>150</v>
      </c>
      <c r="E228" s="553">
        <v>10</v>
      </c>
      <c r="F228" s="553" t="s">
        <v>643</v>
      </c>
      <c r="G228" s="553">
        <v>100001269</v>
      </c>
      <c r="H228" s="553">
        <v>995468</v>
      </c>
      <c r="I228" s="554"/>
      <c r="J228" s="553">
        <v>18</v>
      </c>
      <c r="K228" s="552"/>
      <c r="L228" s="551" t="s">
        <v>499</v>
      </c>
      <c r="M228" s="553" t="s">
        <v>476</v>
      </c>
      <c r="N228" s="553">
        <v>114</v>
      </c>
      <c r="O228" s="539"/>
      <c r="P228" s="550" t="str">
        <f t="shared" si="48"/>
        <v>INCLUDED</v>
      </c>
      <c r="Q228" s="509">
        <f t="shared" si="49"/>
        <v>0</v>
      </c>
      <c r="R228" s="447">
        <f t="shared" si="50"/>
        <v>0</v>
      </c>
      <c r="S228" s="630">
        <f>Discount!$J$36</f>
        <v>0</v>
      </c>
      <c r="T228" s="447">
        <f t="shared" si="51"/>
        <v>0</v>
      </c>
      <c r="U228" s="448">
        <f t="shared" si="52"/>
        <v>0</v>
      </c>
      <c r="V228" s="740">
        <f t="shared" si="53"/>
        <v>0</v>
      </c>
      <c r="W228" s="259"/>
      <c r="X228" s="259"/>
      <c r="Y228" s="259"/>
      <c r="Z228" s="259"/>
      <c r="AA228" s="259"/>
    </row>
    <row r="229" spans="1:27" ht="31.2">
      <c r="A229" s="734">
        <v>212</v>
      </c>
      <c r="B229" s="538">
        <v>7000016865</v>
      </c>
      <c r="C229" s="538">
        <v>1950</v>
      </c>
      <c r="D229" s="553">
        <v>150</v>
      </c>
      <c r="E229" s="553">
        <v>20</v>
      </c>
      <c r="F229" s="553" t="s">
        <v>643</v>
      </c>
      <c r="G229" s="553">
        <v>100004928</v>
      </c>
      <c r="H229" s="553">
        <v>998731</v>
      </c>
      <c r="I229" s="554"/>
      <c r="J229" s="553">
        <v>18</v>
      </c>
      <c r="K229" s="552"/>
      <c r="L229" s="551" t="s">
        <v>478</v>
      </c>
      <c r="M229" s="553" t="s">
        <v>476</v>
      </c>
      <c r="N229" s="553">
        <v>118</v>
      </c>
      <c r="O229" s="539"/>
      <c r="P229" s="550" t="str">
        <f t="shared" si="25"/>
        <v>INCLUDED</v>
      </c>
      <c r="Q229" s="509">
        <f t="shared" si="37"/>
        <v>0</v>
      </c>
      <c r="R229" s="447">
        <f t="shared" si="38"/>
        <v>0</v>
      </c>
      <c r="S229" s="630">
        <f>Discount!$J$36</f>
        <v>0</v>
      </c>
      <c r="T229" s="447">
        <f t="shared" si="39"/>
        <v>0</v>
      </c>
      <c r="U229" s="448">
        <f t="shared" si="40"/>
        <v>0</v>
      </c>
      <c r="V229" s="740">
        <f t="shared" si="41"/>
        <v>0</v>
      </c>
      <c r="W229" s="259"/>
      <c r="X229" s="259"/>
      <c r="Y229" s="259"/>
      <c r="Z229" s="259"/>
      <c r="AA229" s="259"/>
    </row>
    <row r="230" spans="1:27" ht="31.2">
      <c r="A230" s="734">
        <v>213</v>
      </c>
      <c r="B230" s="538">
        <v>7000016865</v>
      </c>
      <c r="C230" s="538">
        <v>1950</v>
      </c>
      <c r="D230" s="553">
        <v>150</v>
      </c>
      <c r="E230" s="553">
        <v>30</v>
      </c>
      <c r="F230" s="553" t="s">
        <v>643</v>
      </c>
      <c r="G230" s="553">
        <v>100001270</v>
      </c>
      <c r="H230" s="553">
        <v>995468</v>
      </c>
      <c r="I230" s="554"/>
      <c r="J230" s="553">
        <v>18</v>
      </c>
      <c r="K230" s="552"/>
      <c r="L230" s="551" t="s">
        <v>500</v>
      </c>
      <c r="M230" s="553" t="s">
        <v>476</v>
      </c>
      <c r="N230" s="553">
        <v>4</v>
      </c>
      <c r="O230" s="539"/>
      <c r="P230" s="550" t="str">
        <f t="shared" si="25"/>
        <v>INCLUDED</v>
      </c>
      <c r="Q230" s="509">
        <f t="shared" si="37"/>
        <v>0</v>
      </c>
      <c r="R230" s="447">
        <f t="shared" si="38"/>
        <v>0</v>
      </c>
      <c r="S230" s="630">
        <f>Discount!$J$36</f>
        <v>0</v>
      </c>
      <c r="T230" s="447">
        <f t="shared" si="39"/>
        <v>0</v>
      </c>
      <c r="U230" s="448">
        <f t="shared" si="40"/>
        <v>0</v>
      </c>
      <c r="V230" s="740">
        <f t="shared" si="41"/>
        <v>0</v>
      </c>
      <c r="W230" s="259"/>
      <c r="X230" s="259"/>
      <c r="Y230" s="259"/>
      <c r="Z230" s="259"/>
      <c r="AA230" s="259"/>
    </row>
    <row r="231" spans="1:27" ht="46.8">
      <c r="A231" s="734">
        <v>214</v>
      </c>
      <c r="B231" s="538">
        <v>7000016865</v>
      </c>
      <c r="C231" s="538">
        <v>1950</v>
      </c>
      <c r="D231" s="553">
        <v>150</v>
      </c>
      <c r="E231" s="553">
        <v>40</v>
      </c>
      <c r="F231" s="553" t="s">
        <v>643</v>
      </c>
      <c r="G231" s="553">
        <v>100002202</v>
      </c>
      <c r="H231" s="553">
        <v>995468</v>
      </c>
      <c r="I231" s="554"/>
      <c r="J231" s="553">
        <v>18</v>
      </c>
      <c r="K231" s="552"/>
      <c r="L231" s="551" t="s">
        <v>501</v>
      </c>
      <c r="M231" s="553" t="s">
        <v>476</v>
      </c>
      <c r="N231" s="553">
        <v>6</v>
      </c>
      <c r="O231" s="539"/>
      <c r="P231" s="550" t="str">
        <f t="shared" si="25"/>
        <v>INCLUDED</v>
      </c>
      <c r="Q231" s="509">
        <f t="shared" si="37"/>
        <v>0</v>
      </c>
      <c r="R231" s="447">
        <f t="shared" si="38"/>
        <v>0</v>
      </c>
      <c r="S231" s="630">
        <f>Discount!$J$36</f>
        <v>0</v>
      </c>
      <c r="T231" s="447">
        <f t="shared" si="39"/>
        <v>0</v>
      </c>
      <c r="U231" s="448">
        <f t="shared" si="40"/>
        <v>0</v>
      </c>
      <c r="V231" s="740">
        <f t="shared" si="41"/>
        <v>0</v>
      </c>
      <c r="W231" s="259"/>
      <c r="X231" s="259"/>
      <c r="Y231" s="259"/>
      <c r="Z231" s="259"/>
      <c r="AA231" s="259"/>
    </row>
    <row r="232" spans="1:27" ht="46.8">
      <c r="A232" s="734">
        <v>215</v>
      </c>
      <c r="B232" s="538">
        <v>7000016865</v>
      </c>
      <c r="C232" s="538">
        <v>1950</v>
      </c>
      <c r="D232" s="553">
        <v>150</v>
      </c>
      <c r="E232" s="553">
        <v>50</v>
      </c>
      <c r="F232" s="553" t="s">
        <v>643</v>
      </c>
      <c r="G232" s="553">
        <v>100018257</v>
      </c>
      <c r="H232" s="553">
        <v>995455</v>
      </c>
      <c r="I232" s="554"/>
      <c r="J232" s="553">
        <v>18</v>
      </c>
      <c r="K232" s="552"/>
      <c r="L232" s="551" t="s">
        <v>706</v>
      </c>
      <c r="M232" s="553" t="s">
        <v>476</v>
      </c>
      <c r="N232" s="553">
        <v>1</v>
      </c>
      <c r="O232" s="539"/>
      <c r="P232" s="550" t="str">
        <f t="shared" si="25"/>
        <v>INCLUDED</v>
      </c>
      <c r="Q232" s="509">
        <f t="shared" si="37"/>
        <v>0</v>
      </c>
      <c r="R232" s="447">
        <f t="shared" si="38"/>
        <v>0</v>
      </c>
      <c r="S232" s="630">
        <f>Discount!$J$36</f>
        <v>0</v>
      </c>
      <c r="T232" s="447">
        <f t="shared" si="39"/>
        <v>0</v>
      </c>
      <c r="U232" s="448">
        <f t="shared" si="40"/>
        <v>0</v>
      </c>
      <c r="V232" s="740">
        <f t="shared" si="41"/>
        <v>0</v>
      </c>
      <c r="W232" s="259"/>
      <c r="X232" s="259"/>
      <c r="Y232" s="259"/>
      <c r="Z232" s="259"/>
      <c r="AA232" s="259"/>
    </row>
    <row r="233" spans="1:27" ht="31.2">
      <c r="A233" s="734">
        <v>216</v>
      </c>
      <c r="B233" s="538">
        <v>7000016865</v>
      </c>
      <c r="C233" s="538">
        <v>1950</v>
      </c>
      <c r="D233" s="553">
        <v>150</v>
      </c>
      <c r="E233" s="553">
        <v>60</v>
      </c>
      <c r="F233" s="553" t="s">
        <v>643</v>
      </c>
      <c r="G233" s="553">
        <v>170002471</v>
      </c>
      <c r="H233" s="553">
        <v>995468</v>
      </c>
      <c r="I233" s="554"/>
      <c r="J233" s="553">
        <v>18</v>
      </c>
      <c r="K233" s="552"/>
      <c r="L233" s="551" t="s">
        <v>707</v>
      </c>
      <c r="M233" s="553" t="s">
        <v>476</v>
      </c>
      <c r="N233" s="553">
        <v>4</v>
      </c>
      <c r="O233" s="539"/>
      <c r="P233" s="550" t="str">
        <f t="shared" si="25"/>
        <v>INCLUDED</v>
      </c>
      <c r="Q233" s="509">
        <f t="shared" si="37"/>
        <v>0</v>
      </c>
      <c r="R233" s="447">
        <f t="shared" si="38"/>
        <v>0</v>
      </c>
      <c r="S233" s="630">
        <f>Discount!$J$36</f>
        <v>0</v>
      </c>
      <c r="T233" s="447">
        <f t="shared" si="39"/>
        <v>0</v>
      </c>
      <c r="U233" s="448">
        <f t="shared" si="40"/>
        <v>0</v>
      </c>
      <c r="V233" s="740">
        <f t="shared" si="41"/>
        <v>0</v>
      </c>
      <c r="W233" s="259"/>
      <c r="X233" s="259"/>
      <c r="Y233" s="259"/>
      <c r="Z233" s="259"/>
      <c r="AA233" s="259"/>
    </row>
    <row r="234" spans="1:27" ht="31.2">
      <c r="A234" s="734">
        <v>217</v>
      </c>
      <c r="B234" s="538">
        <v>7000016865</v>
      </c>
      <c r="C234" s="538">
        <v>1950</v>
      </c>
      <c r="D234" s="553">
        <v>150</v>
      </c>
      <c r="E234" s="553">
        <v>70</v>
      </c>
      <c r="F234" s="553" t="s">
        <v>643</v>
      </c>
      <c r="G234" s="553">
        <v>100008105</v>
      </c>
      <c r="H234" s="553">
        <v>995468</v>
      </c>
      <c r="I234" s="554"/>
      <c r="J234" s="553">
        <v>18</v>
      </c>
      <c r="K234" s="552"/>
      <c r="L234" s="551" t="s">
        <v>708</v>
      </c>
      <c r="M234" s="553" t="s">
        <v>476</v>
      </c>
      <c r="N234" s="553">
        <v>2</v>
      </c>
      <c r="O234" s="539"/>
      <c r="P234" s="550" t="str">
        <f t="shared" si="25"/>
        <v>INCLUDED</v>
      </c>
      <c r="Q234" s="509">
        <f t="shared" si="37"/>
        <v>0</v>
      </c>
      <c r="R234" s="447">
        <f t="shared" si="38"/>
        <v>0</v>
      </c>
      <c r="S234" s="630">
        <f>Discount!$J$36</f>
        <v>0</v>
      </c>
      <c r="T234" s="447">
        <f t="shared" si="39"/>
        <v>0</v>
      </c>
      <c r="U234" s="448">
        <f t="shared" si="40"/>
        <v>0</v>
      </c>
      <c r="V234" s="740">
        <f t="shared" si="41"/>
        <v>0</v>
      </c>
      <c r="W234" s="259"/>
      <c r="X234" s="259"/>
      <c r="Y234" s="259"/>
      <c r="Z234" s="259"/>
      <c r="AA234" s="259"/>
    </row>
    <row r="235" spans="1:27" ht="31.2">
      <c r="A235" s="734">
        <v>218</v>
      </c>
      <c r="B235" s="538">
        <v>7000016865</v>
      </c>
      <c r="C235" s="538">
        <v>1960</v>
      </c>
      <c r="D235" s="553">
        <v>160</v>
      </c>
      <c r="E235" s="553">
        <v>10</v>
      </c>
      <c r="F235" s="553" t="s">
        <v>644</v>
      </c>
      <c r="G235" s="553">
        <v>100001264</v>
      </c>
      <c r="H235" s="553">
        <v>995456</v>
      </c>
      <c r="I235" s="554"/>
      <c r="J235" s="553">
        <v>18</v>
      </c>
      <c r="K235" s="552"/>
      <c r="L235" s="551" t="s">
        <v>507</v>
      </c>
      <c r="M235" s="553" t="s">
        <v>498</v>
      </c>
      <c r="N235" s="553">
        <v>500</v>
      </c>
      <c r="O235" s="539"/>
      <c r="P235" s="550" t="str">
        <f t="shared" si="25"/>
        <v>INCLUDED</v>
      </c>
      <c r="Q235" s="509">
        <f t="shared" si="37"/>
        <v>0</v>
      </c>
      <c r="R235" s="447">
        <f t="shared" si="38"/>
        <v>0</v>
      </c>
      <c r="S235" s="630">
        <f>Discount!$J$36</f>
        <v>0</v>
      </c>
      <c r="T235" s="447">
        <f t="shared" si="39"/>
        <v>0</v>
      </c>
      <c r="U235" s="448">
        <f t="shared" si="40"/>
        <v>0</v>
      </c>
      <c r="V235" s="740">
        <f t="shared" si="41"/>
        <v>0</v>
      </c>
      <c r="W235" s="259"/>
      <c r="X235" s="259"/>
      <c r="Y235" s="259"/>
      <c r="Z235" s="259"/>
      <c r="AA235" s="259"/>
    </row>
    <row r="236" spans="1:27" ht="31.2">
      <c r="A236" s="734">
        <v>219</v>
      </c>
      <c r="B236" s="538">
        <v>7000016865</v>
      </c>
      <c r="C236" s="538">
        <v>1960</v>
      </c>
      <c r="D236" s="553">
        <v>160</v>
      </c>
      <c r="E236" s="553">
        <v>20</v>
      </c>
      <c r="F236" s="553" t="s">
        <v>644</v>
      </c>
      <c r="G236" s="553">
        <v>100001267</v>
      </c>
      <c r="H236" s="553">
        <v>995456</v>
      </c>
      <c r="I236" s="554"/>
      <c r="J236" s="553">
        <v>18</v>
      </c>
      <c r="K236" s="552"/>
      <c r="L236" s="551" t="s">
        <v>508</v>
      </c>
      <c r="M236" s="553" t="s">
        <v>498</v>
      </c>
      <c r="N236" s="553">
        <v>50</v>
      </c>
      <c r="O236" s="539"/>
      <c r="P236" s="550" t="str">
        <f t="shared" si="25"/>
        <v>INCLUDED</v>
      </c>
      <c r="Q236" s="509">
        <f t="shared" si="37"/>
        <v>0</v>
      </c>
      <c r="R236" s="447">
        <f t="shared" si="38"/>
        <v>0</v>
      </c>
      <c r="S236" s="630">
        <f>Discount!$J$36</f>
        <v>0</v>
      </c>
      <c r="T236" s="447">
        <f t="shared" si="39"/>
        <v>0</v>
      </c>
      <c r="U236" s="448">
        <f t="shared" si="40"/>
        <v>0</v>
      </c>
      <c r="V236" s="740">
        <f t="shared" si="41"/>
        <v>0</v>
      </c>
      <c r="W236" s="259"/>
      <c r="X236" s="259"/>
      <c r="Y236" s="259"/>
      <c r="Z236" s="259"/>
      <c r="AA236" s="259"/>
    </row>
    <row r="237" spans="1:27" ht="31.2">
      <c r="A237" s="734">
        <v>220</v>
      </c>
      <c r="B237" s="538">
        <v>7000016865</v>
      </c>
      <c r="C237" s="538">
        <v>1960</v>
      </c>
      <c r="D237" s="553">
        <v>160</v>
      </c>
      <c r="E237" s="553">
        <v>30</v>
      </c>
      <c r="F237" s="553" t="s">
        <v>644</v>
      </c>
      <c r="G237" s="553">
        <v>100001268</v>
      </c>
      <c r="H237" s="553">
        <v>995456</v>
      </c>
      <c r="I237" s="554"/>
      <c r="J237" s="553">
        <v>18</v>
      </c>
      <c r="K237" s="552"/>
      <c r="L237" s="551" t="s">
        <v>509</v>
      </c>
      <c r="M237" s="553" t="s">
        <v>498</v>
      </c>
      <c r="N237" s="553">
        <v>200</v>
      </c>
      <c r="O237" s="539"/>
      <c r="P237" s="550" t="str">
        <f t="shared" ref="P237:P246" si="54">IF(O237=0, "INCLUDED", IF(ISERROR(N237*O237), O237, N237*O237))</f>
        <v>INCLUDED</v>
      </c>
      <c r="Q237" s="509">
        <f t="shared" ref="Q237:Q246" si="55">IF(P237="Included",0,P237)</f>
        <v>0</v>
      </c>
      <c r="R237" s="447">
        <f t="shared" ref="R237:R246" si="56">IF( K237="",J237*(IF(P237="Included",0,P237))/100,K237*(IF(P237="Included",0,P237)))</f>
        <v>0</v>
      </c>
      <c r="S237" s="630">
        <f>Discount!$J$36</f>
        <v>0</v>
      </c>
      <c r="T237" s="447">
        <f t="shared" ref="T237:T246" si="57">S237*Q237</f>
        <v>0</v>
      </c>
      <c r="U237" s="448">
        <f t="shared" ref="U237:U246" si="58">IF(K237="",J237*T237/100,K237*T237)</f>
        <v>0</v>
      </c>
      <c r="V237" s="740">
        <f t="shared" ref="V237:V246" si="59">O237*N237</f>
        <v>0</v>
      </c>
      <c r="W237" s="259"/>
      <c r="X237" s="259"/>
      <c r="Y237" s="259"/>
      <c r="Z237" s="259"/>
      <c r="AA237" s="259"/>
    </row>
    <row r="238" spans="1:27" ht="31.2">
      <c r="A238" s="734">
        <v>221</v>
      </c>
      <c r="B238" s="538">
        <v>7000016865</v>
      </c>
      <c r="C238" s="538">
        <v>1960</v>
      </c>
      <c r="D238" s="553">
        <v>160</v>
      </c>
      <c r="E238" s="553">
        <v>40</v>
      </c>
      <c r="F238" s="553" t="s">
        <v>644</v>
      </c>
      <c r="G238" s="553">
        <v>100002907</v>
      </c>
      <c r="H238" s="553">
        <v>995454</v>
      </c>
      <c r="I238" s="554"/>
      <c r="J238" s="553">
        <v>18</v>
      </c>
      <c r="K238" s="552"/>
      <c r="L238" s="551" t="s">
        <v>709</v>
      </c>
      <c r="M238" s="553" t="s">
        <v>498</v>
      </c>
      <c r="N238" s="553">
        <v>30</v>
      </c>
      <c r="O238" s="539"/>
      <c r="P238" s="550" t="str">
        <f t="shared" si="54"/>
        <v>INCLUDED</v>
      </c>
      <c r="Q238" s="509">
        <f t="shared" si="55"/>
        <v>0</v>
      </c>
      <c r="R238" s="447">
        <f t="shared" si="56"/>
        <v>0</v>
      </c>
      <c r="S238" s="630">
        <f>Discount!$J$36</f>
        <v>0</v>
      </c>
      <c r="T238" s="447">
        <f t="shared" si="57"/>
        <v>0</v>
      </c>
      <c r="U238" s="448">
        <f t="shared" si="58"/>
        <v>0</v>
      </c>
      <c r="V238" s="740">
        <f t="shared" si="59"/>
        <v>0</v>
      </c>
      <c r="W238" s="259"/>
      <c r="X238" s="259"/>
      <c r="Y238" s="259"/>
      <c r="Z238" s="259"/>
      <c r="AA238" s="259"/>
    </row>
    <row r="239" spans="1:27" ht="31.2">
      <c r="A239" s="734">
        <v>222</v>
      </c>
      <c r="B239" s="538">
        <v>7000016865</v>
      </c>
      <c r="C239" s="538">
        <v>1960</v>
      </c>
      <c r="D239" s="553">
        <v>160</v>
      </c>
      <c r="E239" s="553">
        <v>50</v>
      </c>
      <c r="F239" s="553" t="s">
        <v>644</v>
      </c>
      <c r="G239" s="553">
        <v>100001265</v>
      </c>
      <c r="H239" s="553">
        <v>995456</v>
      </c>
      <c r="I239" s="554"/>
      <c r="J239" s="553">
        <v>18</v>
      </c>
      <c r="K239" s="552"/>
      <c r="L239" s="551" t="s">
        <v>510</v>
      </c>
      <c r="M239" s="553" t="s">
        <v>498</v>
      </c>
      <c r="N239" s="553">
        <v>700</v>
      </c>
      <c r="O239" s="539"/>
      <c r="P239" s="550" t="str">
        <f t="shared" si="54"/>
        <v>INCLUDED</v>
      </c>
      <c r="Q239" s="509">
        <f t="shared" si="55"/>
        <v>0</v>
      </c>
      <c r="R239" s="447">
        <f t="shared" si="56"/>
        <v>0</v>
      </c>
      <c r="S239" s="630">
        <f>Discount!$J$36</f>
        <v>0</v>
      </c>
      <c r="T239" s="447">
        <f t="shared" si="57"/>
        <v>0</v>
      </c>
      <c r="U239" s="448">
        <f t="shared" si="58"/>
        <v>0</v>
      </c>
      <c r="V239" s="740">
        <f t="shared" si="59"/>
        <v>0</v>
      </c>
      <c r="W239" s="259"/>
      <c r="X239" s="259"/>
      <c r="Y239" s="259"/>
      <c r="Z239" s="259"/>
      <c r="AA239" s="259"/>
    </row>
    <row r="240" spans="1:27" ht="31.2">
      <c r="A240" s="734">
        <v>223</v>
      </c>
      <c r="B240" s="538">
        <v>7000016865</v>
      </c>
      <c r="C240" s="538">
        <v>1960</v>
      </c>
      <c r="D240" s="553">
        <v>160</v>
      </c>
      <c r="E240" s="553">
        <v>60</v>
      </c>
      <c r="F240" s="553" t="s">
        <v>644</v>
      </c>
      <c r="G240" s="553">
        <v>100004392</v>
      </c>
      <c r="H240" s="553">
        <v>995454</v>
      </c>
      <c r="I240" s="554"/>
      <c r="J240" s="553">
        <v>18</v>
      </c>
      <c r="K240" s="552"/>
      <c r="L240" s="551" t="s">
        <v>531</v>
      </c>
      <c r="M240" s="553" t="s">
        <v>498</v>
      </c>
      <c r="N240" s="553">
        <v>25</v>
      </c>
      <c r="O240" s="539"/>
      <c r="P240" s="550" t="str">
        <f t="shared" si="54"/>
        <v>INCLUDED</v>
      </c>
      <c r="Q240" s="509">
        <f t="shared" si="55"/>
        <v>0</v>
      </c>
      <c r="R240" s="447">
        <f t="shared" si="56"/>
        <v>0</v>
      </c>
      <c r="S240" s="630">
        <f>Discount!$J$36</f>
        <v>0</v>
      </c>
      <c r="T240" s="447">
        <f t="shared" si="57"/>
        <v>0</v>
      </c>
      <c r="U240" s="448">
        <f t="shared" si="58"/>
        <v>0</v>
      </c>
      <c r="V240" s="740">
        <f t="shared" si="59"/>
        <v>0</v>
      </c>
      <c r="W240" s="259"/>
      <c r="X240" s="259"/>
      <c r="Y240" s="259"/>
      <c r="Z240" s="259"/>
      <c r="AA240" s="259"/>
    </row>
    <row r="241" spans="1:27">
      <c r="A241" s="734">
        <v>224</v>
      </c>
      <c r="B241" s="538">
        <v>7000016865</v>
      </c>
      <c r="C241" s="538">
        <v>2290</v>
      </c>
      <c r="D241" s="553">
        <v>170</v>
      </c>
      <c r="E241" s="553">
        <v>10</v>
      </c>
      <c r="F241" s="553" t="s">
        <v>645</v>
      </c>
      <c r="G241" s="553">
        <v>100001282</v>
      </c>
      <c r="H241" s="553">
        <v>995444</v>
      </c>
      <c r="I241" s="554"/>
      <c r="J241" s="553">
        <v>18</v>
      </c>
      <c r="K241" s="552"/>
      <c r="L241" s="551" t="s">
        <v>532</v>
      </c>
      <c r="M241" s="553" t="s">
        <v>476</v>
      </c>
      <c r="N241" s="553">
        <v>30</v>
      </c>
      <c r="O241" s="539"/>
      <c r="P241" s="550" t="str">
        <f t="shared" si="54"/>
        <v>INCLUDED</v>
      </c>
      <c r="Q241" s="509">
        <f t="shared" si="55"/>
        <v>0</v>
      </c>
      <c r="R241" s="447">
        <f t="shared" si="56"/>
        <v>0</v>
      </c>
      <c r="S241" s="630">
        <f>Discount!$J$36</f>
        <v>0</v>
      </c>
      <c r="T241" s="447">
        <f t="shared" si="57"/>
        <v>0</v>
      </c>
      <c r="U241" s="448">
        <f t="shared" si="58"/>
        <v>0</v>
      </c>
      <c r="V241" s="740">
        <f t="shared" si="59"/>
        <v>0</v>
      </c>
      <c r="W241" s="259"/>
      <c r="X241" s="259"/>
      <c r="Y241" s="259"/>
      <c r="Z241" s="259"/>
      <c r="AA241" s="259"/>
    </row>
    <row r="242" spans="1:27">
      <c r="A242" s="734">
        <v>225</v>
      </c>
      <c r="B242" s="538">
        <v>7000016865</v>
      </c>
      <c r="C242" s="538">
        <v>2290</v>
      </c>
      <c r="D242" s="553">
        <v>170</v>
      </c>
      <c r="E242" s="553">
        <v>20</v>
      </c>
      <c r="F242" s="553" t="s">
        <v>645</v>
      </c>
      <c r="G242" s="553">
        <v>100008577</v>
      </c>
      <c r="H242" s="553">
        <v>995473</v>
      </c>
      <c r="I242" s="554"/>
      <c r="J242" s="553">
        <v>18</v>
      </c>
      <c r="K242" s="552"/>
      <c r="L242" s="551" t="s">
        <v>710</v>
      </c>
      <c r="M242" s="553" t="s">
        <v>476</v>
      </c>
      <c r="N242" s="553">
        <v>14</v>
      </c>
      <c r="O242" s="539"/>
      <c r="P242" s="550" t="str">
        <f t="shared" si="54"/>
        <v>INCLUDED</v>
      </c>
      <c r="Q242" s="509">
        <f t="shared" si="55"/>
        <v>0</v>
      </c>
      <c r="R242" s="447">
        <f t="shared" si="56"/>
        <v>0</v>
      </c>
      <c r="S242" s="630">
        <f>Discount!$J$36</f>
        <v>0</v>
      </c>
      <c r="T242" s="447">
        <f t="shared" si="57"/>
        <v>0</v>
      </c>
      <c r="U242" s="448">
        <f t="shared" si="58"/>
        <v>0</v>
      </c>
      <c r="V242" s="740">
        <f t="shared" si="59"/>
        <v>0</v>
      </c>
      <c r="W242" s="259"/>
      <c r="X242" s="259"/>
      <c r="Y242" s="259"/>
      <c r="Z242" s="259"/>
      <c r="AA242" s="259"/>
    </row>
    <row r="243" spans="1:27">
      <c r="A243" s="734">
        <v>226</v>
      </c>
      <c r="B243" s="538">
        <v>7000016865</v>
      </c>
      <c r="C243" s="538">
        <v>2290</v>
      </c>
      <c r="D243" s="553">
        <v>170</v>
      </c>
      <c r="E243" s="553">
        <v>30</v>
      </c>
      <c r="F243" s="553" t="s">
        <v>645</v>
      </c>
      <c r="G243" s="553">
        <v>100001283</v>
      </c>
      <c r="H243" s="553">
        <v>995444</v>
      </c>
      <c r="I243" s="554"/>
      <c r="J243" s="553">
        <v>18</v>
      </c>
      <c r="K243" s="552"/>
      <c r="L243" s="551" t="s">
        <v>711</v>
      </c>
      <c r="M243" s="553" t="s">
        <v>481</v>
      </c>
      <c r="N243" s="553">
        <v>14</v>
      </c>
      <c r="O243" s="539"/>
      <c r="P243" s="550" t="str">
        <f t="shared" si="54"/>
        <v>INCLUDED</v>
      </c>
      <c r="Q243" s="509">
        <f t="shared" si="55"/>
        <v>0</v>
      </c>
      <c r="R243" s="447">
        <f t="shared" si="56"/>
        <v>0</v>
      </c>
      <c r="S243" s="630">
        <f>Discount!$J$36</f>
        <v>0</v>
      </c>
      <c r="T243" s="447">
        <f t="shared" si="57"/>
        <v>0</v>
      </c>
      <c r="U243" s="448">
        <f t="shared" si="58"/>
        <v>0</v>
      </c>
      <c r="V243" s="740">
        <f t="shared" si="59"/>
        <v>0</v>
      </c>
      <c r="W243" s="259"/>
      <c r="X243" s="259"/>
      <c r="Y243" s="259"/>
      <c r="Z243" s="259"/>
      <c r="AA243" s="259"/>
    </row>
    <row r="244" spans="1:27" ht="46.8">
      <c r="A244" s="734">
        <v>227</v>
      </c>
      <c r="B244" s="538">
        <v>7000016865</v>
      </c>
      <c r="C244" s="538">
        <v>1970</v>
      </c>
      <c r="D244" s="553">
        <v>180</v>
      </c>
      <c r="E244" s="553">
        <v>20</v>
      </c>
      <c r="F244" s="553" t="s">
        <v>646</v>
      </c>
      <c r="G244" s="553">
        <v>100003422</v>
      </c>
      <c r="H244" s="553">
        <v>995468</v>
      </c>
      <c r="I244" s="554"/>
      <c r="J244" s="553">
        <v>18</v>
      </c>
      <c r="K244" s="552"/>
      <c r="L244" s="551" t="s">
        <v>802</v>
      </c>
      <c r="M244" s="553" t="s">
        <v>484</v>
      </c>
      <c r="N244" s="553">
        <v>41.893000000000001</v>
      </c>
      <c r="O244" s="539"/>
      <c r="P244" s="550" t="str">
        <f t="shared" si="54"/>
        <v>INCLUDED</v>
      </c>
      <c r="Q244" s="509">
        <f t="shared" si="55"/>
        <v>0</v>
      </c>
      <c r="R244" s="447">
        <f t="shared" si="56"/>
        <v>0</v>
      </c>
      <c r="S244" s="630">
        <f>Discount!$J$36</f>
        <v>0</v>
      </c>
      <c r="T244" s="447">
        <f t="shared" si="57"/>
        <v>0</v>
      </c>
      <c r="U244" s="448">
        <f t="shared" si="58"/>
        <v>0</v>
      </c>
      <c r="V244" s="740">
        <f t="shared" si="59"/>
        <v>0</v>
      </c>
      <c r="W244" s="259"/>
      <c r="X244" s="259"/>
      <c r="Y244" s="259"/>
      <c r="Z244" s="259"/>
      <c r="AA244" s="259"/>
    </row>
    <row r="245" spans="1:27" ht="62.4">
      <c r="A245" s="734">
        <v>228</v>
      </c>
      <c r="B245" s="538">
        <v>7000016865</v>
      </c>
      <c r="C245" s="538">
        <v>1970</v>
      </c>
      <c r="D245" s="553">
        <v>180</v>
      </c>
      <c r="E245" s="553">
        <v>30</v>
      </c>
      <c r="F245" s="553" t="s">
        <v>646</v>
      </c>
      <c r="G245" s="553">
        <v>100004829</v>
      </c>
      <c r="H245" s="553">
        <v>995468</v>
      </c>
      <c r="I245" s="554"/>
      <c r="J245" s="553">
        <v>18</v>
      </c>
      <c r="K245" s="552"/>
      <c r="L245" s="551" t="s">
        <v>530</v>
      </c>
      <c r="M245" s="553" t="s">
        <v>476</v>
      </c>
      <c r="N245" s="553">
        <v>16</v>
      </c>
      <c r="O245" s="539"/>
      <c r="P245" s="550" t="str">
        <f t="shared" si="54"/>
        <v>INCLUDED</v>
      </c>
      <c r="Q245" s="509">
        <f t="shared" si="55"/>
        <v>0</v>
      </c>
      <c r="R245" s="447">
        <f t="shared" si="56"/>
        <v>0</v>
      </c>
      <c r="S245" s="630">
        <f>Discount!$J$36</f>
        <v>0</v>
      </c>
      <c r="T245" s="447">
        <f t="shared" si="57"/>
        <v>0</v>
      </c>
      <c r="U245" s="448">
        <f t="shared" si="58"/>
        <v>0</v>
      </c>
      <c r="V245" s="740">
        <f t="shared" si="59"/>
        <v>0</v>
      </c>
      <c r="W245" s="259"/>
      <c r="X245" s="259"/>
      <c r="Y245" s="259"/>
      <c r="Z245" s="259"/>
      <c r="AA245" s="259"/>
    </row>
    <row r="246" spans="1:27" ht="46.8">
      <c r="A246" s="734">
        <v>229</v>
      </c>
      <c r="B246" s="538">
        <v>7000016865</v>
      </c>
      <c r="C246" s="538">
        <v>1970</v>
      </c>
      <c r="D246" s="553">
        <v>180</v>
      </c>
      <c r="E246" s="553">
        <v>40</v>
      </c>
      <c r="F246" s="553" t="s">
        <v>646</v>
      </c>
      <c r="G246" s="553">
        <v>100011627</v>
      </c>
      <c r="H246" s="553">
        <v>995468</v>
      </c>
      <c r="I246" s="554"/>
      <c r="J246" s="553">
        <v>18</v>
      </c>
      <c r="K246" s="552"/>
      <c r="L246" s="551" t="s">
        <v>712</v>
      </c>
      <c r="M246" s="553" t="s">
        <v>484</v>
      </c>
      <c r="N246" s="553">
        <v>1.7709999999999999</v>
      </c>
      <c r="O246" s="539"/>
      <c r="P246" s="550" t="str">
        <f t="shared" si="54"/>
        <v>INCLUDED</v>
      </c>
      <c r="Q246" s="509">
        <f t="shared" si="55"/>
        <v>0</v>
      </c>
      <c r="R246" s="447">
        <f t="shared" si="56"/>
        <v>0</v>
      </c>
      <c r="S246" s="630">
        <f>Discount!$J$36</f>
        <v>0</v>
      </c>
      <c r="T246" s="447">
        <f t="shared" si="57"/>
        <v>0</v>
      </c>
      <c r="U246" s="448">
        <f t="shared" si="58"/>
        <v>0</v>
      </c>
      <c r="V246" s="740">
        <f t="shared" si="59"/>
        <v>0</v>
      </c>
      <c r="W246" s="259"/>
      <c r="X246" s="259"/>
      <c r="Y246" s="259"/>
      <c r="Z246" s="259"/>
      <c r="AA246" s="259"/>
    </row>
    <row r="247" spans="1:27" ht="31.2">
      <c r="A247" s="734">
        <v>230</v>
      </c>
      <c r="B247" s="538">
        <v>7000016865</v>
      </c>
      <c r="C247" s="538">
        <v>2140</v>
      </c>
      <c r="D247" s="553">
        <v>205</v>
      </c>
      <c r="E247" s="553">
        <v>10</v>
      </c>
      <c r="F247" s="553" t="s">
        <v>647</v>
      </c>
      <c r="G247" s="553">
        <v>100023085</v>
      </c>
      <c r="H247" s="553">
        <v>995455</v>
      </c>
      <c r="I247" s="554"/>
      <c r="J247" s="553">
        <v>18</v>
      </c>
      <c r="K247" s="552"/>
      <c r="L247" s="551" t="s">
        <v>713</v>
      </c>
      <c r="M247" s="553" t="s">
        <v>525</v>
      </c>
      <c r="N247" s="553">
        <v>1</v>
      </c>
      <c r="O247" s="539"/>
      <c r="P247" s="550" t="str">
        <f t="shared" si="25"/>
        <v>INCLUDED</v>
      </c>
      <c r="Q247" s="509">
        <f t="shared" si="37"/>
        <v>0</v>
      </c>
      <c r="R247" s="447">
        <f t="shared" si="38"/>
        <v>0</v>
      </c>
      <c r="S247" s="630">
        <f>Discount!$J$36</f>
        <v>0</v>
      </c>
      <c r="T247" s="447">
        <f t="shared" si="39"/>
        <v>0</v>
      </c>
      <c r="U247" s="448">
        <f t="shared" si="40"/>
        <v>0</v>
      </c>
      <c r="V247" s="740">
        <f t="shared" si="41"/>
        <v>0</v>
      </c>
      <c r="W247" s="259"/>
      <c r="X247" s="259"/>
      <c r="Y247" s="259"/>
      <c r="Z247" s="259"/>
      <c r="AA247" s="259"/>
    </row>
    <row r="248" spans="1:27">
      <c r="A248" s="734">
        <v>231</v>
      </c>
      <c r="B248" s="538">
        <v>7000016865</v>
      </c>
      <c r="C248" s="538">
        <v>2480</v>
      </c>
      <c r="D248" s="553">
        <v>240</v>
      </c>
      <c r="E248" s="553">
        <v>100</v>
      </c>
      <c r="F248" s="553" t="s">
        <v>648</v>
      </c>
      <c r="G248" s="553">
        <v>170000265</v>
      </c>
      <c r="H248" s="553">
        <v>998716</v>
      </c>
      <c r="I248" s="554"/>
      <c r="J248" s="553">
        <v>18</v>
      </c>
      <c r="K248" s="552"/>
      <c r="L248" s="551" t="s">
        <v>511</v>
      </c>
      <c r="M248" s="744" t="s">
        <v>476</v>
      </c>
      <c r="N248" s="744">
        <v>12</v>
      </c>
      <c r="O248" s="539"/>
      <c r="P248" s="550" t="str">
        <f t="shared" si="25"/>
        <v>INCLUDED</v>
      </c>
      <c r="Q248" s="509">
        <f t="shared" si="37"/>
        <v>0</v>
      </c>
      <c r="R248" s="447">
        <f t="shared" si="38"/>
        <v>0</v>
      </c>
      <c r="S248" s="630">
        <f>Discount!$J$36</f>
        <v>0</v>
      </c>
      <c r="T248" s="447">
        <f t="shared" si="39"/>
        <v>0</v>
      </c>
      <c r="U248" s="448">
        <f t="shared" si="40"/>
        <v>0</v>
      </c>
      <c r="V248" s="740">
        <f t="shared" si="41"/>
        <v>0</v>
      </c>
      <c r="W248" s="259"/>
      <c r="X248" s="259"/>
      <c r="Y248" s="259"/>
      <c r="Z248" s="259"/>
      <c r="AA248" s="259"/>
    </row>
    <row r="249" spans="1:27" ht="39" customHeight="1">
      <c r="A249" s="855"/>
      <c r="B249" s="856"/>
      <c r="C249" s="856"/>
      <c r="D249" s="856"/>
      <c r="E249" s="856"/>
      <c r="F249" s="856"/>
      <c r="G249" s="856"/>
      <c r="H249" s="856"/>
      <c r="I249" s="856"/>
      <c r="J249" s="856"/>
      <c r="K249" s="856"/>
      <c r="L249" s="856"/>
      <c r="M249" s="856"/>
      <c r="N249" s="856"/>
      <c r="O249" s="856"/>
      <c r="P249" s="857"/>
      <c r="Q249" s="509">
        <f t="shared" si="37"/>
        <v>0</v>
      </c>
      <c r="R249" s="447">
        <f t="shared" si="38"/>
        <v>0</v>
      </c>
      <c r="S249" s="630">
        <f>Discount!$J$36</f>
        <v>0</v>
      </c>
      <c r="T249" s="447">
        <f t="shared" si="39"/>
        <v>0</v>
      </c>
      <c r="U249" s="448">
        <f t="shared" si="40"/>
        <v>0</v>
      </c>
      <c r="V249" s="740">
        <f t="shared" si="41"/>
        <v>0</v>
      </c>
      <c r="W249" s="259"/>
      <c r="X249" s="259"/>
      <c r="Y249" s="259"/>
      <c r="Z249" s="259"/>
      <c r="AA249" s="259"/>
    </row>
    <row r="250" spans="1:27" ht="28.5" customHeight="1">
      <c r="A250" s="609"/>
      <c r="B250" s="852" t="s">
        <v>467</v>
      </c>
      <c r="C250" s="853"/>
      <c r="D250" s="853"/>
      <c r="E250" s="853"/>
      <c r="F250" s="853"/>
      <c r="G250" s="853"/>
      <c r="H250" s="853"/>
      <c r="I250" s="853"/>
      <c r="J250" s="853"/>
      <c r="K250" s="853"/>
      <c r="L250" s="854"/>
      <c r="M250" s="610"/>
      <c r="N250" s="611"/>
      <c r="O250" s="610"/>
      <c r="P250" s="726">
        <f>SUM(P18:P249)</f>
        <v>0</v>
      </c>
      <c r="Q250" s="633"/>
      <c r="R250" s="632">
        <f>SUM(R18:R249)</f>
        <v>0</v>
      </c>
      <c r="S250" s="258"/>
      <c r="T250" s="449"/>
      <c r="U250" s="632">
        <f>SUM(U18:U249)</f>
        <v>0</v>
      </c>
      <c r="V250" s="740">
        <f>SUM(V18:V249)</f>
        <v>0</v>
      </c>
      <c r="W250" s="259"/>
      <c r="X250" s="259"/>
      <c r="Y250" s="259"/>
      <c r="Z250" s="259"/>
      <c r="AA250" s="259"/>
    </row>
    <row r="251" spans="1:27" ht="21.75" customHeight="1">
      <c r="B251" s="735"/>
      <c r="C251" s="736"/>
      <c r="D251" s="736"/>
      <c r="E251" s="736"/>
      <c r="F251" s="736"/>
      <c r="G251" s="736"/>
      <c r="H251" s="736"/>
      <c r="I251" s="736"/>
      <c r="J251" s="736"/>
      <c r="K251" s="736"/>
      <c r="L251" s="736"/>
      <c r="M251" s="474"/>
      <c r="N251" s="464"/>
      <c r="O251" s="474"/>
      <c r="P251" s="474"/>
      <c r="Q251" s="472"/>
      <c r="R251" s="258"/>
      <c r="S251" s="258"/>
      <c r="T251" s="449"/>
      <c r="U251" s="258"/>
      <c r="V251" s="259"/>
      <c r="W251" s="259"/>
      <c r="X251" s="259"/>
      <c r="Y251" s="259"/>
      <c r="Z251" s="259"/>
      <c r="AA251" s="259"/>
    </row>
    <row r="252" spans="1:27" ht="30" customHeight="1">
      <c r="A252" s="603" t="s">
        <v>346</v>
      </c>
      <c r="B252" s="847" t="s">
        <v>347</v>
      </c>
      <c r="C252" s="847"/>
      <c r="D252" s="847"/>
      <c r="E252" s="847"/>
      <c r="F252" s="847"/>
      <c r="G252" s="847"/>
      <c r="H252" s="847"/>
      <c r="I252" s="847"/>
      <c r="J252" s="847"/>
      <c r="K252" s="847"/>
      <c r="L252" s="847"/>
      <c r="M252" s="847"/>
      <c r="N252" s="847"/>
      <c r="O252" s="847"/>
      <c r="P252" s="847"/>
      <c r="Q252" s="472"/>
      <c r="R252" s="258"/>
      <c r="S252" s="258"/>
      <c r="T252" s="449"/>
      <c r="U252" s="258"/>
      <c r="V252" s="259"/>
      <c r="W252" s="259"/>
      <c r="X252" s="259"/>
      <c r="Y252" s="259"/>
      <c r="Z252" s="259"/>
      <c r="AA252" s="259"/>
    </row>
    <row r="253" spans="1:27" ht="21.75" customHeight="1">
      <c r="A253" s="737"/>
      <c r="B253" s="430"/>
      <c r="C253" s="325"/>
      <c r="D253" s="326"/>
      <c r="E253" s="327"/>
      <c r="F253" s="421"/>
      <c r="G253" s="421"/>
      <c r="H253" s="421"/>
      <c r="I253" s="421"/>
      <c r="J253" s="421"/>
      <c r="K253" s="421"/>
      <c r="L253" s="411"/>
      <c r="M253" s="474"/>
      <c r="N253" s="464"/>
      <c r="O253" s="474"/>
      <c r="P253" s="474"/>
      <c r="Q253" s="472"/>
      <c r="R253" s="258"/>
      <c r="S253" s="258"/>
      <c r="T253" s="449"/>
      <c r="U253" s="258"/>
      <c r="V253" s="259"/>
      <c r="W253" s="259"/>
      <c r="X253" s="259"/>
      <c r="Y253" s="259"/>
      <c r="Z253" s="259"/>
      <c r="AA253" s="259"/>
    </row>
    <row r="254" spans="1:27" ht="21.75" customHeight="1">
      <c r="A254" s="737"/>
      <c r="B254" s="430"/>
      <c r="C254" s="325"/>
      <c r="D254" s="326"/>
      <c r="E254" s="327"/>
      <c r="F254" s="421"/>
      <c r="G254" s="421"/>
      <c r="H254" s="421"/>
      <c r="I254" s="421"/>
      <c r="J254" s="421"/>
      <c r="K254" s="421"/>
      <c r="L254" s="411"/>
      <c r="M254" s="474"/>
      <c r="N254" s="464"/>
      <c r="O254" s="474"/>
      <c r="P254" s="474"/>
      <c r="Q254" s="472"/>
      <c r="R254" s="258"/>
      <c r="S254" s="258"/>
      <c r="T254" s="449"/>
      <c r="U254" s="258"/>
      <c r="V254" s="259"/>
      <c r="W254" s="259"/>
      <c r="X254" s="259"/>
      <c r="Y254" s="259"/>
      <c r="Z254" s="259"/>
      <c r="AA254" s="259"/>
    </row>
    <row r="255" spans="1:27" s="464" customFormat="1" ht="14.4">
      <c r="A255" s="603"/>
      <c r="B255" s="604" t="s">
        <v>307</v>
      </c>
      <c r="C255" s="850" t="str">
        <f>'Sch-1'!C219:D219</f>
        <v xml:space="preserve">  </v>
      </c>
      <c r="D255" s="850"/>
      <c r="E255" s="850"/>
      <c r="F255" s="603"/>
      <c r="G255" s="603"/>
      <c r="H255" s="603"/>
      <c r="I255" s="603"/>
      <c r="J255" s="603"/>
      <c r="K255" s="603"/>
      <c r="L255" s="603"/>
      <c r="M255" s="848" t="s">
        <v>309</v>
      </c>
      <c r="N255" s="848"/>
      <c r="O255" s="851" t="str">
        <f>'Sch-1'!K219</f>
        <v/>
      </c>
      <c r="P255" s="851"/>
      <c r="R255" s="473"/>
      <c r="S255" s="473"/>
      <c r="T255" s="473"/>
      <c r="U255" s="473"/>
    </row>
    <row r="256" spans="1:27" s="464" customFormat="1" ht="14.4">
      <c r="A256" s="603"/>
      <c r="B256" s="604" t="s">
        <v>308</v>
      </c>
      <c r="C256" s="849" t="str">
        <f>'Sch-1'!C220:D220</f>
        <v/>
      </c>
      <c r="D256" s="849"/>
      <c r="E256" s="849"/>
      <c r="F256" s="603"/>
      <c r="G256" s="603"/>
      <c r="H256" s="603"/>
      <c r="I256" s="603"/>
      <c r="J256" s="603"/>
      <c r="K256" s="603"/>
      <c r="L256" s="603"/>
      <c r="M256" s="848" t="s">
        <v>124</v>
      </c>
      <c r="N256" s="848"/>
      <c r="O256" s="851" t="str">
        <f>'Sch-1'!K220</f>
        <v/>
      </c>
      <c r="P256" s="851"/>
      <c r="R256" s="473"/>
      <c r="S256" s="473"/>
      <c r="T256" s="473"/>
      <c r="U256" s="473"/>
    </row>
    <row r="257" spans="2:17">
      <c r="B257" s="430"/>
      <c r="C257" s="325"/>
      <c r="D257" s="3"/>
      <c r="E257" s="327"/>
      <c r="F257" s="431"/>
      <c r="G257" s="421"/>
      <c r="H257" s="421"/>
      <c r="I257" s="421"/>
      <c r="J257" s="421"/>
      <c r="K257" s="421"/>
      <c r="L257" s="411"/>
      <c r="M257" s="474"/>
      <c r="N257" s="464"/>
      <c r="O257" s="474"/>
      <c r="P257" s="474"/>
      <c r="Q257" s="474"/>
    </row>
    <row r="258" spans="2:17">
      <c r="B258" s="432"/>
      <c r="C258" s="330"/>
      <c r="D258" s="331"/>
      <c r="E258" s="327"/>
      <c r="F258" s="431"/>
      <c r="G258" s="433"/>
      <c r="H258" s="433"/>
      <c r="I258" s="433"/>
      <c r="J258" s="433"/>
      <c r="K258" s="433"/>
      <c r="L258" s="411"/>
      <c r="M258" s="474"/>
      <c r="N258" s="464"/>
      <c r="O258" s="474"/>
      <c r="P258" s="474"/>
      <c r="Q258" s="474"/>
    </row>
    <row r="260" spans="2:17">
      <c r="P260" s="719"/>
    </row>
  </sheetData>
  <sheetProtection password="CC6F" sheet="1" formatColumns="0" formatRows="0" selectLockedCells="1"/>
  <customSheetViews>
    <customSheetView guid="{027A88A6-1BB1-46D4-AC44-9DCFC13F5D7E}" scale="60" showPageBreaks="1" fitToPage="1" printArea="1" hiddenColumns="1" view="pageBreakPreview" topLeftCell="A236">
      <selection activeCell="I247" sqref="I247"/>
      <pageMargins left="0.2" right="0.2" top="0.75" bottom="0.5" header="0.3" footer="0.3"/>
      <printOptions horizontalCentered="1"/>
      <pageSetup paperSize="9" scale="44" fitToHeight="0" orientation="landscape" r:id="rId1"/>
      <headerFooter>
        <oddHeader>&amp;RSchedule-3
Page &amp;P of &amp;N</oddHeader>
      </headerFooter>
    </customSheetView>
    <customSheetView guid="{889C3D82-0A24-4765-A688-A80A782F5056}" scale="85" showPageBreaks="1" fitToPage="1" printArea="1" hiddenColumns="1" view="pageBreakPreview">
      <selection activeCell="I24" sqref="I24"/>
      <pageMargins left="0.2" right="0.2" top="0.75" bottom="0.5" header="0.3" footer="0.3"/>
      <printOptions horizontalCentered="1"/>
      <pageSetup paperSize="9" scale="45" fitToHeight="0" orientation="landscape" r:id="rId2"/>
      <headerFooter>
        <oddHeader>&amp;RSchedule-3
Page &amp;P of &amp;N</oddHeader>
      </headerFooter>
    </customSheetView>
    <customSheetView guid="{A58DB4DF-40C7-4BEB-B85E-6BD6F54941CF}" scale="70" showPageBreaks="1" printArea="1" hiddenColumns="1" view="pageBreakPreview" topLeftCell="F1">
      <selection activeCell="O17" sqref="O17"/>
      <pageMargins left="0.2" right="0.2" top="0.75" bottom="0.5" header="0.3" footer="0.3"/>
      <printOptions horizontalCentered="1"/>
      <pageSetup paperSize="9" scale="53" orientation="landscape" r:id="rId3"/>
      <headerFooter>
        <oddHeader>&amp;RSchedule-3
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4"/>
      <headerFooter>
        <oddHeader>&amp;RSchedule-3
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5"/>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6"/>
    </customSheetView>
    <customSheetView guid="{63D51328-7CBC-4A1E-B96D-BAE91416501B}" scale="90" showPageBreaks="1" printArea="1" hiddenColumns="1" view="pageBreakPreview" topLeftCell="A69">
      <selection activeCell="O81" sqref="O81"/>
      <pageMargins left="0.2" right="0.2" top="0.75" bottom="0.5" header="0.3" footer="0.3"/>
      <printOptions horizontalCentered="1"/>
      <pageSetup paperSize="9" scale="53" orientation="landscape" r:id="rId7"/>
      <headerFooter>
        <oddHeader>&amp;RSchedule-3
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8"/>
      <headerFooter>
        <oddHeader>&amp;RSchedule-3
Page &amp;P of &amp;N</oddHeader>
      </headerFooter>
    </customSheetView>
    <customSheetView guid="{CCA37BAE-906F-43D5-9FD9-B13563E4B9D7}" scale="90" showPageBreaks="1" printArea="1" hiddenColumns="1" view="pageBreakPreview" topLeftCell="F1">
      <selection activeCell="O20" sqref="O20"/>
      <pageMargins left="0.2" right="0.2" top="0.75" bottom="0.5" header="0.3" footer="0.3"/>
      <printOptions horizontalCentered="1"/>
      <pageSetup paperSize="9" scale="53" orientation="landscape" r:id="rId9"/>
      <headerFooter>
        <oddHeader>&amp;RSchedule-3
Page &amp;P of &amp;N</oddHeader>
      </headerFooter>
    </customSheetView>
    <customSheetView guid="{18EA11B4-BD82-47BF-99FA-7AB19BF74D0B}" scale="70" showPageBreaks="1" printArea="1" hiddenColumns="1" view="pageBreakPreview">
      <selection activeCell="K17" sqref="K17"/>
      <pageMargins left="0.2" right="0.2" top="0.75" bottom="0.5" header="0.3" footer="0.3"/>
      <printOptions horizontalCentered="1"/>
      <pageSetup paperSize="9" scale="53" orientation="landscape" r:id="rId10"/>
      <headerFooter>
        <oddHeader>&amp;RSchedule-3
Page &amp;P of &amp;N</oddHeader>
      </headerFooter>
    </customSheetView>
    <customSheetView guid="{915C64AD-BD67-44F0-9117-5B9D998BA799}" scale="70" showPageBreaks="1" printArea="1" hiddenColumns="1" view="pageBreakPreview" topLeftCell="F1">
      <selection activeCell="O17" sqref="O17"/>
      <pageMargins left="0.2" right="0.2" top="0.75" bottom="0.5" header="0.3" footer="0.3"/>
      <printOptions horizontalCentered="1"/>
      <pageSetup paperSize="9" scale="53" orientation="landscape" r:id="rId11"/>
      <headerFooter>
        <oddHeader>&amp;RSchedule-3
Page &amp;P of &amp;N</oddHeader>
      </headerFooter>
    </customSheetView>
    <customSheetView guid="{DACD165C-CB59-4178-94BC-16705741C7B8}" scale="60" showPageBreaks="1" fitToPage="1" printArea="1" hiddenColumns="1" view="pageBreakPreview" topLeftCell="A18">
      <selection activeCell="O18" sqref="O18"/>
      <pageMargins left="0.2" right="0.2" top="0.75" bottom="0.5" header="0.3" footer="0.3"/>
      <printOptions horizontalCentered="1"/>
      <pageSetup paperSize="9" scale="44" fitToHeight="0" orientation="landscape" r:id="rId12"/>
      <headerFooter>
        <oddHeader>&amp;RSchedule-3
Page &amp;P of &amp;N</oddHeader>
      </headerFooter>
    </customSheetView>
  </customSheetViews>
  <mergeCells count="20">
    <mergeCell ref="B250:L250"/>
    <mergeCell ref="C12:G12"/>
    <mergeCell ref="C11:G11"/>
    <mergeCell ref="C10:G10"/>
    <mergeCell ref="C9:G9"/>
    <mergeCell ref="A249:P249"/>
    <mergeCell ref="O14:P14"/>
    <mergeCell ref="B17:F17"/>
    <mergeCell ref="A3:P3"/>
    <mergeCell ref="A4:P4"/>
    <mergeCell ref="A6:B6"/>
    <mergeCell ref="A7:I7"/>
    <mergeCell ref="A8:G8"/>
    <mergeCell ref="B252:P252"/>
    <mergeCell ref="M256:N256"/>
    <mergeCell ref="M255:N255"/>
    <mergeCell ref="C256:E256"/>
    <mergeCell ref="C255:E255"/>
    <mergeCell ref="O256:P256"/>
    <mergeCell ref="O255:P255"/>
  </mergeCells>
  <conditionalFormatting sqref="K18:K19 K229:K236 K210:K213 K179:K205 K159:K177 K247:K248 K92:K108">
    <cfRule type="expression" dxfId="15" priority="21" stopIfTrue="1">
      <formula>J18&gt;0</formula>
    </cfRule>
  </conditionalFormatting>
  <conditionalFormatting sqref="K214:K228">
    <cfRule type="expression" dxfId="14" priority="13" stopIfTrue="1">
      <formula>J214&gt;0</formula>
    </cfRule>
  </conditionalFormatting>
  <conditionalFormatting sqref="K206:K209">
    <cfRule type="expression" dxfId="13" priority="12" stopIfTrue="1">
      <formula>J206&gt;0</formula>
    </cfRule>
  </conditionalFormatting>
  <conditionalFormatting sqref="K178">
    <cfRule type="expression" dxfId="12" priority="11" stopIfTrue="1">
      <formula>J178&gt;0</formula>
    </cfRule>
  </conditionalFormatting>
  <conditionalFormatting sqref="K237:K246">
    <cfRule type="expression" dxfId="11" priority="10" stopIfTrue="1">
      <formula>J237&gt;0</formula>
    </cfRule>
  </conditionalFormatting>
  <conditionalFormatting sqref="K132:K139 K113:K116 K150:K158 K72:K90">
    <cfRule type="expression" dxfId="10" priority="9" stopIfTrue="1">
      <formula>J72&gt;0</formula>
    </cfRule>
  </conditionalFormatting>
  <conditionalFormatting sqref="K117:K131">
    <cfRule type="expression" dxfId="9" priority="8" stopIfTrue="1">
      <formula>J117&gt;0</formula>
    </cfRule>
  </conditionalFormatting>
  <conditionalFormatting sqref="K109:K112">
    <cfRule type="expression" dxfId="8" priority="7" stopIfTrue="1">
      <formula>J109&gt;0</formula>
    </cfRule>
  </conditionalFormatting>
  <conditionalFormatting sqref="K91">
    <cfRule type="expression" dxfId="7" priority="6" stopIfTrue="1">
      <formula>J91&gt;0</formula>
    </cfRule>
  </conditionalFormatting>
  <conditionalFormatting sqref="K140:K149">
    <cfRule type="expression" dxfId="6" priority="5" stopIfTrue="1">
      <formula>J140&gt;0</formula>
    </cfRule>
  </conditionalFormatting>
  <conditionalFormatting sqref="K71 K40:K66 K20:K38">
    <cfRule type="expression" dxfId="5" priority="4" stopIfTrue="1">
      <formula>J20&gt;0</formula>
    </cfRule>
  </conditionalFormatting>
  <conditionalFormatting sqref="K67:K70">
    <cfRule type="expression" dxfId="4" priority="3" stopIfTrue="1">
      <formula>J67&gt;0</formula>
    </cfRule>
  </conditionalFormatting>
  <conditionalFormatting sqref="K39">
    <cfRule type="expression" dxfId="3" priority="2" stopIfTrue="1">
      <formula>J39&gt;0</formula>
    </cfRule>
  </conditionalFormatting>
  <dataValidations count="5">
    <dataValidation type="list" allowBlank="1" showInputMessage="1" showErrorMessage="1" sqref="IJ64685 A64685:K64685" xr:uid="{00000000-0002-0000-0600-000000000000}">
      <formula1>#REF!</formula1>
    </dataValidation>
    <dataValidation type="decimal" operator="greaterThan" allowBlank="1" showInputMessage="1" showErrorMessage="1" error="Enter only Numeric Value greater than zero or leave the cell blank !" sqref="O64655:O64701" xr:uid="{00000000-0002-0000-0600-000001000000}">
      <formula1>0</formula1>
    </dataValidation>
    <dataValidation type="list" operator="greaterThan" allowBlank="1" showInputMessage="1" showErrorMessage="1" sqref="K18:K248" xr:uid="{00000000-0002-0000-0600-000002000000}">
      <formula1>"0%,5%,12%,18%,28%"</formula1>
    </dataValidation>
    <dataValidation type="whole" operator="greaterThan" allowBlank="1" showInputMessage="1" showErrorMessage="1" sqref="I18:I248" xr:uid="{00000000-0002-0000-0600-000003000000}">
      <formula1>0</formula1>
    </dataValidation>
    <dataValidation type="decimal" operator="greaterThanOrEqual" allowBlank="1" showInputMessage="1" showErrorMessage="1" sqref="O18:O248" xr:uid="{00000000-0002-0000-0600-000004000000}">
      <formula1>0</formula1>
    </dataValidation>
  </dataValidations>
  <printOptions horizontalCentered="1"/>
  <pageMargins left="0.2" right="0.2" top="0.75" bottom="0.5" header="0.3" footer="0.3"/>
  <pageSetup paperSize="9" scale="44" fitToHeight="0" orientation="landscape" r:id="rId13"/>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85" zoomScaleNormal="100" zoomScaleSheetLayoutView="85" workbookViewId="0">
      <selection activeCell="L24" sqref="L24"/>
    </sheetView>
  </sheetViews>
  <sheetFormatPr defaultColWidth="9.109375" defaultRowHeight="15.6"/>
  <cols>
    <col min="1" max="1" width="7.5546875" style="500" customWidth="1"/>
    <col min="2" max="2" width="9" style="500" customWidth="1"/>
    <col min="3" max="3" width="10.33203125" style="500" customWidth="1"/>
    <col min="4" max="4" width="10.88671875" style="500" customWidth="1"/>
    <col min="5" max="5" width="11.109375" style="500" customWidth="1"/>
    <col min="6" max="6" width="13.6640625" style="500" customWidth="1"/>
    <col min="7" max="7" width="15.44140625" style="500" customWidth="1"/>
    <col min="8" max="11" width="16.88671875" style="500" customWidth="1"/>
    <col min="12" max="12" width="14.44140625" style="501" customWidth="1"/>
    <col min="13" max="13" width="9" style="500" customWidth="1"/>
    <col min="14" max="14" width="11.44140625" style="500" customWidth="1"/>
    <col min="15" max="15" width="13.33203125" style="500" customWidth="1"/>
    <col min="16" max="16" width="19.109375" style="505" customWidth="1"/>
    <col min="17" max="16384" width="9.109375" style="505"/>
  </cols>
  <sheetData>
    <row r="1" spans="1:16" s="502" customFormat="1" ht="24.75" customHeight="1">
      <c r="A1" s="485" t="str">
        <f>Cover!B3</f>
        <v>Specification No. : 5002002268/TOWER/DOM/A00 - CC CS -1</v>
      </c>
      <c r="B1" s="485"/>
      <c r="C1" s="485"/>
      <c r="D1" s="485"/>
      <c r="E1" s="485"/>
      <c r="F1" s="485"/>
      <c r="G1" s="486"/>
      <c r="H1" s="486"/>
      <c r="I1" s="486"/>
      <c r="J1" s="486"/>
      <c r="K1" s="486"/>
      <c r="L1" s="487"/>
      <c r="M1" s="488"/>
      <c r="N1" s="489"/>
      <c r="O1" s="489"/>
      <c r="P1" s="490" t="s">
        <v>26</v>
      </c>
    </row>
    <row r="2" spans="1:16" s="502" customFormat="1">
      <c r="A2" s="11"/>
      <c r="B2" s="11"/>
      <c r="C2" s="11"/>
      <c r="D2" s="11"/>
      <c r="E2" s="11"/>
      <c r="F2" s="11"/>
      <c r="G2" s="491"/>
      <c r="H2" s="491"/>
      <c r="I2" s="491"/>
      <c r="J2" s="491"/>
      <c r="K2" s="491"/>
      <c r="L2" s="492"/>
      <c r="M2" s="493"/>
      <c r="N2" s="494"/>
      <c r="O2" s="494"/>
    </row>
    <row r="3" spans="1:16" s="502" customFormat="1" ht="87" customHeight="1">
      <c r="A3" s="867" t="str">
        <f>Cover!$B$2</f>
        <v>Transmission Line Tower Package-TW01 including Design &amp; Testing of towers, Design of foundation, Supply of HTLS conductor, Composite long rod insulators, Earthwire/OPGW, Hardware Fittings, Accessories for Conductor &amp; Earthwire for M/C portion of (i) 400 kV D/C (Twin HTLS) Navasari (New) (South Gujarat)-Kala line and (ii) 400 kV D/C (Twin HTLS) Navasari (New) (South Gujarat)-Magarwada line and for D/C portion of (i) 400 kV D/C (twin HTLS) Navasari (New) (South Gujarat)-Kala line (From M/c line common point near Magarwada SS to Kala SS) associated with Transmission Network Expansion in Gujarat to increase its ATC from ISTS: Part B.</v>
      </c>
      <c r="B3" s="867"/>
      <c r="C3" s="867"/>
      <c r="D3" s="867"/>
      <c r="E3" s="867"/>
      <c r="F3" s="867"/>
      <c r="G3" s="867"/>
      <c r="H3" s="867"/>
      <c r="I3" s="867"/>
      <c r="J3" s="867"/>
      <c r="K3" s="867"/>
      <c r="L3" s="867"/>
      <c r="M3" s="867"/>
      <c r="N3" s="867"/>
      <c r="O3" s="867"/>
      <c r="P3" s="867"/>
    </row>
    <row r="4" spans="1:16" s="502" customFormat="1">
      <c r="A4" s="868" t="s">
        <v>19</v>
      </c>
      <c r="B4" s="868"/>
      <c r="C4" s="868"/>
      <c r="D4" s="868"/>
      <c r="E4" s="868"/>
      <c r="F4" s="868"/>
      <c r="G4" s="868"/>
      <c r="H4" s="868"/>
      <c r="I4" s="868"/>
      <c r="J4" s="868"/>
      <c r="K4" s="868"/>
      <c r="L4" s="868"/>
      <c r="M4" s="868"/>
      <c r="N4" s="868"/>
      <c r="O4" s="868"/>
      <c r="P4" s="868"/>
    </row>
    <row r="5" spans="1:16" s="502" customFormat="1">
      <c r="A5" s="495"/>
      <c r="B5" s="495"/>
      <c r="C5" s="495"/>
      <c r="D5" s="495"/>
      <c r="E5" s="495"/>
      <c r="F5" s="495"/>
      <c r="G5" s="496"/>
      <c r="H5" s="496"/>
      <c r="I5" s="496"/>
      <c r="J5" s="496"/>
      <c r="K5" s="496"/>
      <c r="L5" s="496"/>
      <c r="M5" s="495"/>
      <c r="N5" s="495"/>
      <c r="O5" s="495"/>
    </row>
    <row r="6" spans="1:16" s="502" customFormat="1" ht="20.25" customHeight="1">
      <c r="A6" s="813" t="s">
        <v>339</v>
      </c>
      <c r="B6" s="813"/>
      <c r="C6" s="4"/>
      <c r="D6" s="347"/>
      <c r="E6" s="4"/>
      <c r="F6" s="4"/>
      <c r="G6" s="4"/>
      <c r="H6" s="4"/>
      <c r="I6" s="4"/>
      <c r="J6" s="496"/>
      <c r="K6" s="496"/>
      <c r="L6" s="496"/>
      <c r="M6" s="495"/>
      <c r="N6" s="495"/>
      <c r="O6" s="495"/>
    </row>
    <row r="7" spans="1:16" s="502" customFormat="1" ht="21" customHeight="1">
      <c r="A7" s="818">
        <f>'Sch-1'!A7</f>
        <v>0</v>
      </c>
      <c r="B7" s="818"/>
      <c r="C7" s="818"/>
      <c r="D7" s="818"/>
      <c r="E7" s="818"/>
      <c r="F7" s="818"/>
      <c r="G7" s="818"/>
      <c r="H7" s="818"/>
      <c r="I7" s="818"/>
      <c r="J7" s="5"/>
      <c r="K7" s="5"/>
      <c r="L7" s="388"/>
      <c r="M7" s="5"/>
      <c r="N7" s="497" t="s">
        <v>1</v>
      </c>
      <c r="O7" s="494"/>
    </row>
    <row r="8" spans="1:16" s="502" customFormat="1" ht="21" customHeight="1">
      <c r="A8" s="814" t="str">
        <f>"Bidder’s Name and Address  (" &amp; MID('Names of Bidder'!A9,9, 20) &amp; ") :"</f>
        <v>Bidder’s Name and Address  (Sole Bidder) :</v>
      </c>
      <c r="B8" s="814"/>
      <c r="C8" s="814"/>
      <c r="D8" s="814"/>
      <c r="E8" s="814"/>
      <c r="F8" s="814"/>
      <c r="G8" s="814"/>
      <c r="H8" s="541"/>
      <c r="I8" s="541"/>
      <c r="J8" s="511"/>
      <c r="K8" s="511"/>
      <c r="L8" s="511"/>
      <c r="M8" s="511"/>
      <c r="N8" s="12" t="str">
        <f>'Sch-1'!K8</f>
        <v>Contract Services</v>
      </c>
      <c r="O8" s="494"/>
    </row>
    <row r="9" spans="1:16" s="502" customFormat="1" ht="24" customHeight="1">
      <c r="A9" s="457" t="s">
        <v>12</v>
      </c>
      <c r="B9" s="403"/>
      <c r="C9" s="817" t="str">
        <f>IF('Names of Bidder'!C9=0, "", 'Names of Bidder'!C9)</f>
        <v/>
      </c>
      <c r="D9" s="817"/>
      <c r="E9" s="817"/>
      <c r="F9" s="817"/>
      <c r="G9" s="817"/>
      <c r="H9" s="440"/>
      <c r="I9" s="404"/>
      <c r="J9" s="257"/>
      <c r="K9" s="257"/>
      <c r="L9" s="503"/>
      <c r="N9" s="12" t="str">
        <f>'Sch-1'!K9</f>
        <v>Power Grid Corporation of India Ltd.,</v>
      </c>
      <c r="O9" s="494"/>
    </row>
    <row r="10" spans="1:16" s="502" customFormat="1">
      <c r="A10" s="457" t="s">
        <v>11</v>
      </c>
      <c r="B10" s="403"/>
      <c r="C10" s="816" t="str">
        <f>IF('Names of Bidder'!C10=0, "", 'Names of Bidder'!C10)</f>
        <v/>
      </c>
      <c r="D10" s="816"/>
      <c r="E10" s="816"/>
      <c r="F10" s="816"/>
      <c r="G10" s="816"/>
      <c r="H10" s="440"/>
      <c r="I10" s="404"/>
      <c r="J10" s="257"/>
      <c r="K10" s="257"/>
      <c r="L10" s="503"/>
      <c r="N10" s="12" t="str">
        <f>'Sch-1'!K10</f>
        <v>"Saudamini", Plot No.-2</v>
      </c>
      <c r="O10" s="494"/>
    </row>
    <row r="11" spans="1:16" s="502" customFormat="1">
      <c r="A11" s="404"/>
      <c r="B11" s="404"/>
      <c r="C11" s="816" t="str">
        <f>IF('Names of Bidder'!C11=0, "", 'Names of Bidder'!C11)</f>
        <v/>
      </c>
      <c r="D11" s="816"/>
      <c r="E11" s="816"/>
      <c r="F11" s="816"/>
      <c r="G11" s="816"/>
      <c r="H11" s="440"/>
      <c r="I11" s="404"/>
      <c r="J11" s="257"/>
      <c r="K11" s="257"/>
      <c r="L11" s="503"/>
      <c r="N11" s="12" t="str">
        <f>'Sch-1'!K11</f>
        <v xml:space="preserve">Sector-29, </v>
      </c>
      <c r="O11" s="494"/>
    </row>
    <row r="12" spans="1:16" s="502" customFormat="1">
      <c r="A12" s="404"/>
      <c r="B12" s="404"/>
      <c r="C12" s="816" t="str">
        <f>IF('Names of Bidder'!C12=0, "", 'Names of Bidder'!C12)</f>
        <v/>
      </c>
      <c r="D12" s="816"/>
      <c r="E12" s="816"/>
      <c r="F12" s="816"/>
      <c r="G12" s="816"/>
      <c r="H12" s="440"/>
      <c r="I12" s="404"/>
      <c r="J12" s="257"/>
      <c r="K12" s="257"/>
      <c r="L12" s="503"/>
      <c r="N12" s="12" t="str">
        <f>'Sch-1'!K12</f>
        <v>Gurgaon (Haryana) - 122001</v>
      </c>
      <c r="O12" s="494"/>
    </row>
    <row r="13" spans="1:16" s="502" customFormat="1">
      <c r="A13" s="404"/>
      <c r="B13" s="404"/>
      <c r="C13" s="588"/>
      <c r="D13" s="588"/>
      <c r="E13" s="588"/>
      <c r="F13" s="588"/>
      <c r="G13" s="588"/>
      <c r="H13" s="440"/>
      <c r="I13" s="404"/>
      <c r="J13" s="257"/>
      <c r="K13" s="257"/>
      <c r="L13" s="503"/>
      <c r="N13" s="12"/>
      <c r="O13" s="494"/>
    </row>
    <row r="14" spans="1:16" s="502" customFormat="1" ht="21" customHeight="1">
      <c r="A14" s="858" t="s">
        <v>27</v>
      </c>
      <c r="B14" s="858"/>
      <c r="C14" s="858"/>
      <c r="D14" s="858"/>
      <c r="E14" s="858"/>
      <c r="F14" s="858"/>
      <c r="G14" s="858"/>
      <c r="H14" s="858"/>
      <c r="I14" s="858"/>
      <c r="J14" s="858"/>
      <c r="K14" s="858"/>
      <c r="L14" s="858"/>
      <c r="M14" s="858"/>
      <c r="N14" s="858"/>
      <c r="O14" s="858"/>
      <c r="P14" s="858"/>
    </row>
    <row r="15" spans="1:16" s="502" customFormat="1" ht="91.2" customHeight="1">
      <c r="A15" s="481" t="s">
        <v>7</v>
      </c>
      <c r="B15" s="482" t="s">
        <v>260</v>
      </c>
      <c r="C15" s="482" t="s">
        <v>261</v>
      </c>
      <c r="D15" s="482" t="s">
        <v>271</v>
      </c>
      <c r="E15" s="482" t="s">
        <v>273</v>
      </c>
      <c r="F15" s="482" t="s">
        <v>274</v>
      </c>
      <c r="G15" s="481" t="s">
        <v>25</v>
      </c>
      <c r="H15" s="512" t="s">
        <v>314</v>
      </c>
      <c r="I15" s="513" t="s">
        <v>313</v>
      </c>
      <c r="J15" s="513" t="s">
        <v>301</v>
      </c>
      <c r="K15" s="513" t="s">
        <v>310</v>
      </c>
      <c r="L15" s="482" t="s">
        <v>15</v>
      </c>
      <c r="M15" s="483" t="s">
        <v>9</v>
      </c>
      <c r="N15" s="483" t="s">
        <v>16</v>
      </c>
      <c r="O15" s="484" t="s">
        <v>28</v>
      </c>
      <c r="P15" s="484" t="s">
        <v>29</v>
      </c>
    </row>
    <row r="16" spans="1:16" s="608" customFormat="1" ht="14.4">
      <c r="A16" s="605">
        <v>1</v>
      </c>
      <c r="B16" s="605">
        <v>2</v>
      </c>
      <c r="C16" s="605">
        <v>3</v>
      </c>
      <c r="D16" s="605">
        <v>4</v>
      </c>
      <c r="E16" s="605">
        <v>5</v>
      </c>
      <c r="F16" s="605">
        <v>6</v>
      </c>
      <c r="G16" s="605">
        <v>7</v>
      </c>
      <c r="H16" s="606">
        <v>8</v>
      </c>
      <c r="I16" s="606">
        <v>9</v>
      </c>
      <c r="J16" s="606">
        <v>10</v>
      </c>
      <c r="K16" s="606">
        <v>11</v>
      </c>
      <c r="L16" s="607">
        <v>12</v>
      </c>
      <c r="M16" s="605">
        <v>13</v>
      </c>
      <c r="N16" s="605">
        <v>14</v>
      </c>
      <c r="O16" s="605">
        <v>15</v>
      </c>
      <c r="P16" s="605" t="s">
        <v>312</v>
      </c>
    </row>
    <row r="17" spans="1:17">
      <c r="A17" s="498"/>
      <c r="B17" s="498"/>
      <c r="C17" s="498"/>
      <c r="D17" s="498"/>
      <c r="E17" s="498"/>
      <c r="F17" s="498"/>
      <c r="G17" s="498"/>
      <c r="H17" s="498"/>
      <c r="I17" s="498"/>
      <c r="J17" s="498"/>
      <c r="K17" s="498"/>
      <c r="L17" s="499"/>
      <c r="M17" s="498"/>
      <c r="N17" s="498"/>
      <c r="O17" s="498"/>
      <c r="P17" s="504"/>
    </row>
    <row r="18" spans="1:17" s="500" customFormat="1" ht="45" customHeight="1">
      <c r="A18" s="498"/>
      <c r="B18" s="506"/>
      <c r="C18" s="506"/>
      <c r="D18" s="506"/>
      <c r="F18" s="506"/>
      <c r="G18" s="506"/>
      <c r="H18" s="506"/>
      <c r="I18" s="594" t="s">
        <v>327</v>
      </c>
      <c r="J18" s="506"/>
      <c r="K18" s="506"/>
      <c r="L18" s="506"/>
      <c r="M18" s="506"/>
      <c r="N18" s="506"/>
      <c r="O18" s="506"/>
      <c r="P18" s="506"/>
    </row>
    <row r="19" spans="1:17" ht="26.25" customHeight="1">
      <c r="A19" s="498"/>
      <c r="B19" s="864"/>
      <c r="C19" s="865"/>
      <c r="D19" s="865"/>
      <c r="E19" s="865"/>
      <c r="F19" s="865"/>
      <c r="G19" s="865"/>
      <c r="H19" s="865"/>
      <c r="I19" s="865"/>
      <c r="J19" s="865"/>
      <c r="K19" s="866"/>
      <c r="L19" s="507"/>
      <c r="M19" s="507"/>
      <c r="N19" s="507"/>
      <c r="O19" s="507"/>
      <c r="P19" s="508"/>
      <c r="Q19" s="441"/>
    </row>
    <row r="21" spans="1:17" s="509" customFormat="1">
      <c r="B21" s="510" t="s">
        <v>307</v>
      </c>
      <c r="C21" s="862" t="str">
        <f>'Sch-3'!C255:D255</f>
        <v xml:space="preserve">  </v>
      </c>
      <c r="D21" s="861"/>
    </row>
    <row r="22" spans="1:17" s="509" customFormat="1">
      <c r="B22" s="510" t="s">
        <v>308</v>
      </c>
      <c r="C22" s="860" t="str">
        <f>'Sch-3'!C256:D256</f>
        <v/>
      </c>
      <c r="D22" s="861"/>
      <c r="L22" s="859" t="s">
        <v>309</v>
      </c>
      <c r="M22" s="859"/>
      <c r="N22" s="863" t="str">
        <f>'Sch-3'!O255</f>
        <v/>
      </c>
      <c r="O22" s="863"/>
      <c r="P22" s="863"/>
    </row>
    <row r="23" spans="1:17">
      <c r="L23" s="859" t="s">
        <v>124</v>
      </c>
      <c r="M23" s="859"/>
      <c r="N23" s="863" t="str">
        <f>'Sch-3'!O256</f>
        <v/>
      </c>
      <c r="O23" s="863"/>
      <c r="P23" s="863"/>
    </row>
  </sheetData>
  <sheetProtection password="CC6F" sheet="1" objects="1" scenarios="1" formatColumns="0" formatRows="0" selectLockedCells="1"/>
  <customSheetViews>
    <customSheetView guid="{027A88A6-1BB1-46D4-AC44-9DCFC13F5D7E}" scale="85" showPageBreaks="1" printArea="1" view="pageBreakPreview">
      <selection activeCell="L24" sqref="L24"/>
      <pageMargins left="0.7" right="0.7" top="0.75" bottom="0.75" header="0.3" footer="0.3"/>
      <pageSetup paperSize="9" scale="58" orientation="landscape" r:id="rId1"/>
    </customSheetView>
    <customSheetView guid="{889C3D82-0A24-4765-A688-A80A782F5056}" scale="85" showPageBreaks="1" printArea="1" view="pageBreakPreview">
      <selection activeCell="L24" sqref="L24"/>
      <pageMargins left="0.7" right="0.7" top="0.75" bottom="0.75" header="0.3" footer="0.3"/>
      <pageSetup paperSize="9" scale="58" orientation="landscape" r:id="rId2"/>
    </customSheetView>
    <customSheetView guid="{A58DB4DF-40C7-4BEB-B85E-6BD6F54941CF}" scale="60" showPageBreaks="1" printArea="1" view="pageBreakPreview">
      <selection activeCell="A20" sqref="A20:XFD21"/>
      <pageMargins left="0.7" right="0.7" top="0.75" bottom="0.75" header="0.3" footer="0.3"/>
      <pageSetup paperSize="9" scale="58" orientation="landscape" r:id="rId3"/>
    </customSheetView>
    <customSheetView guid="{B96E710B-6DD7-4DE1-95AB-C9EE060CD030}" scale="80" showPageBreaks="1" printArea="1" view="pageBreakPreview">
      <selection activeCell="G22" sqref="G22"/>
      <pageMargins left="0.7" right="0.7" top="0.75" bottom="0.75" header="0.3" footer="0.3"/>
      <pageSetup paperSize="9" scale="58" orientation="landscape" r:id="rId4"/>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5"/>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6"/>
    </customSheetView>
    <customSheetView guid="{63D51328-7CBC-4A1E-B96D-BAE91416501B}" scale="80" showPageBreaks="1" printArea="1" view="pageBreakPreview">
      <selection activeCell="G22" sqref="G22"/>
      <pageMargins left="0.7" right="0.7" top="0.75" bottom="0.75" header="0.3" footer="0.3"/>
      <pageSetup paperSize="9" scale="58" orientation="landscape" r:id="rId7"/>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8"/>
    </customSheetView>
    <customSheetView guid="{CCA37BAE-906F-43D5-9FD9-B13563E4B9D7}" showPageBreaks="1" printArea="1" view="pageBreakPreview" topLeftCell="A15">
      <selection activeCell="Q25" sqref="Q25"/>
      <pageMargins left="0.7" right="0.7" top="0.75" bottom="0.75" header="0.3" footer="0.3"/>
      <pageSetup paperSize="9" scale="58" orientation="landscape" r:id="rId9"/>
    </customSheetView>
    <customSheetView guid="{18EA11B4-BD82-47BF-99FA-7AB19BF74D0B}" showPageBreaks="1" printArea="1" view="pageBreakPreview" topLeftCell="A6">
      <selection activeCell="Q25" sqref="Q25"/>
      <pageMargins left="0.7" right="0.7" top="0.75" bottom="0.75" header="0.3" footer="0.3"/>
      <pageSetup paperSize="9" scale="58" orientation="landscape" r:id="rId10"/>
    </customSheetView>
    <customSheetView guid="{915C64AD-BD67-44F0-9117-5B9D998BA799}" scale="60" showPageBreaks="1" printArea="1" view="pageBreakPreview">
      <selection activeCell="A20" sqref="A20:XFD21"/>
      <pageMargins left="0.7" right="0.7" top="0.75" bottom="0.75" header="0.3" footer="0.3"/>
      <pageSetup paperSize="9" scale="58" orientation="landscape" r:id="rId11"/>
    </customSheetView>
    <customSheetView guid="{DACD165C-CB59-4178-94BC-16705741C7B8}" scale="85" showPageBreaks="1" printArea="1" view="pageBreakPreview">
      <selection activeCell="L24" sqref="L24"/>
      <pageMargins left="0.7" right="0.7" top="0.75" bottom="0.75" header="0.3" footer="0.3"/>
      <pageSetup paperSize="9" scale="58" orientation="landscape" r:id="rId12"/>
    </customSheetView>
  </customSheetViews>
  <mergeCells count="17">
    <mergeCell ref="A3:P3"/>
    <mergeCell ref="A6:B6"/>
    <mergeCell ref="A7:I7"/>
    <mergeCell ref="A8:G8"/>
    <mergeCell ref="C12:G12"/>
    <mergeCell ref="C11:G11"/>
    <mergeCell ref="C10:G10"/>
    <mergeCell ref="C9:G9"/>
    <mergeCell ref="A4:P4"/>
    <mergeCell ref="A14:P14"/>
    <mergeCell ref="L22:M22"/>
    <mergeCell ref="C22:D22"/>
    <mergeCell ref="L23:M23"/>
    <mergeCell ref="C21:D21"/>
    <mergeCell ref="N23:P23"/>
    <mergeCell ref="N22:P22"/>
    <mergeCell ref="B19:K19"/>
  </mergeCells>
  <pageMargins left="0.7" right="0.7" top="0.75" bottom="0.75" header="0.3" footer="0.3"/>
  <pageSetup paperSize="9" scale="58" orientation="landscape" r:id="rId1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10" zoomScale="115" zoomScaleNormal="100" zoomScaleSheetLayoutView="115" workbookViewId="0">
      <selection activeCell="D17" sqref="D17:E17"/>
    </sheetView>
  </sheetViews>
  <sheetFormatPr defaultColWidth="11.44140625" defaultRowHeight="15.6"/>
  <cols>
    <col min="1" max="1" width="11.88671875" style="28" customWidth="1"/>
    <col min="2" max="2" width="46.6640625" style="28" customWidth="1"/>
    <col min="3" max="3" width="20" style="28" customWidth="1"/>
    <col min="4" max="4" width="23.44140625" style="28" customWidth="1"/>
    <col min="5" max="5" width="22.88671875" style="28" customWidth="1"/>
    <col min="6" max="6" width="11.44140625" style="85" hidden="1" customWidth="1"/>
    <col min="7" max="7" width="34.109375" style="85" hidden="1" customWidth="1"/>
    <col min="8" max="8" width="11.44140625" style="85" hidden="1" customWidth="1"/>
    <col min="9" max="9" width="14" style="382" hidden="1" customWidth="1"/>
    <col min="10" max="10" width="14.44140625" style="382" hidden="1" customWidth="1"/>
    <col min="11" max="11" width="17.109375" style="382" hidden="1" customWidth="1"/>
    <col min="12" max="13" width="11.44140625" style="382" hidden="1" customWidth="1"/>
    <col min="14" max="14" width="21.33203125" style="382" hidden="1" customWidth="1"/>
    <col min="15" max="15" width="18.33203125" style="86" hidden="1" customWidth="1"/>
    <col min="16" max="17" width="11.44140625" style="86" hidden="1" customWidth="1"/>
    <col min="18" max="18" width="11.44140625" style="112" hidden="1" customWidth="1"/>
    <col min="19" max="20" width="11.44140625" style="85" hidden="1" customWidth="1"/>
    <col min="21" max="24" width="11.44140625" style="85" customWidth="1"/>
    <col min="25" max="16384" width="11.44140625" style="112"/>
  </cols>
  <sheetData>
    <row r="1" spans="1:15" ht="18" customHeight="1">
      <c r="A1" s="81" t="str">
        <f>Cover!B3</f>
        <v>Specification No. : 5002002268/TOWER/DOM/A00 - CC CS -1</v>
      </c>
      <c r="B1" s="82"/>
      <c r="C1" s="83"/>
      <c r="D1" s="83"/>
      <c r="E1" s="84" t="s">
        <v>127</v>
      </c>
    </row>
    <row r="2" spans="1:15" ht="8.1" customHeight="1">
      <c r="A2" s="87"/>
      <c r="B2" s="88"/>
      <c r="C2" s="89"/>
      <c r="D2" s="89"/>
      <c r="E2" s="90"/>
      <c r="F2" s="91"/>
    </row>
    <row r="3" spans="1:15" ht="76.5" customHeight="1">
      <c r="A3" s="877" t="str">
        <f>Cover!$B$2</f>
        <v>Transmission Line Tower Package-TW01 including Design &amp; Testing of towers, Design of foundation, Supply of HTLS conductor, Composite long rod insulators, Earthwire/OPGW, Hardware Fittings, Accessories for Conductor &amp; Earthwire for M/C portion of (i) 400 kV D/C (Twin HTLS) Navasari (New) (South Gujarat)-Kala line and (ii) 400 kV D/C (Twin HTLS) Navasari (New) (South Gujarat)-Magarwada line and for D/C portion of (i) 400 kV D/C (twin HTLS) Navasari (New) (South Gujarat)-Kala line (From M/c line common point near Magarwada SS to Kala SS) associated with Transmission Network Expansion in Gujarat to increase its ATC from ISTS: Part B.</v>
      </c>
      <c r="B3" s="877"/>
      <c r="C3" s="877"/>
      <c r="D3" s="877"/>
      <c r="E3" s="877"/>
    </row>
    <row r="4" spans="1:15" ht="21.9" customHeight="1">
      <c r="A4" s="878" t="s">
        <v>471</v>
      </c>
      <c r="B4" s="878"/>
      <c r="C4" s="878"/>
      <c r="D4" s="878"/>
      <c r="E4" s="878"/>
    </row>
    <row r="5" spans="1:15" ht="12" customHeight="1">
      <c r="A5" s="92"/>
      <c r="B5" s="93"/>
      <c r="C5" s="93"/>
      <c r="D5" s="93"/>
      <c r="E5" s="93"/>
    </row>
    <row r="6" spans="1:15" ht="24" customHeight="1">
      <c r="A6" s="813" t="s">
        <v>339</v>
      </c>
      <c r="B6" s="813"/>
      <c r="C6" s="4"/>
      <c r="D6" s="347"/>
      <c r="E6" s="4"/>
      <c r="F6" s="4"/>
      <c r="G6" s="4"/>
      <c r="H6" s="4"/>
      <c r="I6" s="4"/>
    </row>
    <row r="7" spans="1:15" ht="18" customHeight="1">
      <c r="A7" s="818">
        <f>'Sch-1'!A7</f>
        <v>0</v>
      </c>
      <c r="B7" s="818"/>
      <c r="C7" s="818"/>
      <c r="D7" s="497" t="s">
        <v>1</v>
      </c>
      <c r="E7" s="587"/>
      <c r="F7" s="587"/>
      <c r="G7" s="587"/>
      <c r="H7" s="587"/>
      <c r="I7" s="587"/>
    </row>
    <row r="8" spans="1:15" ht="18" customHeight="1">
      <c r="A8" s="814" t="str">
        <f>"Bidder’s Name and Address  (" &amp; MID('Names of Bidder'!A9,9, 20) &amp; ") :"</f>
        <v>Bidder’s Name and Address  (Sole Bidder) :</v>
      </c>
      <c r="B8" s="814"/>
      <c r="C8" s="814"/>
      <c r="D8" s="12" t="s">
        <v>2</v>
      </c>
      <c r="E8" s="590"/>
      <c r="F8" s="590"/>
      <c r="G8" s="590"/>
      <c r="H8" s="541"/>
      <c r="I8" s="541"/>
    </row>
    <row r="9" spans="1:15" ht="18" customHeight="1">
      <c r="A9" s="457" t="s">
        <v>12</v>
      </c>
      <c r="B9" s="457" t="str">
        <f>IF('Names of Bidder'!C9=0, "", 'Names of Bidder'!C9)</f>
        <v/>
      </c>
      <c r="C9" s="112"/>
      <c r="D9" s="12" t="s">
        <v>3</v>
      </c>
      <c r="E9" s="589"/>
      <c r="F9" s="589"/>
      <c r="G9" s="589"/>
      <c r="H9" s="440"/>
      <c r="I9" s="404"/>
    </row>
    <row r="10" spans="1:15" ht="18" customHeight="1">
      <c r="A10" s="457" t="s">
        <v>11</v>
      </c>
      <c r="B10" s="588" t="str">
        <f>IF('Names of Bidder'!C10=0, "", 'Names of Bidder'!C10)</f>
        <v/>
      </c>
      <c r="C10" s="112"/>
      <c r="D10" s="12" t="s">
        <v>4</v>
      </c>
      <c r="E10" s="589"/>
      <c r="F10" s="589"/>
      <c r="G10" s="589"/>
      <c r="H10" s="440"/>
      <c r="I10" s="404"/>
    </row>
    <row r="11" spans="1:15" ht="18" customHeight="1">
      <c r="A11" s="404"/>
      <c r="B11" s="588" t="str">
        <f>IF('Names of Bidder'!C11=0, "", 'Names of Bidder'!C11)</f>
        <v/>
      </c>
      <c r="C11" s="112"/>
      <c r="D11" s="12" t="s">
        <v>5</v>
      </c>
      <c r="E11" s="589"/>
      <c r="F11" s="589"/>
      <c r="G11" s="589"/>
      <c r="H11" s="440"/>
      <c r="I11" s="404"/>
    </row>
    <row r="12" spans="1:15" ht="18" customHeight="1">
      <c r="A12" s="404"/>
      <c r="B12" s="588" t="str">
        <f>IF('Names of Bidder'!C12=0, "", 'Names of Bidder'!C12)</f>
        <v/>
      </c>
      <c r="C12" s="112"/>
      <c r="D12" s="12" t="s">
        <v>6</v>
      </c>
      <c r="E12" s="589"/>
      <c r="F12" s="589"/>
      <c r="G12" s="589"/>
      <c r="H12" s="440"/>
      <c r="I12" s="404"/>
    </row>
    <row r="13" spans="1:15" ht="8.1" customHeight="1" thickBot="1">
      <c r="B13" s="141"/>
    </row>
    <row r="14" spans="1:15" ht="21.9" customHeight="1">
      <c r="A14" s="652" t="s">
        <v>129</v>
      </c>
      <c r="B14" s="879" t="s">
        <v>130</v>
      </c>
      <c r="C14" s="879"/>
      <c r="D14" s="880" t="s">
        <v>131</v>
      </c>
      <c r="E14" s="881"/>
      <c r="I14" s="876" t="s">
        <v>132</v>
      </c>
      <c r="J14" s="876"/>
      <c r="K14" s="876"/>
      <c r="M14" s="869" t="s">
        <v>133</v>
      </c>
      <c r="N14" s="869"/>
      <c r="O14" s="869"/>
    </row>
    <row r="15" spans="1:15" ht="29.25" customHeight="1">
      <c r="A15" s="653" t="s">
        <v>134</v>
      </c>
      <c r="B15" s="870" t="s">
        <v>315</v>
      </c>
      <c r="C15" s="870"/>
      <c r="D15" s="871">
        <f>'Sch-1'!P214</f>
        <v>0</v>
      </c>
      <c r="E15" s="872"/>
      <c r="I15" s="383" t="s">
        <v>135</v>
      </c>
      <c r="K15" s="383" t="e">
        <f>ROUND('[6]Sch-1'!U3*#REF!,0)</f>
        <v>#REF!</v>
      </c>
      <c r="M15" s="383" t="s">
        <v>135</v>
      </c>
      <c r="O15" s="97" t="e">
        <f>ROUND('[6]Sch-1'!U5*#REF!,0)</f>
        <v>#REF!</v>
      </c>
    </row>
    <row r="16" spans="1:15" ht="87.75" customHeight="1">
      <c r="A16" s="654"/>
      <c r="B16" s="873" t="s">
        <v>316</v>
      </c>
      <c r="C16" s="873"/>
      <c r="D16" s="874"/>
      <c r="E16" s="875"/>
      <c r="G16" s="98"/>
    </row>
    <row r="17" spans="1:15" ht="25.5" customHeight="1">
      <c r="A17" s="653" t="s">
        <v>136</v>
      </c>
      <c r="B17" s="870" t="s">
        <v>317</v>
      </c>
      <c r="C17" s="870"/>
      <c r="D17" s="871">
        <f>'Sch-3'!R250</f>
        <v>0</v>
      </c>
      <c r="E17" s="872"/>
      <c r="I17" s="383" t="s">
        <v>137</v>
      </c>
      <c r="K17" s="384">
        <f>IF(ISERROR(ROUND((#REF!+#REF!)*#REF!,0)),0, ROUND((#REF!+#REF!)*#REF!,0))</f>
        <v>0</v>
      </c>
      <c r="M17" s="383" t="s">
        <v>137</v>
      </c>
      <c r="O17" s="100">
        <f>IF(ISERROR(ROUND((#REF!+#REF!)*#REF!,0)),0, ROUND((#REF!+#REF!)*#REF!,0))</f>
        <v>0</v>
      </c>
    </row>
    <row r="18" spans="1:15" ht="84" customHeight="1">
      <c r="A18" s="654"/>
      <c r="B18" s="873" t="s">
        <v>318</v>
      </c>
      <c r="C18" s="873"/>
      <c r="D18" s="886"/>
      <c r="E18" s="887"/>
      <c r="G18" s="101"/>
      <c r="I18" s="385" t="e">
        <f>#REF!/'Sch-1'!Y1</f>
        <v>#REF!</v>
      </c>
      <c r="K18" s="382">
        <f>'[6]Sch-1'!U3</f>
        <v>0</v>
      </c>
      <c r="M18" s="385" t="e">
        <f>I18</f>
        <v>#REF!</v>
      </c>
      <c r="O18" s="86">
        <f>'[6]Sch-1'!U5</f>
        <v>0</v>
      </c>
    </row>
    <row r="19" spans="1:15" ht="33" customHeight="1" thickBot="1">
      <c r="A19" s="655"/>
      <c r="B19" s="656" t="s">
        <v>321</v>
      </c>
      <c r="C19" s="657"/>
      <c r="D19" s="884">
        <f>D15+D17</f>
        <v>0</v>
      </c>
      <c r="E19" s="885"/>
    </row>
    <row r="20" spans="1:15" ht="30" customHeight="1">
      <c r="A20" s="102"/>
      <c r="B20" s="102"/>
      <c r="C20" s="103"/>
      <c r="D20" s="102"/>
      <c r="E20" s="102"/>
    </row>
    <row r="21" spans="1:15" ht="30" customHeight="1">
      <c r="A21" s="104" t="s">
        <v>142</v>
      </c>
      <c r="B21" s="660" t="str">
        <f>'Names of Bidder'!C22&amp;" "&amp;'Names of Bidder'!D22&amp;" "&amp;'Names of Bidder'!E22</f>
        <v xml:space="preserve">  </v>
      </c>
      <c r="C21" s="103" t="s">
        <v>143</v>
      </c>
      <c r="D21" s="882" t="str">
        <f>IF('Names of Bidder'!C19="","",'Names of Bidder'!C19)</f>
        <v/>
      </c>
      <c r="E21" s="883"/>
      <c r="F21" s="105"/>
    </row>
    <row r="22" spans="1:15" ht="30" customHeight="1">
      <c r="A22" s="104" t="s">
        <v>144</v>
      </c>
      <c r="B22" s="738" t="str">
        <f>IF('Names of Bidder'!C23="","",'Names of Bidder'!C23)</f>
        <v/>
      </c>
      <c r="C22" s="103" t="s">
        <v>145</v>
      </c>
      <c r="D22" s="882" t="str">
        <f>IF('Names of Bidder'!C20="","",'Names of Bidder'!C20)</f>
        <v/>
      </c>
      <c r="E22" s="883"/>
      <c r="F22" s="105"/>
    </row>
    <row r="23" spans="1:15" ht="30" customHeight="1">
      <c r="A23" s="106"/>
      <c r="B23" s="107"/>
      <c r="C23" s="103"/>
      <c r="D23" s="85"/>
      <c r="E23" s="85"/>
      <c r="F23" s="105"/>
    </row>
    <row r="24" spans="1:15" ht="33" customHeight="1">
      <c r="A24" s="106"/>
      <c r="B24" s="107"/>
      <c r="C24" s="91"/>
      <c r="D24" s="108"/>
      <c r="E24" s="109"/>
      <c r="F24" s="105"/>
    </row>
    <row r="25" spans="1:15" ht="21.9" customHeight="1">
      <c r="A25" s="110"/>
      <c r="B25" s="110"/>
      <c r="C25" s="110"/>
      <c r="D25" s="110"/>
      <c r="E25" s="111"/>
    </row>
    <row r="26" spans="1:15" ht="21.9" customHeight="1">
      <c r="A26" s="110"/>
      <c r="B26" s="110"/>
      <c r="C26" s="110"/>
      <c r="D26" s="110"/>
      <c r="E26" s="111"/>
    </row>
    <row r="27" spans="1:15" ht="21.9" customHeight="1">
      <c r="A27" s="110"/>
      <c r="B27" s="110"/>
      <c r="C27" s="110"/>
      <c r="D27" s="110"/>
      <c r="E27" s="111"/>
    </row>
    <row r="28" spans="1:15" ht="21.9" customHeight="1">
      <c r="A28" s="110"/>
      <c r="B28" s="110"/>
      <c r="C28" s="110"/>
      <c r="D28" s="110"/>
      <c r="E28" s="111"/>
    </row>
    <row r="29" spans="1:15" ht="21.9" customHeight="1">
      <c r="A29" s="110"/>
      <c r="B29" s="110"/>
      <c r="C29" s="110"/>
      <c r="D29" s="110"/>
      <c r="E29" s="111"/>
    </row>
    <row r="30" spans="1:15" ht="21.9" customHeight="1">
      <c r="A30" s="110"/>
      <c r="B30" s="110"/>
      <c r="C30" s="110"/>
      <c r="D30" s="110"/>
      <c r="E30" s="111"/>
    </row>
    <row r="31" spans="1:15" ht="24.9" customHeight="1">
      <c r="A31" s="109"/>
      <c r="B31" s="109"/>
      <c r="C31" s="109"/>
      <c r="D31" s="109"/>
      <c r="E31" s="109"/>
    </row>
    <row r="32" spans="1:15" ht="24.9" customHeight="1">
      <c r="A32" s="109"/>
      <c r="B32" s="109"/>
      <c r="C32" s="109"/>
      <c r="D32" s="109"/>
      <c r="E32" s="109"/>
    </row>
    <row r="33" spans="1:5" ht="24.9" customHeight="1">
      <c r="A33" s="109"/>
      <c r="B33" s="109"/>
      <c r="C33" s="109"/>
      <c r="D33" s="109"/>
      <c r="E33" s="109"/>
    </row>
    <row r="34" spans="1:5" ht="24.9" customHeight="1">
      <c r="A34" s="109"/>
      <c r="B34" s="109"/>
      <c r="C34" s="109"/>
      <c r="D34" s="109"/>
      <c r="E34" s="109"/>
    </row>
    <row r="35" spans="1:5" ht="24.9" customHeight="1">
      <c r="A35" s="109"/>
      <c r="B35" s="109"/>
      <c r="C35" s="109"/>
      <c r="D35" s="109"/>
      <c r="E35" s="109"/>
    </row>
    <row r="36" spans="1:5" ht="24.9" customHeight="1">
      <c r="A36" s="109"/>
      <c r="B36" s="109"/>
      <c r="C36" s="109"/>
      <c r="D36" s="109"/>
      <c r="E36" s="109"/>
    </row>
    <row r="37" spans="1:5" ht="24.9" customHeight="1">
      <c r="A37" s="109"/>
      <c r="B37" s="109"/>
      <c r="C37" s="109"/>
      <c r="D37" s="109"/>
      <c r="E37" s="109"/>
    </row>
    <row r="38" spans="1:5" ht="24.9" customHeight="1">
      <c r="A38" s="109"/>
      <c r="B38" s="109"/>
      <c r="C38" s="109"/>
      <c r="D38" s="109"/>
      <c r="E38" s="109"/>
    </row>
    <row r="39" spans="1:5" ht="24.9" customHeight="1">
      <c r="A39" s="109"/>
      <c r="B39" s="109"/>
      <c r="C39" s="109"/>
      <c r="D39" s="109"/>
      <c r="E39" s="109"/>
    </row>
    <row r="40" spans="1:5" ht="24.9" customHeight="1">
      <c r="A40" s="109"/>
      <c r="B40" s="109"/>
      <c r="C40" s="109"/>
      <c r="D40" s="109"/>
      <c r="E40" s="109"/>
    </row>
    <row r="41" spans="1:5" ht="24.9" customHeight="1">
      <c r="A41" s="109"/>
      <c r="B41" s="109"/>
      <c r="C41" s="109"/>
      <c r="D41" s="109"/>
      <c r="E41" s="109"/>
    </row>
    <row r="42" spans="1:5" ht="24.9" customHeight="1">
      <c r="A42" s="109"/>
      <c r="B42" s="109"/>
      <c r="C42" s="109"/>
      <c r="D42" s="109"/>
      <c r="E42" s="109"/>
    </row>
    <row r="43" spans="1:5" ht="24.9" customHeight="1">
      <c r="A43" s="109"/>
      <c r="B43" s="109"/>
      <c r="C43" s="109"/>
      <c r="D43" s="109"/>
      <c r="E43" s="109"/>
    </row>
    <row r="44" spans="1:5" ht="24.9" customHeight="1">
      <c r="A44" s="109"/>
      <c r="B44" s="109"/>
      <c r="C44" s="109"/>
      <c r="D44" s="109"/>
      <c r="E44" s="109"/>
    </row>
    <row r="45" spans="1:5" ht="24.9" customHeight="1">
      <c r="A45" s="109"/>
      <c r="B45" s="109"/>
      <c r="C45" s="109"/>
      <c r="D45" s="109"/>
      <c r="E45" s="109"/>
    </row>
    <row r="46" spans="1:5" ht="24.9" customHeight="1">
      <c r="A46" s="109"/>
      <c r="B46" s="109"/>
      <c r="C46" s="109"/>
      <c r="D46" s="109"/>
      <c r="E46" s="109"/>
    </row>
    <row r="47" spans="1:5" ht="24.9" customHeight="1">
      <c r="A47" s="109"/>
      <c r="B47" s="109"/>
      <c r="C47" s="109"/>
      <c r="D47" s="109"/>
      <c r="E47" s="109"/>
    </row>
    <row r="48" spans="1:5" ht="24.9" customHeight="1">
      <c r="A48" s="109"/>
      <c r="B48" s="109"/>
      <c r="C48" s="109"/>
      <c r="D48" s="109"/>
      <c r="E48" s="109"/>
    </row>
    <row r="49" spans="1:5" ht="24.9" customHeight="1">
      <c r="A49" s="109"/>
      <c r="B49" s="109"/>
      <c r="C49" s="109"/>
      <c r="D49" s="109"/>
      <c r="E49" s="109"/>
    </row>
    <row r="50" spans="1:5" ht="24.9" customHeight="1">
      <c r="A50" s="109"/>
      <c r="B50" s="109"/>
      <c r="C50" s="109"/>
      <c r="D50" s="109"/>
      <c r="E50" s="109"/>
    </row>
    <row r="51" spans="1:5" ht="24.9" customHeight="1">
      <c r="A51" s="109"/>
      <c r="B51" s="109"/>
      <c r="C51" s="109"/>
      <c r="D51" s="109"/>
      <c r="E51" s="109"/>
    </row>
    <row r="52" spans="1:5" ht="24.9" customHeight="1">
      <c r="A52" s="109"/>
      <c r="B52" s="109"/>
      <c r="C52" s="109"/>
      <c r="D52" s="109"/>
      <c r="E52" s="109"/>
    </row>
    <row r="53" spans="1:5" ht="24.9"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password="CC6F" sheet="1" objects="1" scenarios="1" formatColumns="0" formatRows="0" selectLockedCells="1"/>
  <dataConsolidate/>
  <customSheetViews>
    <customSheetView guid="{027A88A6-1BB1-46D4-AC44-9DCFC13F5D7E}" scale="115" showPageBreaks="1" printArea="1" hiddenColumns="1" view="pageBreakPreview" topLeftCell="A10">
      <selection activeCell="D17" sqref="D17:E17"/>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889C3D82-0A24-4765-A688-A80A782F5056}"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5"/>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DACD165C-CB59-4178-94BC-16705741C7B8}"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Adil Iqbal Khan {Adil Iqbal Khan}</cp:lastModifiedBy>
  <cp:lastPrinted>2021-09-23T05:06:14Z</cp:lastPrinted>
  <dcterms:created xsi:type="dcterms:W3CDTF">2014-08-12T11:34:40Z</dcterms:created>
  <dcterms:modified xsi:type="dcterms:W3CDTF">2022-04-19T11:52:30Z</dcterms:modified>
</cp:coreProperties>
</file>