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updateLinks="never" codeName="ThisWorkbook" defaultThemeVersion="124226"/>
  <mc:AlternateContent xmlns:mc="http://schemas.openxmlformats.org/markup-compatibility/2006">
    <mc:Choice Requires="x15">
      <x15ac:absPath xmlns:x15ac="http://schemas.microsoft.com/office/spreadsheetml/2010/11/ac" url="G:\Full Report\45_Substation Package SS92_Extension of Indore GIS_B Venkata Ramana\Bidding Document\As uplaoded SS92\"/>
    </mc:Choice>
  </mc:AlternateContent>
  <xr:revisionPtr revIDLastSave="0" documentId="13_ncr:81_{C94C3E26-8661-4D6E-B94C-2AA0A56E0460}" xr6:coauthVersionLast="36" xr6:coauthVersionMax="36" xr10:uidLastSave="{00000000-0000-0000-0000-000000000000}"/>
  <workbookProtection workbookAlgorithmName="SHA-512" workbookHashValue="jCmQrS2+q5JZAwng2if+5EMKnGrcabJ8Hs5ARxWwqywORbN0faO9qi78+//mOX9BgW6QN+HIgNoc4iLndFzuYA==" workbookSaltValue="xJYntKEAJJT9YZaJTW4UIQ==" workbookSpinCount="100000" revisionsAlgorithmName="SHA-512" revisionsHashValue="rdbchmvRfCM198Zb4xI/LQLgGVzl44gR+xvGAvL6/ZdfwB77nCqwzniJnubEooZglpewC6pDTsYMduVVVfXgaA==" revisionsSaltValue="n8Vd5BlH9eowmAyxXfVB9w==" revisionsSpinCount="100000" lockStructure="1" lockRevision="1"/>
  <bookViews>
    <workbookView xWindow="360" yWindow="480" windowWidth="10515" windowHeight="4320"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'Sch-1'!#REF!</definedName>
    <definedName name="_xlnm._FilterDatabase" localSheetId="5" hidden="1">'Sch-2'!$A$17:$AF$95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'Sch-1'!$A$1:$N$101</definedName>
    <definedName name="_xlnm.Print_Area" localSheetId="5">'Sch-2'!$A$1:$J$98</definedName>
    <definedName name="_xlnm.Print_Area" localSheetId="6">'Sch-3'!$A$1:$P$50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'Sch-1'!$A$17:$IV$97</definedName>
    <definedName name="Z_12A89170_4F84_482D_A3C5_7890082E7B73_.wvu.FilterData" localSheetId="5" hidden="1">'Sch-2'!$A$17:$AF$95</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'Sch-1'!$A$1:$N$101</definedName>
    <definedName name="Z_12A89170_4F84_482D_A3C5_7890082E7B73_.wvu.PrintArea" localSheetId="5" hidden="1">'Sch-2'!$A$1:$J$98</definedName>
    <definedName name="Z_12A89170_4F84_482D_A3C5_7890082E7B73_.wvu.PrintArea" localSheetId="6" hidden="1">'Sch-3'!$A$1:$P$50</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'Sch-1'!$15:$16</definedName>
    <definedName name="Z_12A89170_4F84_482D_A3C5_7890082E7B73_.wvu.PrintTitles" localSheetId="5" hidden="1">'Sch-2'!$15:$16</definedName>
    <definedName name="Z_12A89170_4F84_482D_A3C5_7890082E7B73_.wvu.PrintTitles" localSheetId="6" hidden="1">'Sch-3'!$15:$16</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'Sch-1'!$C$1:$C$97</definedName>
    <definedName name="Z_357C9841_BEC3_434B_AC63_C04FB4321BA3_.wvu.FilterData" localSheetId="5" hidden="1">'Sch-2'!$C$1:$C$100</definedName>
    <definedName name="Z_357C9841_BEC3_434B_AC63_C04FB4321BA3_.wvu.FilterData" localSheetId="6" hidden="1">'Sch-3'!$C$1:$C$52</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'Sch-1'!$A$1:$N$101</definedName>
    <definedName name="Z_357C9841_BEC3_434B_AC63_C04FB4321BA3_.wvu.PrintArea" localSheetId="5" hidden="1">'Sch-2'!$A$1:$J$100</definedName>
    <definedName name="Z_357C9841_BEC3_434B_AC63_C04FB4321BA3_.wvu.PrintArea" localSheetId="6" hidden="1">'Sch-3'!$A$1:$P$52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'Sch-1'!$C$1:$C$97</definedName>
    <definedName name="Z_3C00DDA0_7DDE_4169_A739_550DAF5DCF8D_.wvu.FilterData" localSheetId="5" hidden="1">'Sch-2'!$C$1:$C$100</definedName>
    <definedName name="Z_3C00DDA0_7DDE_4169_A739_550DAF5DCF8D_.wvu.FilterData" localSheetId="6" hidden="1">'Sch-3'!$C$1:$C$52</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'Sch-1'!$A$1:$N$101</definedName>
    <definedName name="Z_3C00DDA0_7DDE_4169_A739_550DAF5DCF8D_.wvu.PrintArea" localSheetId="5" hidden="1">'Sch-2'!$A$1:$J$100</definedName>
    <definedName name="Z_3C00DDA0_7DDE_4169_A739_550DAF5DCF8D_.wvu.PrintArea" localSheetId="6" hidden="1">'Sch-3'!$A$1:$P$52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'Sch-1'!$16:$97</definedName>
    <definedName name="Z_497EA202_A8B8_45C5_9E6C_C3CD104F3979_.wvu.FilterData" localSheetId="5" hidden="1">'Sch-2'!$A$16:$AF$95</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'Sch-1'!$A$1:$N$101</definedName>
    <definedName name="Z_497EA202_A8B8_45C5_9E6C_C3CD104F3979_.wvu.PrintArea" localSheetId="5" hidden="1">'Sch-2'!$A$1:$J$98</definedName>
    <definedName name="Z_497EA202_A8B8_45C5_9E6C_C3CD104F3979_.wvu.PrintArea" localSheetId="6" hidden="1">'Sch-3'!$A$1:$P$50</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'Sch-1'!$15:$16</definedName>
    <definedName name="Z_497EA202_A8B8_45C5_9E6C_C3CD104F3979_.wvu.PrintTitles" localSheetId="5" hidden="1">'Sch-2'!$15:$16</definedName>
    <definedName name="Z_497EA202_A8B8_45C5_9E6C_C3CD104F3979_.wvu.PrintTitles" localSheetId="6" hidden="1">'Sch-3'!$15:$16</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'Sch-1'!$A$17:$IV$97</definedName>
    <definedName name="Z_63D51328_7CBC_4A1E_B96D_BAE91416501B_.wvu.FilterData" localSheetId="5" hidden="1">'Sch-2'!$A$17:$AF$95</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'Sch-1'!$A$1:$N$101</definedName>
    <definedName name="Z_63D51328_7CBC_4A1E_B96D_BAE91416501B_.wvu.PrintArea" localSheetId="5" hidden="1">'Sch-2'!$A$1:$J$98</definedName>
    <definedName name="Z_63D51328_7CBC_4A1E_B96D_BAE91416501B_.wvu.PrintArea" localSheetId="6" hidden="1">'Sch-3'!$A$1:$P$50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'Sch-1'!$A$17:$IV$97</definedName>
    <definedName name="Z_7AB1F867_F01E_4EB9_A93D_DDCFDB9AA444_.wvu.FilterData" localSheetId="5" hidden="1">'Sch-2'!$A$17:$AF$95</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'Sch-1'!$A$1:$N$101</definedName>
    <definedName name="Z_7AB1F867_F01E_4EB9_A93D_DDCFDB9AA444_.wvu.PrintArea" localSheetId="5" hidden="1">'Sch-2'!$A$1:$J$98</definedName>
    <definedName name="Z_7AB1F867_F01E_4EB9_A93D_DDCFDB9AA444_.wvu.PrintArea" localSheetId="6" hidden="1">'Sch-3'!$A$1:$P$50</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'Sch-1'!$15:$16</definedName>
    <definedName name="Z_7AB1F867_F01E_4EB9_A93D_DDCFDB9AA444_.wvu.PrintTitles" localSheetId="5" hidden="1">'Sch-2'!$15:$16</definedName>
    <definedName name="Z_7AB1F867_F01E_4EB9_A93D_DDCFDB9AA444_.wvu.PrintTitles" localSheetId="6" hidden="1">'Sch-3'!$15:$16</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'Sch-1'!$16:$97</definedName>
    <definedName name="Z_99CA2F10_F926_46DC_8609_4EAE5B9F3585_.wvu.FilterData" localSheetId="5" hidden="1">'Sch-2'!$A$16:$AF$95</definedName>
    <definedName name="Z_99CA2F10_F926_46DC_8609_4EAE5B9F3585_.wvu.FilterData" localSheetId="6" hidden="1">'Sch-3'!$A$16:$AE$44</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'Sch-1'!$A$1:$N$101</definedName>
    <definedName name="Z_99CA2F10_F926_46DC_8609_4EAE5B9F3585_.wvu.PrintArea" localSheetId="5" hidden="1">'Sch-2'!$A$1:$J$98</definedName>
    <definedName name="Z_99CA2F10_F926_46DC_8609_4EAE5B9F3585_.wvu.PrintArea" localSheetId="6" hidden="1">'Sch-3'!$A$1:$P$50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'Sch-1'!$C$1:$C$97</definedName>
    <definedName name="Z_B96E710B_6DD7_4DE1_95AB_C9EE060CD030_.wvu.FilterData" localSheetId="5" hidden="1">'Sch-2'!$C$1:$C$100</definedName>
    <definedName name="Z_B96E710B_6DD7_4DE1_95AB_C9EE060CD030_.wvu.FilterData" localSheetId="6" hidden="1">'Sch-3'!$C$1:$C$52</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'Sch-1'!$A$1:$N$101</definedName>
    <definedName name="Z_B96E710B_6DD7_4DE1_95AB_C9EE060CD030_.wvu.PrintArea" localSheetId="5" hidden="1">'Sch-2'!$A$1:$J$100</definedName>
    <definedName name="Z_B96E710B_6DD7_4DE1_95AB_C9EE060CD030_.wvu.PrintArea" localSheetId="6" hidden="1">'Sch-3'!$A$1:$P$52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A9345C4_09FE_4F27_BFD9_3D9BCD2DED09_.wvu.Cols" localSheetId="0" hidden="1">Basic!$I:$I</definedName>
    <definedName name="Z_CA9345C4_09FE_4F27_BFD9_3D9BCD2DED09_.wvu.Cols" localSheetId="18" hidden="1">'Bid Form 2nd Envelope'!$H:$AO</definedName>
    <definedName name="Z_CA9345C4_09FE_4F27_BFD9_3D9BCD2DED09_.wvu.Cols" localSheetId="14" hidden="1">Discount!$H:$L</definedName>
    <definedName name="Z_CA9345C4_09FE_4F27_BFD9_3D9BCD2DED09_.wvu.Cols" localSheetId="3" hidden="1">'Names of Bidder'!$H:$H,'Names of Bidder'!$K:$K</definedName>
    <definedName name="Z_CA9345C4_09FE_4F27_BFD9_3D9BCD2DED09_.wvu.Cols" localSheetId="21" hidden="1">'N-W (Cr.)'!$A:$O,'N-W (Cr.)'!$T:$DL</definedName>
    <definedName name="Z_CA9345C4_09FE_4F27_BFD9_3D9BCD2DED09_.wvu.Cols" localSheetId="4" hidden="1">'Sch-1'!$O:$V,'Sch-1'!$X:$AK</definedName>
    <definedName name="Z_CA9345C4_09FE_4F27_BFD9_3D9BCD2DED09_.wvu.Cols" localSheetId="6" hidden="1">'Sch-3'!$Q:$V</definedName>
    <definedName name="Z_CA9345C4_09FE_4F27_BFD9_3D9BCD2DED09_.wvu.Cols" localSheetId="8" hidden="1">'Sch-5'!$F:$T</definedName>
    <definedName name="Z_CA9345C4_09FE_4F27_BFD9_3D9BCD2DED09_.wvu.Cols" localSheetId="12" hidden="1">'Sch-6 (After Discount)'!$E:$F</definedName>
    <definedName name="Z_CA9345C4_09FE_4F27_BFD9_3D9BCD2DED09_.wvu.Cols" localSheetId="13" hidden="1">'Sch-7'!$AA:$AG</definedName>
    <definedName name="Z_CA9345C4_09FE_4F27_BFD9_3D9BCD2DED09_.wvu.FilterData" localSheetId="4" hidden="1">'Sch-1'!$A$16:$IV$97</definedName>
    <definedName name="Z_CA9345C4_09FE_4F27_BFD9_3D9BCD2DED09_.wvu.FilterData" localSheetId="5" hidden="1">'Sch-2'!$A$17:$AF$95</definedName>
    <definedName name="Z_CA9345C4_09FE_4F27_BFD9_3D9BCD2DED09_.wvu.PrintArea" localSheetId="18" hidden="1">'Bid Form 2nd Envelope'!$A$1:$F$67</definedName>
    <definedName name="Z_CA9345C4_09FE_4F27_BFD9_3D9BCD2DED09_.wvu.PrintArea" localSheetId="1" hidden="1">Cover!$A$1:$F$14</definedName>
    <definedName name="Z_CA9345C4_09FE_4F27_BFD9_3D9BCD2DED09_.wvu.PrintArea" localSheetId="14" hidden="1">Discount!$A$2:$G$40</definedName>
    <definedName name="Z_CA9345C4_09FE_4F27_BFD9_3D9BCD2DED09_.wvu.PrintArea" localSheetId="16" hidden="1">'Entry Tax'!$A$1:$E$16</definedName>
    <definedName name="Z_CA9345C4_09FE_4F27_BFD9_3D9BCD2DED09_.wvu.PrintArea" localSheetId="2" hidden="1">Instructions!$A$1:$C$65</definedName>
    <definedName name="Z_CA9345C4_09FE_4F27_BFD9_3D9BCD2DED09_.wvu.PrintArea" localSheetId="3" hidden="1">'Names of Bidder'!$B$1:$H$28</definedName>
    <definedName name="Z_CA9345C4_09FE_4F27_BFD9_3D9BCD2DED09_.wvu.PrintArea" localSheetId="15" hidden="1">Octroi!$A$1:$E$16</definedName>
    <definedName name="Z_CA9345C4_09FE_4F27_BFD9_3D9BCD2DED09_.wvu.PrintArea" localSheetId="17" hidden="1">'Other Taxes &amp; Duties'!$A$1:$F$16</definedName>
    <definedName name="Z_CA9345C4_09FE_4F27_BFD9_3D9BCD2DED09_.wvu.PrintArea" localSheetId="4" hidden="1">'Sch-1'!$A$1:$N$101</definedName>
    <definedName name="Z_CA9345C4_09FE_4F27_BFD9_3D9BCD2DED09_.wvu.PrintArea" localSheetId="5" hidden="1">'Sch-2'!$A$1:$J$98</definedName>
    <definedName name="Z_CA9345C4_09FE_4F27_BFD9_3D9BCD2DED09_.wvu.PrintArea" localSheetId="6" hidden="1">'Sch-3'!$A$1:$P$50</definedName>
    <definedName name="Z_CA9345C4_09FE_4F27_BFD9_3D9BCD2DED09_.wvu.PrintArea" localSheetId="7" hidden="1">'Sch-4'!$A$1:$P$26</definedName>
    <definedName name="Z_CA9345C4_09FE_4F27_BFD9_3D9BCD2DED09_.wvu.PrintArea" localSheetId="8" hidden="1">'Sch-5'!$A$1:$E$23</definedName>
    <definedName name="Z_CA9345C4_09FE_4F27_BFD9_3D9BCD2DED09_.wvu.PrintArea" localSheetId="9" hidden="1">'Sch-5 after discount'!$A$1:$E$23</definedName>
    <definedName name="Z_CA9345C4_09FE_4F27_BFD9_3D9BCD2DED09_.wvu.PrintArea" localSheetId="10" hidden="1">'Sch-6'!$A$1:$D$32</definedName>
    <definedName name="Z_CA9345C4_09FE_4F27_BFD9_3D9BCD2DED09_.wvu.PrintArea" localSheetId="12" hidden="1">'Sch-6 (After Discount)'!$A$1:$D$32</definedName>
    <definedName name="Z_CA9345C4_09FE_4F27_BFD9_3D9BCD2DED09_.wvu.PrintArea" localSheetId="11" hidden="1">'Sch-6 After Discount'!$A$1:$D$31</definedName>
    <definedName name="Z_CA9345C4_09FE_4F27_BFD9_3D9BCD2DED09_.wvu.PrintArea" localSheetId="13" hidden="1">'Sch-7'!$A$1:$M$22</definedName>
    <definedName name="Z_CA9345C4_09FE_4F27_BFD9_3D9BCD2DED09_.wvu.PrintTitles" localSheetId="4" hidden="1">'Sch-1'!$15:$16</definedName>
    <definedName name="Z_CA9345C4_09FE_4F27_BFD9_3D9BCD2DED09_.wvu.PrintTitles" localSheetId="5" hidden="1">'Sch-2'!$15:$16</definedName>
    <definedName name="Z_CA9345C4_09FE_4F27_BFD9_3D9BCD2DED09_.wvu.PrintTitles" localSheetId="6" hidden="1">'Sch-3'!$15:$16</definedName>
    <definedName name="Z_CA9345C4_09FE_4F27_BFD9_3D9BCD2DED09_.wvu.PrintTitles" localSheetId="8" hidden="1">'Sch-5'!$3:$14</definedName>
    <definedName name="Z_CA9345C4_09FE_4F27_BFD9_3D9BCD2DED09_.wvu.PrintTitles" localSheetId="9" hidden="1">'Sch-5 after discount'!$3:$14</definedName>
    <definedName name="Z_CA9345C4_09FE_4F27_BFD9_3D9BCD2DED09_.wvu.PrintTitles" localSheetId="10" hidden="1">'Sch-6'!$3:$14</definedName>
    <definedName name="Z_CA9345C4_09FE_4F27_BFD9_3D9BCD2DED09_.wvu.PrintTitles" localSheetId="12" hidden="1">'Sch-6 (After Discount)'!$3:$14</definedName>
    <definedName name="Z_CA9345C4_09FE_4F27_BFD9_3D9BCD2DED09_.wvu.PrintTitles" localSheetId="11" hidden="1">'Sch-6 After Discount'!$3:$13</definedName>
    <definedName name="Z_CA9345C4_09FE_4F27_BFD9_3D9BCD2DED09_.wvu.Rows" localSheetId="1" hidden="1">Cover!$7:$7</definedName>
    <definedName name="Z_CA9345C4_09FE_4F27_BFD9_3D9BCD2DED09_.wvu.Rows" localSheetId="14" hidden="1">Discount!$29:$32</definedName>
    <definedName name="Z_CA9345C4_09FE_4F27_BFD9_3D9BCD2DED09_.wvu.Rows" localSheetId="3" hidden="1">'Names of Bidder'!$19:$22</definedName>
    <definedName name="Z_CA9345C4_09FE_4F27_BFD9_3D9BCD2DED09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'Sch-1'!$O:$V,'Sch-1'!$X:$AK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5" hidden="1">'Sch-2'!$A$17:$AF$95</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Bidder'!$B$1:$H$28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'Sch-1'!$A$1:$N$101</definedName>
    <definedName name="Z_CCA37BAE_906F_43D5_9FD9_B13563E4B9D7_.wvu.PrintArea" localSheetId="5" hidden="1">'Sch-2'!$A$1:$J$98</definedName>
    <definedName name="Z_CCA37BAE_906F_43D5_9FD9_B13563E4B9D7_.wvu.PrintArea" localSheetId="6" hidden="1">'Sch-3'!$A$1:$P$50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'Sch-1'!$A$17:$IV$97</definedName>
    <definedName name="Z_D5521983_A70D_48A3_9506_C0263CBBC57D_.wvu.FilterData" localSheetId="5" hidden="1">'Sch-2'!$A$17:$AF$95</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'Sch-1'!$A$1:$N$101</definedName>
    <definedName name="Z_D5521983_A70D_48A3_9506_C0263CBBC57D_.wvu.PrintArea" localSheetId="5" hidden="1">'Sch-2'!$A$1:$J$98</definedName>
    <definedName name="Z_D5521983_A70D_48A3_9506_C0263CBBC57D_.wvu.PrintArea" localSheetId="6" hidden="1">'Sch-3'!$A$1:$P$50</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'Sch-1'!$15:$16</definedName>
    <definedName name="Z_D5521983_A70D_48A3_9506_C0263CBBC57D_.wvu.PrintTitles" localSheetId="5" hidden="1">'Sch-2'!$15:$16</definedName>
    <definedName name="Z_D5521983_A70D_48A3_9506_C0263CBBC57D_.wvu.PrintTitles" localSheetId="6" hidden="1">'Sch-3'!$15:$16</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48" tabRatio="670" activeSheetId="2"/>
    <customWorkbookView name="Adil Iqbal Khan {Adil Iqbal Khan} - Personal View" guid="{CA9345C4-09FE-4F27-BFD9-3D9BCD2DED09}" mergeInterval="0" personalView="1" maximized="1" xWindow="-9" yWindow="-9" windowWidth="1938" windowHeight="1048" tabRatio="786" activeSheetId="19"/>
    <customWorkbookView name="Charanya Ambati {चरण्या अंबटि} - Personal View" guid="{7AB1F867-F01E-4EB9-A93D-DDCFDB9AA444}" mergeInterval="0" personalView="1" maximized="1" xWindow="-9" yWindow="-9" windowWidth="1938" windowHeight="1048" tabRatio="786"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Neelam Singh {नीलम सिंह} - Personal View" guid="{497EA202-A8B8-45C5-9E6C-C3CD104F3979}" mergeInterval="0" personalView="1" maximized="1" windowWidth="1916" windowHeight="853" tabRatio="786" activeSheetId="7"/>
    <customWorkbookView name="Rahul {Rahul} - Personal View" guid="{63D51328-7CBC-4A1E-B96D-BAE91416501B}" mergeInterval="0" personalView="1" maximized="1" xWindow="-8" yWindow="-8" windowWidth="1936" windowHeight="1056" tabRatio="786" activeSheetId="5"/>
    <customWorkbookView name="Atul Singh - Personal View" guid="{D5521983-A70D-48A3-9506-C0263CBBC57D}" mergeInterval="0" personalView="1" maximized="1" windowWidth="1362" windowHeight="542" tabRatio="786" activeSheetId="19"/>
    <customWorkbookView name="Atul Kumar Singh {अतुल कुमार सिंह} - Personal View" guid="{12A89170-4F84-482D-A3C5-7890082E7B73}" mergeInterval="0" personalView="1" maximized="1" xWindow="-8" yWindow="-8" windowWidth="1936" windowHeight="1056" tabRatio="786" activeSheetId="19"/>
  </customWorkbookViews>
</workbook>
</file>

<file path=xl/calcChain.xml><?xml version="1.0" encoding="utf-8"?>
<calcChain xmlns="http://schemas.openxmlformats.org/spreadsheetml/2006/main">
  <c r="A22" i="6" l="1"/>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21" i="6"/>
  <c r="A19" i="6"/>
  <c r="A20" i="6"/>
  <c r="J70" i="6"/>
  <c r="H70" i="6"/>
  <c r="G70" i="6"/>
  <c r="F70" i="6"/>
  <c r="E70" i="6"/>
  <c r="D70" i="6"/>
  <c r="C70" i="6"/>
  <c r="B70" i="6"/>
  <c r="T70" i="5"/>
  <c r="N70" i="5"/>
  <c r="P70" i="5" s="1"/>
  <c r="O70" i="5" l="1"/>
  <c r="A18" i="6"/>
  <c r="B18" i="6"/>
  <c r="C18" i="6"/>
  <c r="D18" i="6"/>
  <c r="E18" i="6"/>
  <c r="F18" i="6"/>
  <c r="G18" i="6"/>
  <c r="H18" i="6"/>
  <c r="B19" i="6"/>
  <c r="C19" i="6"/>
  <c r="D19" i="6"/>
  <c r="E19" i="6"/>
  <c r="F19" i="6"/>
  <c r="G19" i="6"/>
  <c r="H19" i="6"/>
  <c r="B20" i="6"/>
  <c r="C20" i="6"/>
  <c r="D20" i="6"/>
  <c r="E20" i="6"/>
  <c r="F20" i="6"/>
  <c r="G20" i="6"/>
  <c r="H20" i="6"/>
  <c r="B21" i="6"/>
  <c r="C21" i="6"/>
  <c r="D21" i="6"/>
  <c r="E21" i="6"/>
  <c r="F21" i="6"/>
  <c r="G21" i="6"/>
  <c r="H21" i="6"/>
  <c r="B22" i="6"/>
  <c r="C22" i="6"/>
  <c r="D22" i="6"/>
  <c r="E22" i="6"/>
  <c r="F22" i="6"/>
  <c r="G22" i="6"/>
  <c r="H22" i="6"/>
  <c r="B23" i="6"/>
  <c r="C23" i="6"/>
  <c r="D23" i="6"/>
  <c r="E23" i="6"/>
  <c r="F23" i="6"/>
  <c r="G23" i="6"/>
  <c r="H23" i="6"/>
  <c r="B24" i="6"/>
  <c r="C24" i="6"/>
  <c r="D24" i="6"/>
  <c r="E24" i="6"/>
  <c r="F24" i="6"/>
  <c r="G24" i="6"/>
  <c r="H24" i="6"/>
  <c r="B25" i="6"/>
  <c r="C25" i="6"/>
  <c r="D25" i="6"/>
  <c r="E25" i="6"/>
  <c r="F25" i="6"/>
  <c r="G25" i="6"/>
  <c r="H25" i="6"/>
  <c r="B26" i="6"/>
  <c r="C26" i="6"/>
  <c r="D26" i="6"/>
  <c r="E26" i="6"/>
  <c r="F26" i="6"/>
  <c r="G26" i="6"/>
  <c r="H26" i="6"/>
  <c r="B27" i="6"/>
  <c r="C27" i="6"/>
  <c r="D27" i="6"/>
  <c r="E27" i="6"/>
  <c r="F27" i="6"/>
  <c r="G27" i="6"/>
  <c r="H27" i="6"/>
  <c r="B28" i="6"/>
  <c r="C28" i="6"/>
  <c r="D28" i="6"/>
  <c r="E28" i="6"/>
  <c r="F28" i="6"/>
  <c r="G28" i="6"/>
  <c r="H28" i="6"/>
  <c r="B29" i="6"/>
  <c r="C29" i="6"/>
  <c r="D29" i="6"/>
  <c r="E29" i="6"/>
  <c r="F29" i="6"/>
  <c r="G29" i="6"/>
  <c r="H29" i="6"/>
  <c r="B30" i="6"/>
  <c r="C30" i="6"/>
  <c r="D30" i="6"/>
  <c r="E30" i="6"/>
  <c r="F30" i="6"/>
  <c r="G30" i="6"/>
  <c r="H30" i="6"/>
  <c r="B31" i="6"/>
  <c r="C31" i="6"/>
  <c r="D31" i="6"/>
  <c r="E31" i="6"/>
  <c r="F31" i="6"/>
  <c r="G31" i="6"/>
  <c r="H31" i="6"/>
  <c r="B32" i="6"/>
  <c r="C32" i="6"/>
  <c r="D32" i="6"/>
  <c r="E32" i="6"/>
  <c r="F32" i="6"/>
  <c r="G32" i="6"/>
  <c r="H32" i="6"/>
  <c r="B33" i="6"/>
  <c r="C33" i="6"/>
  <c r="D33" i="6"/>
  <c r="E33" i="6"/>
  <c r="F33" i="6"/>
  <c r="G33" i="6"/>
  <c r="H33" i="6"/>
  <c r="B34" i="6"/>
  <c r="C34" i="6"/>
  <c r="D34" i="6"/>
  <c r="E34" i="6"/>
  <c r="F34" i="6"/>
  <c r="G34" i="6"/>
  <c r="H34" i="6"/>
  <c r="B35" i="6"/>
  <c r="C35" i="6"/>
  <c r="D35" i="6"/>
  <c r="E35" i="6"/>
  <c r="F35" i="6"/>
  <c r="G35" i="6"/>
  <c r="H35" i="6"/>
  <c r="B36" i="6"/>
  <c r="C36" i="6"/>
  <c r="D36" i="6"/>
  <c r="E36" i="6"/>
  <c r="F36" i="6"/>
  <c r="G36" i="6"/>
  <c r="H36" i="6"/>
  <c r="B37" i="6"/>
  <c r="C37" i="6"/>
  <c r="D37" i="6"/>
  <c r="E37" i="6"/>
  <c r="F37" i="6"/>
  <c r="G37" i="6"/>
  <c r="H37" i="6"/>
  <c r="B38" i="6"/>
  <c r="C38" i="6"/>
  <c r="D38" i="6"/>
  <c r="E38" i="6"/>
  <c r="F38" i="6"/>
  <c r="G38" i="6"/>
  <c r="H38" i="6"/>
  <c r="B39" i="6"/>
  <c r="C39" i="6"/>
  <c r="D39" i="6"/>
  <c r="E39" i="6"/>
  <c r="F39" i="6"/>
  <c r="G39" i="6"/>
  <c r="H39" i="6"/>
  <c r="B40" i="6"/>
  <c r="C40" i="6"/>
  <c r="D40" i="6"/>
  <c r="E40" i="6"/>
  <c r="F40" i="6"/>
  <c r="G40" i="6"/>
  <c r="H40" i="6"/>
  <c r="B41" i="6"/>
  <c r="C41" i="6"/>
  <c r="D41" i="6"/>
  <c r="E41" i="6"/>
  <c r="F41" i="6"/>
  <c r="G41" i="6"/>
  <c r="H41" i="6"/>
  <c r="B42" i="6"/>
  <c r="C42" i="6"/>
  <c r="D42" i="6"/>
  <c r="E42" i="6"/>
  <c r="F42" i="6"/>
  <c r="G42" i="6"/>
  <c r="H42" i="6"/>
  <c r="B43" i="6"/>
  <c r="C43" i="6"/>
  <c r="D43" i="6"/>
  <c r="E43" i="6"/>
  <c r="F43" i="6"/>
  <c r="G43" i="6"/>
  <c r="H43" i="6"/>
  <c r="B44" i="6"/>
  <c r="C44" i="6"/>
  <c r="D44" i="6"/>
  <c r="E44" i="6"/>
  <c r="F44" i="6"/>
  <c r="G44" i="6"/>
  <c r="H44" i="6"/>
  <c r="B45" i="6"/>
  <c r="C45" i="6"/>
  <c r="D45" i="6"/>
  <c r="E45" i="6"/>
  <c r="F45" i="6"/>
  <c r="G45" i="6"/>
  <c r="H45" i="6"/>
  <c r="B46" i="6"/>
  <c r="C46" i="6"/>
  <c r="D46" i="6"/>
  <c r="E46" i="6"/>
  <c r="F46" i="6"/>
  <c r="G46" i="6"/>
  <c r="H46" i="6"/>
  <c r="B47" i="6"/>
  <c r="C47" i="6"/>
  <c r="D47" i="6"/>
  <c r="E47" i="6"/>
  <c r="F47" i="6"/>
  <c r="G47" i="6"/>
  <c r="H47" i="6"/>
  <c r="B48" i="6"/>
  <c r="C48" i="6"/>
  <c r="D48" i="6"/>
  <c r="E48" i="6"/>
  <c r="F48" i="6"/>
  <c r="G48" i="6"/>
  <c r="H48" i="6"/>
  <c r="B49" i="6"/>
  <c r="C49" i="6"/>
  <c r="D49" i="6"/>
  <c r="E49" i="6"/>
  <c r="F49" i="6"/>
  <c r="G49" i="6"/>
  <c r="H49" i="6"/>
  <c r="B50" i="6"/>
  <c r="C50" i="6"/>
  <c r="D50" i="6"/>
  <c r="E50" i="6"/>
  <c r="F50" i="6"/>
  <c r="G50" i="6"/>
  <c r="H50" i="6"/>
  <c r="B51" i="6"/>
  <c r="C51" i="6"/>
  <c r="D51" i="6"/>
  <c r="E51" i="6"/>
  <c r="F51" i="6"/>
  <c r="G51" i="6"/>
  <c r="H51" i="6"/>
  <c r="B52" i="6"/>
  <c r="C52" i="6"/>
  <c r="D52" i="6"/>
  <c r="E52" i="6"/>
  <c r="F52" i="6"/>
  <c r="G52" i="6"/>
  <c r="H52" i="6"/>
  <c r="B53" i="6"/>
  <c r="C53" i="6"/>
  <c r="D53" i="6"/>
  <c r="E53" i="6"/>
  <c r="F53" i="6"/>
  <c r="G53" i="6"/>
  <c r="H53" i="6"/>
  <c r="B54" i="6"/>
  <c r="C54" i="6"/>
  <c r="D54" i="6"/>
  <c r="E54" i="6"/>
  <c r="F54" i="6"/>
  <c r="G54" i="6"/>
  <c r="H54" i="6"/>
  <c r="B55" i="6"/>
  <c r="C55" i="6"/>
  <c r="D55" i="6"/>
  <c r="E55" i="6"/>
  <c r="F55" i="6"/>
  <c r="G55" i="6"/>
  <c r="H55" i="6"/>
  <c r="B56" i="6"/>
  <c r="C56" i="6"/>
  <c r="D56" i="6"/>
  <c r="E56" i="6"/>
  <c r="F56" i="6"/>
  <c r="G56" i="6"/>
  <c r="H56" i="6"/>
  <c r="B57" i="6"/>
  <c r="C57" i="6"/>
  <c r="D57" i="6"/>
  <c r="E57" i="6"/>
  <c r="F57" i="6"/>
  <c r="G57" i="6"/>
  <c r="H57" i="6"/>
  <c r="B58" i="6"/>
  <c r="C58" i="6"/>
  <c r="D58" i="6"/>
  <c r="E58" i="6"/>
  <c r="F58" i="6"/>
  <c r="G58" i="6"/>
  <c r="H58" i="6"/>
  <c r="B59" i="6"/>
  <c r="C59" i="6"/>
  <c r="D59" i="6"/>
  <c r="E59" i="6"/>
  <c r="F59" i="6"/>
  <c r="G59" i="6"/>
  <c r="H59" i="6"/>
  <c r="B60" i="6"/>
  <c r="C60" i="6"/>
  <c r="D60" i="6"/>
  <c r="E60" i="6"/>
  <c r="F60" i="6"/>
  <c r="G60" i="6"/>
  <c r="H60" i="6"/>
  <c r="B61" i="6"/>
  <c r="C61" i="6"/>
  <c r="D61" i="6"/>
  <c r="E61" i="6"/>
  <c r="F61" i="6"/>
  <c r="G61" i="6"/>
  <c r="H61" i="6"/>
  <c r="B62" i="6"/>
  <c r="C62" i="6"/>
  <c r="D62" i="6"/>
  <c r="E62" i="6"/>
  <c r="F62" i="6"/>
  <c r="G62" i="6"/>
  <c r="H62" i="6"/>
  <c r="B63" i="6"/>
  <c r="C63" i="6"/>
  <c r="D63" i="6"/>
  <c r="E63" i="6"/>
  <c r="F63" i="6"/>
  <c r="G63" i="6"/>
  <c r="H63" i="6"/>
  <c r="B64" i="6"/>
  <c r="C64" i="6"/>
  <c r="D64" i="6"/>
  <c r="E64" i="6"/>
  <c r="F64" i="6"/>
  <c r="G64" i="6"/>
  <c r="H64" i="6"/>
  <c r="B65" i="6"/>
  <c r="C65" i="6"/>
  <c r="D65" i="6"/>
  <c r="E65" i="6"/>
  <c r="F65" i="6"/>
  <c r="G65" i="6"/>
  <c r="H65" i="6"/>
  <c r="B66" i="6"/>
  <c r="C66" i="6"/>
  <c r="D66" i="6"/>
  <c r="E66" i="6"/>
  <c r="F66" i="6"/>
  <c r="G66" i="6"/>
  <c r="H66" i="6"/>
  <c r="B67" i="6"/>
  <c r="C67" i="6"/>
  <c r="D67" i="6"/>
  <c r="E67" i="6"/>
  <c r="F67" i="6"/>
  <c r="G67" i="6"/>
  <c r="H67" i="6"/>
  <c r="B68" i="6"/>
  <c r="C68" i="6"/>
  <c r="D68" i="6"/>
  <c r="E68" i="6"/>
  <c r="F68" i="6"/>
  <c r="G68" i="6"/>
  <c r="H68" i="6"/>
  <c r="B69" i="6"/>
  <c r="C69" i="6"/>
  <c r="D69" i="6"/>
  <c r="E69" i="6"/>
  <c r="F69" i="6"/>
  <c r="G69" i="6"/>
  <c r="H69" i="6"/>
  <c r="B71" i="6"/>
  <c r="C71" i="6"/>
  <c r="D71" i="6"/>
  <c r="E71" i="6"/>
  <c r="F71" i="6"/>
  <c r="G71" i="6"/>
  <c r="H71" i="6"/>
  <c r="B72" i="6"/>
  <c r="C72" i="6"/>
  <c r="D72" i="6"/>
  <c r="E72" i="6"/>
  <c r="F72" i="6"/>
  <c r="G72" i="6"/>
  <c r="H72" i="6"/>
  <c r="B73" i="6"/>
  <c r="C73" i="6"/>
  <c r="D73" i="6"/>
  <c r="E73" i="6"/>
  <c r="F73" i="6"/>
  <c r="G73" i="6"/>
  <c r="H73" i="6"/>
  <c r="B74" i="6"/>
  <c r="C74" i="6"/>
  <c r="D74" i="6"/>
  <c r="E74" i="6"/>
  <c r="F74" i="6"/>
  <c r="G74" i="6"/>
  <c r="H74" i="6"/>
  <c r="B75" i="6"/>
  <c r="C75" i="6"/>
  <c r="D75" i="6"/>
  <c r="E75" i="6"/>
  <c r="F75" i="6"/>
  <c r="G75" i="6"/>
  <c r="H75" i="6"/>
  <c r="B76" i="6"/>
  <c r="C76" i="6"/>
  <c r="D76" i="6"/>
  <c r="E76" i="6"/>
  <c r="F76" i="6"/>
  <c r="G76" i="6"/>
  <c r="H76" i="6"/>
  <c r="B77" i="6"/>
  <c r="C77" i="6"/>
  <c r="D77" i="6"/>
  <c r="E77" i="6"/>
  <c r="F77" i="6"/>
  <c r="G77" i="6"/>
  <c r="H77" i="6"/>
  <c r="B78" i="6"/>
  <c r="C78" i="6"/>
  <c r="D78" i="6"/>
  <c r="E78" i="6"/>
  <c r="F78" i="6"/>
  <c r="G78" i="6"/>
  <c r="H78" i="6"/>
  <c r="B79" i="6"/>
  <c r="C79" i="6"/>
  <c r="D79" i="6"/>
  <c r="E79" i="6"/>
  <c r="F79" i="6"/>
  <c r="G79" i="6"/>
  <c r="H79" i="6"/>
  <c r="B80" i="6"/>
  <c r="C80" i="6"/>
  <c r="D80" i="6"/>
  <c r="E80" i="6"/>
  <c r="F80" i="6"/>
  <c r="G80" i="6"/>
  <c r="H80" i="6"/>
  <c r="B81" i="6"/>
  <c r="C81" i="6"/>
  <c r="D81" i="6"/>
  <c r="E81" i="6"/>
  <c r="F81" i="6"/>
  <c r="G81" i="6"/>
  <c r="H81" i="6"/>
  <c r="B82" i="6"/>
  <c r="C82" i="6"/>
  <c r="D82" i="6"/>
  <c r="E82" i="6"/>
  <c r="F82" i="6"/>
  <c r="G82" i="6"/>
  <c r="H82" i="6"/>
  <c r="B83" i="6"/>
  <c r="C83" i="6"/>
  <c r="D83" i="6"/>
  <c r="E83" i="6"/>
  <c r="F83" i="6"/>
  <c r="G83" i="6"/>
  <c r="H83" i="6"/>
  <c r="B84" i="6"/>
  <c r="C84" i="6"/>
  <c r="D84" i="6"/>
  <c r="E84" i="6"/>
  <c r="F84" i="6"/>
  <c r="G84" i="6"/>
  <c r="H84" i="6"/>
  <c r="B85" i="6"/>
  <c r="C85" i="6"/>
  <c r="D85" i="6"/>
  <c r="E85" i="6"/>
  <c r="F85" i="6"/>
  <c r="G85" i="6"/>
  <c r="H85" i="6"/>
  <c r="B86" i="6"/>
  <c r="C86" i="6"/>
  <c r="D86" i="6"/>
  <c r="E86" i="6"/>
  <c r="F86" i="6"/>
  <c r="G86" i="6"/>
  <c r="H86" i="6"/>
  <c r="B87" i="6"/>
  <c r="C87" i="6"/>
  <c r="D87" i="6"/>
  <c r="E87" i="6"/>
  <c r="F87" i="6"/>
  <c r="G87" i="6"/>
  <c r="H87" i="6"/>
  <c r="B88" i="6"/>
  <c r="C88" i="6"/>
  <c r="D88" i="6"/>
  <c r="E88" i="6"/>
  <c r="F88" i="6"/>
  <c r="G88" i="6"/>
  <c r="H88" i="6"/>
  <c r="B89" i="6"/>
  <c r="C89" i="6"/>
  <c r="D89" i="6"/>
  <c r="E89" i="6"/>
  <c r="F89" i="6"/>
  <c r="G89" i="6"/>
  <c r="H89" i="6"/>
  <c r="B90" i="6"/>
  <c r="C90" i="6"/>
  <c r="D90" i="6"/>
  <c r="E90" i="6"/>
  <c r="F90" i="6"/>
  <c r="G90" i="6"/>
  <c r="H90" i="6"/>
  <c r="B91" i="6"/>
  <c r="C91" i="6"/>
  <c r="D91" i="6"/>
  <c r="E91" i="6"/>
  <c r="F91" i="6"/>
  <c r="G91" i="6"/>
  <c r="H91" i="6"/>
  <c r="B92" i="6"/>
  <c r="C92" i="6"/>
  <c r="D92" i="6"/>
  <c r="E92" i="6"/>
  <c r="F92" i="6"/>
  <c r="G92" i="6"/>
  <c r="H92" i="6"/>
  <c r="B93" i="6"/>
  <c r="C93" i="6"/>
  <c r="D93" i="6"/>
  <c r="E93" i="6"/>
  <c r="F93" i="6"/>
  <c r="G93" i="6"/>
  <c r="H93" i="6"/>
  <c r="H17" i="6"/>
  <c r="G17" i="6"/>
  <c r="F17" i="6"/>
  <c r="E17" i="6"/>
  <c r="D17" i="6"/>
  <c r="C17" i="6"/>
  <c r="B17" i="6"/>
  <c r="A17" i="6"/>
  <c r="J93" i="6"/>
  <c r="J92" i="6"/>
  <c r="J91" i="6"/>
  <c r="J90" i="6"/>
  <c r="J89" i="6"/>
  <c r="J88" i="6"/>
  <c r="J87" i="6"/>
  <c r="J86" i="6"/>
  <c r="J85" i="6"/>
  <c r="J84" i="6"/>
  <c r="J83" i="6"/>
  <c r="J82" i="6"/>
  <c r="J81" i="6"/>
  <c r="J80" i="6"/>
  <c r="J79" i="6"/>
  <c r="J78" i="6"/>
  <c r="J77" i="6"/>
  <c r="J76" i="6"/>
  <c r="J75" i="6"/>
  <c r="J74" i="6"/>
  <c r="J73" i="6"/>
  <c r="J72" i="6"/>
  <c r="J71"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T93" i="5"/>
  <c r="N93" i="5"/>
  <c r="O93" i="5" s="1"/>
  <c r="T92" i="5"/>
  <c r="N92" i="5"/>
  <c r="O92" i="5" s="1"/>
  <c r="T91" i="5"/>
  <c r="N91" i="5"/>
  <c r="O91" i="5" s="1"/>
  <c r="T90" i="5"/>
  <c r="N90" i="5"/>
  <c r="O90" i="5" s="1"/>
  <c r="T89" i="5"/>
  <c r="N89" i="5"/>
  <c r="O89" i="5" s="1"/>
  <c r="T88" i="5"/>
  <c r="N88" i="5"/>
  <c r="P88" i="5" s="1"/>
  <c r="T87" i="5"/>
  <c r="N87" i="5"/>
  <c r="T86" i="5"/>
  <c r="N86" i="5"/>
  <c r="P86" i="5" s="1"/>
  <c r="T85" i="5"/>
  <c r="N85" i="5"/>
  <c r="O85" i="5" s="1"/>
  <c r="T84" i="5"/>
  <c r="N84" i="5"/>
  <c r="O84" i="5" s="1"/>
  <c r="T83" i="5"/>
  <c r="N83" i="5"/>
  <c r="O83" i="5" s="1"/>
  <c r="T82" i="5"/>
  <c r="N82" i="5"/>
  <c r="P82" i="5" s="1"/>
  <c r="T81" i="5"/>
  <c r="N81" i="5"/>
  <c r="T80" i="5"/>
  <c r="N80" i="5"/>
  <c r="P80" i="5" s="1"/>
  <c r="T79" i="5"/>
  <c r="N79" i="5"/>
  <c r="O79" i="5" s="1"/>
  <c r="T78" i="5"/>
  <c r="N78" i="5"/>
  <c r="O78" i="5" s="1"/>
  <c r="T77" i="5"/>
  <c r="N77" i="5"/>
  <c r="O77" i="5" s="1"/>
  <c r="T76" i="5"/>
  <c r="N76" i="5"/>
  <c r="P76" i="5" s="1"/>
  <c r="T75" i="5"/>
  <c r="N75" i="5"/>
  <c r="T74" i="5"/>
  <c r="N74" i="5"/>
  <c r="P74" i="5" s="1"/>
  <c r="T73" i="5"/>
  <c r="N73" i="5"/>
  <c r="O73" i="5" s="1"/>
  <c r="T72" i="5"/>
  <c r="N72" i="5"/>
  <c r="O72" i="5" s="1"/>
  <c r="T71" i="5"/>
  <c r="N71" i="5"/>
  <c r="O71" i="5" s="1"/>
  <c r="T69" i="5"/>
  <c r="N69" i="5"/>
  <c r="P69" i="5" s="1"/>
  <c r="T68" i="5"/>
  <c r="N68" i="5"/>
  <c r="T67" i="5"/>
  <c r="N67" i="5"/>
  <c r="P67" i="5" s="1"/>
  <c r="T66" i="5"/>
  <c r="N66" i="5"/>
  <c r="O66" i="5" s="1"/>
  <c r="T65" i="5"/>
  <c r="N65" i="5"/>
  <c r="P65" i="5" s="1"/>
  <c r="T64" i="5"/>
  <c r="N64" i="5"/>
  <c r="O64" i="5" s="1"/>
  <c r="T63" i="5"/>
  <c r="N63" i="5"/>
  <c r="P63" i="5" s="1"/>
  <c r="T62" i="5"/>
  <c r="N62" i="5"/>
  <c r="T61" i="5"/>
  <c r="N61" i="5"/>
  <c r="P61" i="5" s="1"/>
  <c r="T60" i="5"/>
  <c r="N60" i="5"/>
  <c r="O60" i="5" s="1"/>
  <c r="T59" i="5"/>
  <c r="N59" i="5"/>
  <c r="P59" i="5" s="1"/>
  <c r="T58" i="5"/>
  <c r="N58" i="5"/>
  <c r="O58" i="5" s="1"/>
  <c r="T57" i="5"/>
  <c r="N57" i="5"/>
  <c r="P57" i="5" s="1"/>
  <c r="T56" i="5"/>
  <c r="N56" i="5"/>
  <c r="T55" i="5"/>
  <c r="N55" i="5"/>
  <c r="O55" i="5" s="1"/>
  <c r="T54" i="5"/>
  <c r="N54" i="5"/>
  <c r="O54" i="5" s="1"/>
  <c r="T53" i="5"/>
  <c r="N53" i="5"/>
  <c r="P53" i="5" s="1"/>
  <c r="T52" i="5"/>
  <c r="N52" i="5"/>
  <c r="O52" i="5" s="1"/>
  <c r="T51" i="5"/>
  <c r="N51" i="5"/>
  <c r="P51" i="5" s="1"/>
  <c r="T50" i="5"/>
  <c r="N50" i="5"/>
  <c r="T49" i="5"/>
  <c r="N49" i="5"/>
  <c r="P49" i="5" s="1"/>
  <c r="T48" i="5"/>
  <c r="N48" i="5"/>
  <c r="O48" i="5" s="1"/>
  <c r="T47" i="5"/>
  <c r="N47" i="5"/>
  <c r="P47" i="5" s="1"/>
  <c r="T46" i="5"/>
  <c r="N46" i="5"/>
  <c r="O46" i="5" s="1"/>
  <c r="T45" i="5"/>
  <c r="N45" i="5"/>
  <c r="P45" i="5" s="1"/>
  <c r="T44" i="5"/>
  <c r="N44" i="5"/>
  <c r="T43" i="5"/>
  <c r="N43" i="5"/>
  <c r="P43" i="5" s="1"/>
  <c r="T42" i="5"/>
  <c r="N42" i="5"/>
  <c r="O42" i="5" s="1"/>
  <c r="T41" i="5"/>
  <c r="N41" i="5"/>
  <c r="P41" i="5" s="1"/>
  <c r="T40" i="5"/>
  <c r="N40" i="5"/>
  <c r="P40" i="5" s="1"/>
  <c r="T39" i="5"/>
  <c r="N39" i="5"/>
  <c r="P39" i="5" s="1"/>
  <c r="T38" i="5"/>
  <c r="N38" i="5"/>
  <c r="T37" i="5"/>
  <c r="N37" i="5"/>
  <c r="O37" i="5" s="1"/>
  <c r="T36" i="5"/>
  <c r="N36" i="5"/>
  <c r="O36" i="5" s="1"/>
  <c r="T35" i="5"/>
  <c r="N35" i="5"/>
  <c r="P35" i="5" s="1"/>
  <c r="T34" i="5"/>
  <c r="N34" i="5"/>
  <c r="O34" i="5" s="1"/>
  <c r="T33" i="5"/>
  <c r="N33" i="5"/>
  <c r="P33" i="5" s="1"/>
  <c r="T32" i="5"/>
  <c r="N32" i="5"/>
  <c r="T31" i="5"/>
  <c r="N31" i="5"/>
  <c r="O31" i="5" s="1"/>
  <c r="T30" i="5"/>
  <c r="N30" i="5"/>
  <c r="O30" i="5" s="1"/>
  <c r="T29" i="5"/>
  <c r="N29" i="5"/>
  <c r="P29" i="5" s="1"/>
  <c r="T28" i="5"/>
  <c r="N28" i="5"/>
  <c r="O28" i="5" s="1"/>
  <c r="T27" i="5"/>
  <c r="N27" i="5"/>
  <c r="P27" i="5" s="1"/>
  <c r="T26" i="5"/>
  <c r="N26" i="5"/>
  <c r="T25" i="5"/>
  <c r="N25" i="5"/>
  <c r="P25" i="5" s="1"/>
  <c r="T24" i="5"/>
  <c r="N24" i="5"/>
  <c r="O24" i="5" s="1"/>
  <c r="T23" i="5"/>
  <c r="N23" i="5"/>
  <c r="P23" i="5" s="1"/>
  <c r="T22" i="5"/>
  <c r="N22" i="5"/>
  <c r="O22" i="5" s="1"/>
  <c r="T21" i="5"/>
  <c r="N21" i="5"/>
  <c r="P21" i="5" s="1"/>
  <c r="O74" i="5" l="1"/>
  <c r="P22" i="5"/>
  <c r="P31" i="5"/>
  <c r="P90" i="5"/>
  <c r="O65" i="5"/>
  <c r="O86" i="5"/>
  <c r="O67" i="5"/>
  <c r="P84" i="5"/>
  <c r="O49" i="5"/>
  <c r="O47" i="5"/>
  <c r="P72" i="5"/>
  <c r="P34" i="5"/>
  <c r="P37" i="5"/>
  <c r="P78" i="5"/>
  <c r="O80" i="5"/>
  <c r="P92" i="5"/>
  <c r="P28" i="5"/>
  <c r="P46" i="5"/>
  <c r="P48" i="5"/>
  <c r="P64" i="5"/>
  <c r="P66" i="5"/>
  <c r="P85" i="5"/>
  <c r="P30" i="5"/>
  <c r="P55" i="5"/>
  <c r="P79" i="5"/>
  <c r="P93" i="5"/>
  <c r="P73" i="5"/>
  <c r="P91" i="5"/>
  <c r="P24" i="5"/>
  <c r="O43" i="5"/>
  <c r="P58" i="5"/>
  <c r="P60" i="5"/>
  <c r="P52" i="5"/>
  <c r="P54" i="5"/>
  <c r="O23" i="5"/>
  <c r="O25" i="5"/>
  <c r="O40" i="5"/>
  <c r="P42" i="5"/>
  <c r="O59" i="5"/>
  <c r="O61" i="5"/>
  <c r="P36" i="5"/>
  <c r="O53" i="5"/>
  <c r="P71" i="5"/>
  <c r="P77" i="5"/>
  <c r="P83" i="5"/>
  <c r="P89" i="5"/>
  <c r="P62" i="5"/>
  <c r="O62" i="5"/>
  <c r="O68" i="5"/>
  <c r="P68" i="5"/>
  <c r="P26" i="5"/>
  <c r="O26" i="5"/>
  <c r="O50" i="5"/>
  <c r="P50" i="5"/>
  <c r="O81" i="5"/>
  <c r="P81" i="5"/>
  <c r="O38" i="5"/>
  <c r="P38" i="5"/>
  <c r="P56" i="5"/>
  <c r="O56" i="5"/>
  <c r="O44" i="5"/>
  <c r="P44" i="5"/>
  <c r="O32" i="5"/>
  <c r="P32" i="5"/>
  <c r="O75" i="5"/>
  <c r="P75" i="5"/>
  <c r="O87" i="5"/>
  <c r="P87" i="5"/>
  <c r="O21" i="5"/>
  <c r="O27" i="5"/>
  <c r="O33" i="5"/>
  <c r="O39" i="5"/>
  <c r="O45" i="5"/>
  <c r="O51" i="5"/>
  <c r="O57" i="5"/>
  <c r="O63" i="5"/>
  <c r="O69" i="5"/>
  <c r="O76" i="5"/>
  <c r="O82" i="5"/>
  <c r="O88" i="5"/>
  <c r="O29" i="5"/>
  <c r="O35" i="5"/>
  <c r="O41" i="5"/>
  <c r="V43" i="7"/>
  <c r="P43" i="7"/>
  <c r="Q43" i="7" s="1"/>
  <c r="V42" i="7"/>
  <c r="P42" i="7"/>
  <c r="R42" i="7" s="1"/>
  <c r="V41" i="7"/>
  <c r="P41" i="7"/>
  <c r="Q41" i="7" s="1"/>
  <c r="V40" i="7"/>
  <c r="P40" i="7"/>
  <c r="R40" i="7" s="1"/>
  <c r="V39" i="7"/>
  <c r="P39" i="7"/>
  <c r="Q39" i="7" s="1"/>
  <c r="V38" i="7"/>
  <c r="P38" i="7"/>
  <c r="R38" i="7" s="1"/>
  <c r="V37" i="7"/>
  <c r="P37" i="7"/>
  <c r="Q37" i="7" s="1"/>
  <c r="V36" i="7"/>
  <c r="P36" i="7"/>
  <c r="R36" i="7" s="1"/>
  <c r="V35" i="7"/>
  <c r="P35" i="7"/>
  <c r="Q35" i="7" s="1"/>
  <c r="V34" i="7"/>
  <c r="P34" i="7"/>
  <c r="R34" i="7" s="1"/>
  <c r="V33" i="7"/>
  <c r="P33" i="7"/>
  <c r="Q33" i="7" s="1"/>
  <c r="V32" i="7"/>
  <c r="P32" i="7"/>
  <c r="R32" i="7" s="1"/>
  <c r="V31" i="7"/>
  <c r="P31" i="7"/>
  <c r="Q31" i="7" s="1"/>
  <c r="V30" i="7"/>
  <c r="P30" i="7"/>
  <c r="R30" i="7" s="1"/>
  <c r="V29" i="7"/>
  <c r="P29" i="7"/>
  <c r="Q29" i="7" s="1"/>
  <c r="V28" i="7"/>
  <c r="P28" i="7"/>
  <c r="Q28" i="7" s="1"/>
  <c r="V27" i="7"/>
  <c r="P27" i="7"/>
  <c r="V26" i="7"/>
  <c r="P26" i="7"/>
  <c r="R26" i="7" s="1"/>
  <c r="V25" i="7"/>
  <c r="P25" i="7"/>
  <c r="Q25" i="7" s="1"/>
  <c r="V24" i="7"/>
  <c r="P24" i="7"/>
  <c r="R24" i="7" s="1"/>
  <c r="V23" i="7"/>
  <c r="P23" i="7"/>
  <c r="V22" i="7"/>
  <c r="P22" i="7"/>
  <c r="R22" i="7" s="1"/>
  <c r="V21" i="7"/>
  <c r="P21" i="7"/>
  <c r="Q21" i="7" s="1"/>
  <c r="V20" i="7"/>
  <c r="P20" i="7"/>
  <c r="R20" i="7" s="1"/>
  <c r="V19" i="7"/>
  <c r="P19" i="7"/>
  <c r="T20" i="5"/>
  <c r="N20" i="5"/>
  <c r="P20" i="5" s="1"/>
  <c r="T19" i="5"/>
  <c r="N19" i="5"/>
  <c r="O19" i="5" s="1"/>
  <c r="Q40" i="7" l="1"/>
  <c r="R41" i="7"/>
  <c r="O20" i="5"/>
  <c r="R28" i="7"/>
  <c r="Q24" i="7"/>
  <c r="R25" i="7"/>
  <c r="Q20" i="7"/>
  <c r="R21" i="7"/>
  <c r="Q36" i="7"/>
  <c r="R37" i="7"/>
  <c r="Q32" i="7"/>
  <c r="R33" i="7"/>
  <c r="R29" i="7"/>
  <c r="Q19" i="7"/>
  <c r="R19" i="7"/>
  <c r="R27" i="7"/>
  <c r="Q27" i="7"/>
  <c r="R23" i="7"/>
  <c r="Q23" i="7"/>
  <c r="Q22" i="7"/>
  <c r="Q26" i="7"/>
  <c r="Q30" i="7"/>
  <c r="R31" i="7"/>
  <c r="Q34" i="7"/>
  <c r="R35" i="7"/>
  <c r="Q38" i="7"/>
  <c r="R39" i="7"/>
  <c r="Q42" i="7"/>
  <c r="R43" i="7"/>
  <c r="P19" i="5"/>
  <c r="V18" i="7" l="1"/>
  <c r="P18" i="7"/>
  <c r="R18" i="7" l="1"/>
  <c r="Q18" i="7"/>
  <c r="T18" i="5" l="1"/>
  <c r="V17" i="7" l="1"/>
  <c r="T17"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7" i="7"/>
  <c r="Q17" i="7" s="1"/>
  <c r="A1" i="6"/>
  <c r="C9" i="6"/>
  <c r="C10" i="6"/>
  <c r="C11" i="6"/>
  <c r="C12" i="6"/>
  <c r="A1" i="5"/>
  <c r="Z8" i="5"/>
  <c r="C9" i="5"/>
  <c r="B8" i="12" s="1"/>
  <c r="Z9" i="5"/>
  <c r="C10" i="5"/>
  <c r="C10" i="14" s="1"/>
  <c r="C11" i="5"/>
  <c r="B10" i="12" s="1"/>
  <c r="C12" i="5"/>
  <c r="C12" i="14" s="1"/>
  <c r="IV16" i="5"/>
  <c r="N17" i="5"/>
  <c r="O17" i="5" s="1"/>
  <c r="N18" i="5"/>
  <c r="P18" i="5" s="1"/>
  <c r="N95" i="5"/>
  <c r="C99" i="5"/>
  <c r="C97" i="6" s="1"/>
  <c r="K99" i="5"/>
  <c r="O49" i="7" s="1"/>
  <c r="N24" i="8" s="1"/>
  <c r="C100" i="5"/>
  <c r="C50" i="7" s="1"/>
  <c r="C24" i="8" s="1"/>
  <c r="K100" i="5"/>
  <c r="O50" i="7" s="1"/>
  <c r="N25" i="8" s="1"/>
  <c r="K6" i="4"/>
  <c r="Z7" i="5" s="1"/>
  <c r="AA6" i="4"/>
  <c r="B7" i="4"/>
  <c r="B9" i="4"/>
  <c r="A8" i="6" s="1"/>
  <c r="B10" i="4"/>
  <c r="B14" i="4"/>
  <c r="B15" i="4"/>
  <c r="H27" i="4"/>
  <c r="G27" i="4" s="1"/>
  <c r="B2" i="2"/>
  <c r="A3" i="13" s="1"/>
  <c r="F2" i="2"/>
  <c r="B3" i="2"/>
  <c r="A1" i="7" s="1"/>
  <c r="J94" i="6" l="1"/>
  <c r="J7" i="15" s="1"/>
  <c r="I25" i="15" s="1"/>
  <c r="B50" i="19"/>
  <c r="B51" i="19"/>
  <c r="B53" i="19"/>
  <c r="E52" i="19"/>
  <c r="F49" i="19"/>
  <c r="A8" i="10"/>
  <c r="R17" i="7"/>
  <c r="B52" i="19"/>
  <c r="H5" i="20"/>
  <c r="H7" i="20" s="1"/>
  <c r="B11" i="12"/>
  <c r="Z10" i="5"/>
  <c r="I98" i="6"/>
  <c r="C11" i="14"/>
  <c r="A7" i="5"/>
  <c r="A7" i="13" s="1"/>
  <c r="B9" i="12"/>
  <c r="O18" i="5"/>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97" i="6"/>
  <c r="A8" i="9"/>
  <c r="A1" i="9"/>
  <c r="A1" i="12"/>
  <c r="AG7" i="19"/>
  <c r="AG8" i="19" s="1"/>
  <c r="C49" i="7"/>
  <c r="C23" i="8" s="1"/>
  <c r="A1" i="19"/>
  <c r="C98" i="6"/>
  <c r="P17" i="5"/>
  <c r="A1" i="8"/>
  <c r="A8" i="5"/>
  <c r="AG9" i="19"/>
  <c r="V44" i="7"/>
  <c r="P44" i="7"/>
  <c r="J8" i="15" s="1"/>
  <c r="J26" i="15" s="1"/>
  <c r="T94" i="5"/>
  <c r="N94" i="5"/>
  <c r="B40" i="19" l="1"/>
  <c r="A7" i="7"/>
  <c r="A7" i="6"/>
  <c r="A7" i="9"/>
  <c r="A7" i="10"/>
  <c r="A7" i="8"/>
  <c r="B7" i="14"/>
  <c r="A7" i="11"/>
  <c r="B8" i="14"/>
  <c r="A7" i="12"/>
  <c r="I16" i="15"/>
  <c r="D17" i="11"/>
  <c r="E17" i="13" s="1"/>
  <c r="R44" i="7"/>
  <c r="D17" i="9" s="1"/>
  <c r="D19" i="11"/>
  <c r="E19" i="13" s="1"/>
  <c r="J16" i="15"/>
  <c r="P54" i="7"/>
  <c r="P94" i="5"/>
  <c r="D15" i="9" s="1"/>
  <c r="N96" i="5"/>
  <c r="J6" i="15"/>
  <c r="D15" i="11"/>
  <c r="E15" i="13" s="1"/>
  <c r="D19" i="9" l="1"/>
  <c r="H16" i="15"/>
  <c r="J9" i="15"/>
  <c r="J15" i="15" s="1"/>
  <c r="H24" i="15"/>
  <c r="D23" i="11" l="1"/>
  <c r="D28" i="11" s="1"/>
  <c r="J31" i="15"/>
  <c r="J32" i="15" s="1"/>
  <c r="J35" i="15"/>
  <c r="J36" i="15" s="1"/>
  <c r="H15" i="15"/>
  <c r="H31" i="15" s="1"/>
  <c r="H32" i="15" s="1"/>
  <c r="I15" i="15"/>
  <c r="S43" i="7" l="1"/>
  <c r="T43" i="7" s="1"/>
  <c r="U43" i="7" s="1"/>
  <c r="S39" i="7"/>
  <c r="T39" i="7" s="1"/>
  <c r="U39" i="7" s="1"/>
  <c r="S35" i="7"/>
  <c r="T35" i="7" s="1"/>
  <c r="U35" i="7" s="1"/>
  <c r="S31" i="7"/>
  <c r="T31" i="7" s="1"/>
  <c r="U31" i="7" s="1"/>
  <c r="S27" i="7"/>
  <c r="T27" i="7" s="1"/>
  <c r="U27" i="7" s="1"/>
  <c r="S23" i="7"/>
  <c r="T23" i="7" s="1"/>
  <c r="U23" i="7" s="1"/>
  <c r="S19" i="7"/>
  <c r="T19" i="7" s="1"/>
  <c r="U19" i="7" s="1"/>
  <c r="S25" i="7"/>
  <c r="T25" i="7" s="1"/>
  <c r="U25" i="7" s="1"/>
  <c r="S21" i="7"/>
  <c r="T21" i="7" s="1"/>
  <c r="U21" i="7" s="1"/>
  <c r="S38" i="7"/>
  <c r="T38" i="7" s="1"/>
  <c r="U38" i="7" s="1"/>
  <c r="S40" i="7"/>
  <c r="T40" i="7" s="1"/>
  <c r="U40" i="7" s="1"/>
  <c r="S36" i="7"/>
  <c r="T36" i="7" s="1"/>
  <c r="U36" i="7" s="1"/>
  <c r="S32" i="7"/>
  <c r="T32" i="7" s="1"/>
  <c r="U32" i="7" s="1"/>
  <c r="S28" i="7"/>
  <c r="T28" i="7" s="1"/>
  <c r="U28" i="7" s="1"/>
  <c r="S24" i="7"/>
  <c r="T24" i="7" s="1"/>
  <c r="U24" i="7" s="1"/>
  <c r="S20" i="7"/>
  <c r="T20" i="7" s="1"/>
  <c r="U20" i="7" s="1"/>
  <c r="S41" i="7"/>
  <c r="T41" i="7" s="1"/>
  <c r="U41" i="7" s="1"/>
  <c r="S37" i="7"/>
  <c r="T37" i="7" s="1"/>
  <c r="U37" i="7" s="1"/>
  <c r="S33" i="7"/>
  <c r="T33" i="7" s="1"/>
  <c r="U33" i="7" s="1"/>
  <c r="S29" i="7"/>
  <c r="T29" i="7" s="1"/>
  <c r="U29" i="7" s="1"/>
  <c r="S42" i="7"/>
  <c r="T42" i="7" s="1"/>
  <c r="U42" i="7" s="1"/>
  <c r="S34" i="7"/>
  <c r="T34" i="7" s="1"/>
  <c r="U34" i="7" s="1"/>
  <c r="S30" i="7"/>
  <c r="T30" i="7" s="1"/>
  <c r="U30" i="7" s="1"/>
  <c r="S26" i="7"/>
  <c r="T26" i="7" s="1"/>
  <c r="U26" i="7" s="1"/>
  <c r="S22" i="7"/>
  <c r="T22" i="7" s="1"/>
  <c r="U22" i="7" s="1"/>
  <c r="S18" i="7"/>
  <c r="T18" i="7" s="1"/>
  <c r="U18" i="7" s="1"/>
  <c r="F19" i="13"/>
  <c r="D19" i="13" s="1"/>
  <c r="S17" i="7"/>
  <c r="T17" i="7" s="1"/>
  <c r="U17" i="7" s="1"/>
  <c r="I35" i="15"/>
  <c r="I36" i="15" s="1"/>
  <c r="F17" i="13" s="1"/>
  <c r="D17" i="13" s="1"/>
  <c r="I31" i="15"/>
  <c r="I32" i="15" s="1"/>
  <c r="H35" i="15"/>
  <c r="H36" i="15" s="1"/>
  <c r="Q70" i="5" l="1"/>
  <c r="R70" i="5" s="1"/>
  <c r="S70" i="5" s="1"/>
  <c r="Q89" i="5"/>
  <c r="R89" i="5" s="1"/>
  <c r="S89" i="5" s="1"/>
  <c r="Q83" i="5"/>
  <c r="R83" i="5" s="1"/>
  <c r="S83" i="5" s="1"/>
  <c r="Q77" i="5"/>
  <c r="R77" i="5" s="1"/>
  <c r="S77" i="5" s="1"/>
  <c r="Q71" i="5"/>
  <c r="R71" i="5" s="1"/>
  <c r="S71" i="5" s="1"/>
  <c r="Q64" i="5"/>
  <c r="R64" i="5" s="1"/>
  <c r="S64" i="5" s="1"/>
  <c r="Q58" i="5"/>
  <c r="R58" i="5" s="1"/>
  <c r="S58" i="5" s="1"/>
  <c r="Q52" i="5"/>
  <c r="R52" i="5" s="1"/>
  <c r="S52" i="5" s="1"/>
  <c r="Q46" i="5"/>
  <c r="R46" i="5" s="1"/>
  <c r="S46" i="5" s="1"/>
  <c r="Q40" i="5"/>
  <c r="R40" i="5" s="1"/>
  <c r="S40" i="5" s="1"/>
  <c r="Q34" i="5"/>
  <c r="R34" i="5" s="1"/>
  <c r="S34" i="5" s="1"/>
  <c r="Q28" i="5"/>
  <c r="R28" i="5" s="1"/>
  <c r="S28" i="5" s="1"/>
  <c r="Q22" i="5"/>
  <c r="R22" i="5" s="1"/>
  <c r="S22" i="5" s="1"/>
  <c r="Q73" i="5"/>
  <c r="R73" i="5" s="1"/>
  <c r="S73" i="5" s="1"/>
  <c r="Q66" i="5"/>
  <c r="R66" i="5" s="1"/>
  <c r="S66" i="5" s="1"/>
  <c r="Q36" i="5"/>
  <c r="R36" i="5" s="1"/>
  <c r="S36" i="5" s="1"/>
  <c r="Q24" i="5"/>
  <c r="R24" i="5" s="1"/>
  <c r="S24" i="5" s="1"/>
  <c r="Q88" i="5"/>
  <c r="R88" i="5" s="1"/>
  <c r="S88" i="5" s="1"/>
  <c r="Q82" i="5"/>
  <c r="R82" i="5" s="1"/>
  <c r="S82" i="5" s="1"/>
  <c r="Q76" i="5"/>
  <c r="R76" i="5" s="1"/>
  <c r="S76" i="5" s="1"/>
  <c r="Q69" i="5"/>
  <c r="R69" i="5" s="1"/>
  <c r="S69" i="5" s="1"/>
  <c r="Q63" i="5"/>
  <c r="R63" i="5" s="1"/>
  <c r="S63" i="5" s="1"/>
  <c r="Q57" i="5"/>
  <c r="R57" i="5" s="1"/>
  <c r="S57" i="5" s="1"/>
  <c r="Q51" i="5"/>
  <c r="R51" i="5" s="1"/>
  <c r="S51" i="5" s="1"/>
  <c r="Q45" i="5"/>
  <c r="R45" i="5" s="1"/>
  <c r="S45" i="5" s="1"/>
  <c r="Q39" i="5"/>
  <c r="R39" i="5" s="1"/>
  <c r="S39" i="5" s="1"/>
  <c r="Q33" i="5"/>
  <c r="R33" i="5" s="1"/>
  <c r="S33" i="5" s="1"/>
  <c r="Q27" i="5"/>
  <c r="R27" i="5" s="1"/>
  <c r="S27" i="5" s="1"/>
  <c r="Q21" i="5"/>
  <c r="R21" i="5" s="1"/>
  <c r="S21" i="5" s="1"/>
  <c r="Q87" i="5"/>
  <c r="R87" i="5" s="1"/>
  <c r="S87" i="5" s="1"/>
  <c r="Q81" i="5"/>
  <c r="R81" i="5" s="1"/>
  <c r="S81" i="5" s="1"/>
  <c r="Q75" i="5"/>
  <c r="R75" i="5" s="1"/>
  <c r="S75" i="5" s="1"/>
  <c r="Q68" i="5"/>
  <c r="R68" i="5" s="1"/>
  <c r="S68" i="5" s="1"/>
  <c r="Q62" i="5"/>
  <c r="R62" i="5" s="1"/>
  <c r="S62" i="5" s="1"/>
  <c r="Q56" i="5"/>
  <c r="R56" i="5" s="1"/>
  <c r="S56" i="5" s="1"/>
  <c r="Q50" i="5"/>
  <c r="R50" i="5" s="1"/>
  <c r="S50" i="5" s="1"/>
  <c r="Q44" i="5"/>
  <c r="R44" i="5" s="1"/>
  <c r="S44" i="5" s="1"/>
  <c r="Q38" i="5"/>
  <c r="R38" i="5" s="1"/>
  <c r="S38" i="5" s="1"/>
  <c r="Q32" i="5"/>
  <c r="R32" i="5" s="1"/>
  <c r="S32" i="5" s="1"/>
  <c r="Q26" i="5"/>
  <c r="R26" i="5" s="1"/>
  <c r="S26" i="5" s="1"/>
  <c r="Q93" i="5"/>
  <c r="R93" i="5" s="1"/>
  <c r="S93" i="5" s="1"/>
  <c r="Q79" i="5"/>
  <c r="R79" i="5" s="1"/>
  <c r="S79" i="5" s="1"/>
  <c r="Q60" i="5"/>
  <c r="R60" i="5" s="1"/>
  <c r="S60" i="5" s="1"/>
  <c r="Q54" i="5"/>
  <c r="R54" i="5" s="1"/>
  <c r="S54" i="5" s="1"/>
  <c r="Q42" i="5"/>
  <c r="R42" i="5" s="1"/>
  <c r="S42" i="5" s="1"/>
  <c r="Q30" i="5"/>
  <c r="R30" i="5" s="1"/>
  <c r="S30" i="5" s="1"/>
  <c r="Q92" i="5"/>
  <c r="R92" i="5" s="1"/>
  <c r="S92" i="5" s="1"/>
  <c r="Q86" i="5"/>
  <c r="R86" i="5" s="1"/>
  <c r="S86" i="5" s="1"/>
  <c r="Q80" i="5"/>
  <c r="R80" i="5" s="1"/>
  <c r="S80" i="5" s="1"/>
  <c r="Q74" i="5"/>
  <c r="R74" i="5" s="1"/>
  <c r="S74" i="5" s="1"/>
  <c r="Q67" i="5"/>
  <c r="R67" i="5" s="1"/>
  <c r="S67" i="5" s="1"/>
  <c r="Q61" i="5"/>
  <c r="R61" i="5" s="1"/>
  <c r="S61" i="5" s="1"/>
  <c r="Q55" i="5"/>
  <c r="R55" i="5" s="1"/>
  <c r="S55" i="5" s="1"/>
  <c r="Q49" i="5"/>
  <c r="R49" i="5" s="1"/>
  <c r="S49" i="5" s="1"/>
  <c r="Q43" i="5"/>
  <c r="R43" i="5" s="1"/>
  <c r="S43" i="5" s="1"/>
  <c r="Q37" i="5"/>
  <c r="R37" i="5" s="1"/>
  <c r="S37" i="5" s="1"/>
  <c r="Q31" i="5"/>
  <c r="R31" i="5" s="1"/>
  <c r="S31" i="5" s="1"/>
  <c r="Q25" i="5"/>
  <c r="R25" i="5" s="1"/>
  <c r="S25" i="5" s="1"/>
  <c r="Q91" i="5"/>
  <c r="R91" i="5" s="1"/>
  <c r="S91" i="5" s="1"/>
  <c r="Q85" i="5"/>
  <c r="R85" i="5" s="1"/>
  <c r="S85" i="5" s="1"/>
  <c r="Q48" i="5"/>
  <c r="R48" i="5" s="1"/>
  <c r="S48" i="5" s="1"/>
  <c r="Q90" i="5"/>
  <c r="R90" i="5" s="1"/>
  <c r="S90" i="5" s="1"/>
  <c r="Q78" i="5"/>
  <c r="R78" i="5" s="1"/>
  <c r="S78" i="5" s="1"/>
  <c r="Q65" i="5"/>
  <c r="R65" i="5" s="1"/>
  <c r="S65" i="5" s="1"/>
  <c r="Q47" i="5"/>
  <c r="R47" i="5" s="1"/>
  <c r="S47" i="5" s="1"/>
  <c r="Q29" i="5"/>
  <c r="R29" i="5" s="1"/>
  <c r="S29" i="5" s="1"/>
  <c r="Q84" i="5"/>
  <c r="R84" i="5" s="1"/>
  <c r="S84" i="5" s="1"/>
  <c r="Q72" i="5"/>
  <c r="R72" i="5" s="1"/>
  <c r="S72" i="5" s="1"/>
  <c r="Q35" i="5"/>
  <c r="R35" i="5" s="1"/>
  <c r="S35" i="5" s="1"/>
  <c r="Q53" i="5"/>
  <c r="R53" i="5" s="1"/>
  <c r="S53" i="5" s="1"/>
  <c r="Q59" i="5"/>
  <c r="R59" i="5" s="1"/>
  <c r="S59" i="5" s="1"/>
  <c r="Q41" i="5"/>
  <c r="R41" i="5" s="1"/>
  <c r="S41" i="5" s="1"/>
  <c r="Q23" i="5"/>
  <c r="R23" i="5" s="1"/>
  <c r="S23" i="5" s="1"/>
  <c r="Q19" i="5"/>
  <c r="R19" i="5" s="1"/>
  <c r="S19" i="5" s="1"/>
  <c r="Q20" i="5"/>
  <c r="R20" i="5" s="1"/>
  <c r="S20" i="5" s="1"/>
  <c r="F15" i="13"/>
  <c r="D15" i="13" s="1"/>
  <c r="Q18" i="5"/>
  <c r="R18" i="5" s="1"/>
  <c r="S18" i="5" s="1"/>
  <c r="Q17" i="5"/>
  <c r="R17" i="5" s="1"/>
  <c r="S17" i="5" s="1"/>
  <c r="U44" i="7"/>
  <c r="D17" i="10" s="1"/>
  <c r="S94" i="5" l="1"/>
  <c r="D15" i="10" s="1"/>
  <c r="D19" i="10" s="1"/>
  <c r="D23" i="13" s="1"/>
  <c r="D28" i="13" s="1"/>
  <c r="H18" i="19" s="1"/>
  <c r="R94"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<sst xmlns="http://schemas.openxmlformats.org/spreadsheetml/2006/main" count="1520" uniqueCount="621">
  <si>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</si>
  <si>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</si>
  <si>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</si>
  <si>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</si>
  <si>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</si>
  <si>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</si>
  <si>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</si>
  <si>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</si>
  <si>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</si>
  <si>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</si>
  <si>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</si>
  <si>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</si>
  <si>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</si>
  <si>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</si>
  <si>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</si>
  <si>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</si>
  <si>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</si>
  <si>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</si>
  <si>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</si>
  <si>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</si>
  <si>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</si>
  <si>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</si>
  <si>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</si>
  <si>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</si>
  <si>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</si>
  <si>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</si>
  <si>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</si>
  <si>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</si>
  <si>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</si>
  <si>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</si>
  <si>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</si>
  <si>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</si>
  <si>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</si>
  <si>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</si>
  <si>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</si>
  <si>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</si>
  <si>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</si>
  <si>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</si>
  <si>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</si>
  <si>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</si>
  <si>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</si>
  <si>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</si>
  <si>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</si>
  <si>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</si>
  <si>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</si>
  <si>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</si>
  <si>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</si>
  <si>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</si>
  <si>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</si>
  <si>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</si>
  <si>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</si>
  <si>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</si>
  <si>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</si>
  <si>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</si>
  <si>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</si>
  <si>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</si>
  <si>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</si>
  <si>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</si>
  <si>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</si>
  <si>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</si>
  <si>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</si>
  <si>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</si>
  <si>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</si>
  <si>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</si>
  <si>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</si>
  <si>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</si>
  <si>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</si>
  <si>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</si>
  <si>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</si>
  <si>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</si>
  <si>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</si>
  <si>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</si>
  <si>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</si>
  <si>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</si>
  <si>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</si>
  <si>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</si>
  <si>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</si>
  <si>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</si>
  <si>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</si>
  <si>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</si>
  <si>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</si>
  <si>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</si>
  <si>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</si>
  <si>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</si>
  <si>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</si>
  <si>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</si>
  <si>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</si>
  <si>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</si>
  <si>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</si>
  <si>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</si>
  <si>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</si>
  <si>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</si>
  <si>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</si>
  <si>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</si>
  <si>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</si>
  <si>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</si>
  <si>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</si>
  <si>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</si>
  <si>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</si>
  <si>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</si>
  <si>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</si>
  <si>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</si>
  <si>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</si>
  <si>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</si>
  <si>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</si>
  <si>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</si>
  <si>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</si>
  <si>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</si>
  <si>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</si>
  <si>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</si>
  <si>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</si>
  <si>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</si>
  <si>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</si>
  <si>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</si>
  <si>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</si>
  <si>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</si>
  <si>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</si>
  <si>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</si>
  <si>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</si>
  <si>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</si>
  <si>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</si>
  <si>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</si>
  <si>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</si>
  <si>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</si>
  <si>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</si>
  <si>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</si>
  <si>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</si>
  <si>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</si>
  <si>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</si>
  <si>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</si>
  <si>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</si>
  <si>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</si>
  <si>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</si>
  <si>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</si>
  <si>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</si>
  <si>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</si>
  <si>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</si>
  <si>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</si>
  <si>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</si>
  <si>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</si>
  <si>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</si>
  <si>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</si>
  <si>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</si>
  <si>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</si>
  <si>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</si>
  <si>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</si>
  <si>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</si>
  <si>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</si>
  <si>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</si>
  <si>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</si>
  <si>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</si>
  <si>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</si>
  <si>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</si>
  <si>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</si>
  <si>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</si>
  <si>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</si>
  <si>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</si>
  <si>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</si>
  <si>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</si>
  <si>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</si>
  <si>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</si>
  <si>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</si>
  <si>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</si>
  <si>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</si>
  <si>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</si>
  <si>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</si>
  <si>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</si>
  <si>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</si>
  <si>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</si>
  <si>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</si>
  <si>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</si>
  <si>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</si>
  <si>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</si>
  <si>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</si>
  <si>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</si>
  <si>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</si>
  <si>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</si>
  <si>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</si>
  <si>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</si>
  <si>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</si>
  <si>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</si>
  <si>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</si>
  <si>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</si>
  <si>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</si>
  <si>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</si>
  <si>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</si>
  <si>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</si>
  <si>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</si>
  <si>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</si>
  <si>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</si>
  <si>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</si>
  <si>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</si>
  <si>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</si>
  <si>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</si>
  <si>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</si>
  <si>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</si>
  <si>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</si>
  <si>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</si>
  <si>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</si>
  <si>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</si>
  <si>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</si>
  <si>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</si>
  <si>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</si>
  <si>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</si>
  <si>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</si>
  <si>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</si>
  <si>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</si>
  <si>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</si>
  <si>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</si>
  <si>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</si>
  <si>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</si>
  <si>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</si>
  <si>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</si>
  <si>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</si>
  <si>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</si>
  <si>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</si>
  <si>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</si>
  <si>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</si>
  <si>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</si>
  <si>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</si>
  <si>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</si>
  <si>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</si>
  <si>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</si>
  <si>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</si>
  <si>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</si>
  <si>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</si>
  <si>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</si>
  <si>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</si>
  <si>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</si>
  <si>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</si>
  <si>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</si>
  <si>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</si>
  <si>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</si>
  <si>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</si>
  <si>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</si>
  <si>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</si>
  <si>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</si>
  <si>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</si>
  <si>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</si>
  <si>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</si>
  <si>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</si>
  <si>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</si>
  <si>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</si>
  <si>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</si>
  <si>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</si>
  <si>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</si>
  <si>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</si>
  <si>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</si>
  <si>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</si>
  <si>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</si>
  <si>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</si>
  <si>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</si>
  <si>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</si>
  <si>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</si>
  <si>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</si>
  <si>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</si>
  <si>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</si>
  <si>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</si>
  <si>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</si>
  <si>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</si>
  <si>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</si>
  <si>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</si>
  <si>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</si>
  <si>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</si>
  <si>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</si>
  <si>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</si>
  <si>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</si>
  <si>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</si>
  <si>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</si>
  <si>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</si>
  <si>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</si>
  <si>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</si>
  <si>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</si>
  <si>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</si>
  <si>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</si>
  <si>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</si>
  <si>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</si>
  <si>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</si>
  <si>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</si>
  <si>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</si>
  <si>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</si>
  <si>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</si>
  <si>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</si>
  <si>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</si>
  <si>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</si>
  <si>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</si>
  <si>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</si>
  <si>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</si>
  <si>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</si>
  <si>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</si>
  <si>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</si>
  <si>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</si>
  <si>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</si>
  <si>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</si>
  <si>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</si>
  <si>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</si>
  <si>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</si>
  <si>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</si>
  <si>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</si>
  <si>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</si>
  <si>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</si>
  <si>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 xml:space="preserve">KM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</si>
  <si>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</si>
  <si>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</si>
  <si>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</si>
  <si>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</si>
  <si>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</si>
  <si>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</si>
  <si>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</si>
  <si>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</si>
  <si>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</si>
  <si>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</si>
  <si>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</si>
  <si>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</si>
  <si>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</si>
  <si>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</si>
  <si>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</si>
  <si>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</si>
  <si>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</si>
  <si>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</si>
  <si>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</si>
  <si>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</si>
  <si>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</si>
  <si>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</si>
  <si>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</si>
  <si>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</si>
  <si>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</si>
  <si>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</si>
  <si>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</si>
  <si>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</si>
  <si>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</si>
  <si>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</si>
  <si>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</si>
  <si>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</si>
  <si>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</si>
  <si>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</si>
  <si>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</si>
  <si>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</si>
  <si>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</si>
  <si>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</si>
  <si>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</si>
  <si>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</si>
  <si>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</si>
  <si>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</si>
  <si>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</si>
  <si>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</si>
  <si>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</si>
  <si>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</si>
  <si>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</si>
  <si>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</si>
  <si>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</si>
  <si>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</si>
  <si>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</si>
  <si>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</si>
  <si>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</si>
  <si>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</si>
  <si>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</si>
  <si>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</si>
  <si>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</si>
  <si>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</si>
  <si>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</si>
  <si>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</si>
  <si>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</si>
  <si>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</si>
  <si>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</si>
  <si>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</si>
  <si>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</si>
  <si>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</si>
  <si>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</si>
  <si>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</si>
  <si>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</si>
  <si>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</si>
  <si>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</si>
  <si>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</si>
  <si>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</si>
  <si>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</si>
  <si>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</si>
  <si>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</si>
  <si>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</si>
  <si>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</si>
  <si>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</si>
  <si>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</si>
  <si>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</si>
  <si>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</si>
  <si>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</si>
  <si>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</si>
  <si>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</si>
  <si>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</si>
  <si>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</si>
  <si>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</si>
  <si>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</si>
  <si>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</si>
  <si>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</si>
  <si>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</si>
  <si>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</si>
  <si>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</si>
  <si>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</si>
  <si>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</si>
  <si>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</si>
  <si>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</si>
  <si>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</si>
  <si>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</si>
  <si>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</si>
  <si>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</si>
  <si>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</si>
  <si>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</si>
  <si>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</si>
  <si>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</si>
  <si>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</si>
  <si>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</si>
  <si>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</si>
  <si>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</si>
  <si>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</si>
  <si>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</si>
  <si>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</si>
  <si>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</si>
  <si>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</si>
  <si>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</si>
  <si>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</si>
  <si>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</si>
  <si>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</si>
  <si>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</si>
  <si>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</si>
  <si>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</si>
  <si>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</si>
  <si>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</si>
  <si>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</si>
  <si>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</si>
  <si>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</si>
  <si>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</si>
  <si>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</si>
  <si>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</si>
  <si>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</si>
  <si>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</si>
  <si>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</si>
  <si>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</si>
  <si>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</si>
  <si>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</si>
  <si>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</si>
  <si>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</si>
  <si>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</si>
  <si>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</si>
  <si>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</si>
  <si>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</si>
  <si>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</si>
  <si>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</si>
  <si>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</si>
  <si>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</si>
  <si>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</si>
  <si>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</si>
  <si>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</si>
  <si>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</si>
  <si>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</si>
  <si>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</si>
  <si>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</si>
  <si>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</si>
  <si>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</si>
  <si>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</si>
  <si>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</si>
  <si>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</si>
  <si>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</si>
  <si>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</si>
  <si>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</si>
  <si>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</si>
  <si>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</si>
  <si>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</si>
  <si>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</si>
  <si>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</si>
  <si>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</si>
  <si>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</si>
  <si>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</si>
  <si>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</si>
  <si>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</si>
  <si>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</si>
  <si>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 xml:space="preserve">M  </t>
  </si>
  <si>
    <t xml:space="preserve">LS </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</si>
  <si>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</si>
  <si>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</si>
  <si>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</si>
  <si>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</si>
  <si>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Schedule - 6 (after discount)</t>
  </si>
  <si>
    <t>Schedule - 5 (after discount)</t>
  </si>
  <si>
    <t>ORIGINAL</t>
  </si>
  <si>
    <t>Total Ex-Works Price</t>
  </si>
  <si>
    <t>Portable Partial Discharge measurement test kitwith all necessary accessories,Industrial Grade Laptop and licensedsoftware as per Technicalspecification.</t>
  </si>
  <si>
    <t>qty changed</t>
  </si>
  <si>
    <t xml:space="preserve">Erection Hardware                       </t>
  </si>
  <si>
    <t>SF6 GAS ANALYZER</t>
  </si>
  <si>
    <t>SF6 Gas Leakage Detector</t>
  </si>
  <si>
    <t>Schedule - 2</t>
  </si>
  <si>
    <t xml:space="preserve">Substation Package SS-92 for Extension of 400/220kV GIS Indore S/S under Transmission System associated with Scheme to control fault level at Indore Substation in Western Region
</t>
  </si>
  <si>
    <t>SS92</t>
  </si>
  <si>
    <t>X</t>
  </si>
  <si>
    <t>Y</t>
  </si>
  <si>
    <t>Z</t>
  </si>
  <si>
    <t>Schedule-1</t>
  </si>
  <si>
    <t xml:space="preserve">400kV GIS Equipments                    </t>
  </si>
  <si>
    <t xml:space="preserve">Control &amp; Relay Panels                  </t>
  </si>
  <si>
    <t xml:space="preserve">SAS Equipments                          </t>
  </si>
  <si>
    <t xml:space="preserve">Testing &amp; Maintenance Equipments-GIS    </t>
  </si>
  <si>
    <t xml:space="preserve">400kV AIS Equipments                    </t>
  </si>
  <si>
    <t xml:space="preserve">Control Cables                          </t>
  </si>
  <si>
    <t xml:space="preserve">Power Cables                            </t>
  </si>
  <si>
    <t xml:space="preserve">illumination                            </t>
  </si>
  <si>
    <t xml:space="preserve">Spare: GIS Equipments                   </t>
  </si>
  <si>
    <t xml:space="preserve">Spare: CRP &amp; SAS                        </t>
  </si>
  <si>
    <t xml:space="preserve"> Structures-400kV AIS Equipments        </t>
  </si>
  <si>
    <t xml:space="preserve">Foundation Bolts Supply                 </t>
  </si>
  <si>
    <t>420kV, 4000 A, 63 kA, SF6 GIS Bussectionaliser module as perSection-Project, Technicalspecification</t>
  </si>
  <si>
    <t>420kV, 4000A,63kA, Single phase SF6 GasInsulated Bus Duct (GIB) outside GISHall alongwith associated supportstructure</t>
  </si>
  <si>
    <t>420KV, 4000A, 63KA SF6 TO AIR BUSHING</t>
  </si>
  <si>
    <t>400kV Circuit Breaker Relay Panel without Auto Reclose (withAutomation)</t>
  </si>
  <si>
    <t>400kV Bus Bar Protection Panel (Duplicate)-(with Automation)</t>
  </si>
  <si>
    <t>Relay Test kit</t>
  </si>
  <si>
    <t>AUGMENTATION OF SUBSTATION AUTOMATION SYSTEM FOR 400KV BUSSECTIONALIZER BAY AS PER TECHNICAL SPECIFICATION</t>
  </si>
  <si>
    <t>ERECTION HARDWARE FOR 400KV LAYOUT (ONE AND HALF BREAKER SCHEME)-BUSSECTION BAY AS PER TECHNICAL SPECIFICATION</t>
  </si>
  <si>
    <t>SF6 Gas processing Unit for 400kV GIS station</t>
  </si>
  <si>
    <t>420 kV, 1 phase Bus Post Insulator (except for Line Traps)</t>
  </si>
  <si>
    <t>1.1KV GRADE 3CX2.5 SQMM CONTROL CABLE</t>
  </si>
  <si>
    <t>1.1KV GRADE 5CX2.5 SQMM CONTROL CABLE</t>
  </si>
  <si>
    <t>1.1KV GRADE 10CX2.5 SQMM CONTROL CABLE</t>
  </si>
  <si>
    <t>1.1KV GRADE 19CX1.5 SQMM CONTROL CABLE</t>
  </si>
  <si>
    <t>1.1KV GRADE 3.5CX70 SQMM (PVC) POWER CABLE</t>
  </si>
  <si>
    <t>1.1KV GRADE 3.5CX35 SQMM (PVC) POWER CABLE</t>
  </si>
  <si>
    <t>1.1KV GRADE 4CX16 SQMM (PVC) POWER CABLE</t>
  </si>
  <si>
    <t>1.1KV GRADE 4CX6 SQMM (PVC) POWER CABLE</t>
  </si>
  <si>
    <t>1.1KV GRADE 2CX6 SQMM (PVC) POWER CABLE</t>
  </si>
  <si>
    <t>Lighting Panel type ACP-2 as per technical specification</t>
  </si>
  <si>
    <t>Sub Lighting panel (outdoor) type SLP (Switchyard and Street Lighting)</t>
  </si>
  <si>
    <t>LIGHTING FIXTURE LED LUMINAIRES TYPE FL-1 AS PER TECH. SPECIFICATIONS</t>
  </si>
  <si>
    <t>LIGHTING FIXTURE LED LUMINAIRES TYPE FL2 AS PER TECH. SPECIFICATIONS</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</si>
  <si>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</si>
  <si>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</si>
  <si>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</si>
  <si>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RUBBER  GASKETS,  Ã‚â‚¬Å’OÃ‚â‚¬Â  RINGS  AND  SEALS  FOR  SF6  GAS  FOR  GISENCLOSURE OF EACH TYPE-400KV GIS</t>
  </si>
  <si>
    <t>400KV GIS-MOLECULAR FILTER FOR SF6 GAS WITH FILTER BAGS (5 % OF TOTALWEIGHT)</t>
  </si>
  <si>
    <t>CONTROL VALVES FOR SF6 GAS OF EACH TYPE-400KV GIS</t>
  </si>
  <si>
    <t>400KV GIS-SF6 GAS (5 % OF TOTAL GAS QUANTITY)</t>
  </si>
  <si>
    <t>LOT</t>
  </si>
  <si>
    <t>LOCKING   DEVICE   TO   KEEP   THE   DIS-CONNECTORS   (ISOLATORS)AND EARTHING/FAST EARTHING SWITCHES IN CLOSE OR OPEN POSITION IN CASEOF REMOVAL OF THE DRIVING MECHANISM-400KV GIS</t>
  </si>
  <si>
    <t>UHF PD SENSORS OF EACH TYPE ALONG WITH BNC CONNECTOR FOR 420KV GIS</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</si>
  <si>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</si>
  <si>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</si>
  <si>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</si>
  <si>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LCC SPARES  - AUX. RELAYS, CONTACTORS,PUSH BUTTONS, SWITCHES,LAMPS,ANNUNCIATION WINDOWS, MCB, FUSES,TIMERS, TERMINAL BLOCKS ETC. OF EACHTYPE &amp; RATING-400kV GIS</t>
  </si>
  <si>
    <t>400KV GIS-ONE POLE OF 3150A CIRCUIT BREAKER WITHOUT PIR WITHINTERRUPTER, MAIN CIRCUIT, ENCLOSURE AND OPERATING MECHANISM COMPLETEIN ALL RESPECT</t>
  </si>
  <si>
    <t>Trip coil assembly with resistor for420kV GIS Circuit Breaker (asapplicable)</t>
  </si>
  <si>
    <t>Closing coil assembly with resistor for420kV GIS Circuit Breaker (asapplicable)</t>
  </si>
  <si>
    <t>RELAYS, POWER CONTACTORS, PUSH BUTTONS, TIMERS &amp; MCBS ETC. (ASAPPLICABLE) OF EACH TYPE FOR 400KV GIS CIRCUIT BREAKER</t>
  </si>
  <si>
    <t>Auxiliary switch assembly of each type for 420kV GIS Circuit Breaker</t>
  </si>
  <si>
    <t>400KV GIS CIRCUIT BREAKER-OPERATION COUNTER</t>
  </si>
  <si>
    <t>400KV GIS CIRCUIT BREAKER-HYDRAULIC OPERATING MECHANISM WITH DRIVEMOTOR (FOR HYDRAULIC OPERATED MECHANISM, IF APPLICABLE)</t>
  </si>
  <si>
    <t>HYDRAULIC FILTER OF EACH TYPE (FOR HYDRAULIC OPERATED MECHANISM, IFPPLICABLE)-400KV GIS CIRCUIT BREKAER</t>
  </si>
  <si>
    <t>400KV GIS CIRCUIT BREAKER- HOSE PIPE OF EACH TYPE (AS APPLICABLE) (FORHYDRAULIC OPERATED MECHANISM, IF APPLICABLE)</t>
  </si>
  <si>
    <t>400KV GIS CIRCUIT BREAKER - N2 ACCUMULATOR (FOR HYDRAULIC OPERATEDMECHANISM, IF APPLICABLE)</t>
  </si>
  <si>
    <t>VALVES OF EACH TYPE (FOR HYDRAULIC OPERATED MECHANISM, IFAPPLICABLE)-400KV GIS CIRCUIT BREKAER</t>
  </si>
  <si>
    <t>PIPE LENGTH (COPPER &amp; STEEL) OF EACH SIZE &amp; TYPE (FOR HYDRAULICOPERATED MECHANISM, IF APPLICABLE)-400KV GIS CIRCUIT BREKAER</t>
  </si>
  <si>
    <t>PRESSURE SWITCHES OF EACH TYPE (FOR HYDRAULIC OPERATED MECHANISM, IFAPPLICABLE)-400KV GIS CIRCUIT BREKAER</t>
  </si>
  <si>
    <t>PRESSURE GAUGE WITH COUPLING DEVICE OF EACH TYPE (FOR HYDRAULICOPERATED MECHANISM, IF APPLICABLE)-400KV GIS CIRCUIT BREKAER</t>
  </si>
  <si>
    <t>400KV GIS CIRCUIT BREAKER-HYDRAULIC OIL (5% OF TOTAL OIL QUANTITY)(FOR HYDRAULIC OPERATED MECHANISM, IF APPLICABLE)</t>
  </si>
  <si>
    <t>PRESSURE RELIEF DEVICE OF EACH TYPE (FOR HYDRAULIC OPERATED MECHANISM,IF APPLICABLE)-400KV GIS CIRCUIT BREKAER</t>
  </si>
  <si>
    <t>400KV GIS CIRCUIT BREAKER-COMPLETE SPRING OPERATING MECHANISMINCLUDING CHARGING MECHANISM ETC. (FOR SPRING OPERATED MECHANISM, IFAPPLICABLE)</t>
  </si>
  <si>
    <t>400KV GIS CIRCUIT BREAKER- COMPLETE HYDRAULIC-SPRING OPERATINGMECHANISM INCLUDING CHARGING MECHANISM ETC. (FOR HYDRAULIC-SPRINGOPERATED MECHANISM, IF APPLICABLE)</t>
  </si>
  <si>
    <t>PRESSURE SWITCHES OF EACH TYPE FOR420KV GIS  CIRCUIT BREAKER (ForHydraulic-Spring Operated Mechanism, ifapplicable)</t>
  </si>
  <si>
    <t>PRESSURE GAUGE WITH COUPLING DEVICE OF EACH TYPE (FOR HYDRAULIC-SPRINGOPERATED MECHANISM, IF APPLICABLE)-400KV GIS CIRCUIT BREKAER</t>
  </si>
  <si>
    <t>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</si>
  <si>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</si>
  <si>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400KV GIS DISCONNECTORSWITCH</t>
  </si>
  <si>
    <t>OPEN/CLOSE CONTACTOR ASSEMBLY, TIMERS, KEY INTERLOCK, INTERLOCKINGCOILS, RELAYS, PUSH BUTTONS, INDICATING LAMPS, POWER CONTACTORS,RESISTORS, FUSES, MCBS &amp; DRIVE CONTROL CARDS ETC. (AS APPLICABLE) ONEOF EACH TYPE FOR ONE COMPLETE MOM BOX FOR 400KV GIS MAINTENANCE EARTHSWITCH</t>
  </si>
  <si>
    <t>OPEN/CLOSE CONTACTOR ASSEMBLY, TIMERS, KEY INTERLOCK, INTERLOCKINGCOILS, RELAYS, PUSH BUTTONS, INDICATING LAMPS, POWER CONTACTORS,RESISTORS, FUSES, MCBS &amp; DRIVE CONTROL CARDS ETC. (AS APPLICABLE) ONEOF EACH TYPE FOR ONE COMPLETE MOM BOX FOR 400KV GIS FAST EARTHINGSWITCH</t>
  </si>
  <si>
    <t>LIMIT SWITCHES AND AUX. SWITCHES FOR ONE COMPLETE MOM BOX FORDISCONNECTOR-400KV GIS</t>
  </si>
  <si>
    <t>LIMIT SWITCHES AND AUX. SWITCHES FOR ONE COMPLETE MOM BOX FORMAINTENANCE EARTHING SWITCH-400KV GIS</t>
  </si>
  <si>
    <t>DRIVE MECHANISM FOR 400KV GIS DISCONNECTOR SWITCH</t>
  </si>
  <si>
    <t>DRIVE MECHANISM FOR 400KV GIS MAINTENANCE EARTH SWITCH</t>
  </si>
  <si>
    <t>MOTOR FOR DRIVE MECHANISM FOR 400KV GIS DISCONNECTOR SWITCH</t>
  </si>
  <si>
    <t>MOTOR FOR DRIVE MECHANISM FOR 400KVGIS MAINTENANCE EARTH SWITCH</t>
  </si>
  <si>
    <t>400KV GIS- SINGLE PHASE OF CURRENT TRANSFORMER (3 CORES, TYPE-CTA)WITH ASSOCIATED ENCLOSURE AND PRIMARY CONDUCTOR COMPLETE IN ALLRESPECT</t>
  </si>
  <si>
    <t>400KV GIS- SINGLE PHASE OF CURRENT TRANSFORMER (2 CORES, TYPE-CTB)WITH ASSOCIATED ENCLOSURE AND PRIMARY CONDUCTOR COMPLETE IN ALLRESPECT</t>
  </si>
  <si>
    <t>400KV GIS- SINGLE PHASE VT WITH ASSOCIATED ENCLOSURE COMPLETE IN ALLRESPECT</t>
  </si>
  <si>
    <t>Relay &amp; protection Panels (with automation)</t>
  </si>
  <si>
    <t>Spares-Substation Automation System</t>
  </si>
  <si>
    <t>Standard Pipe Structure for 400kV BPI (excluding wave trap)</t>
  </si>
  <si>
    <t>Fabrication, galvanising and supply of 28mm dia foundation boltsincluding nuts, checknuts, washers and packplates.</t>
  </si>
  <si>
    <t xml:space="preserve">Install. of 400kV GISEquipments         </t>
  </si>
  <si>
    <t xml:space="preserve">Install. of Control &amp; Relay Panels      </t>
  </si>
  <si>
    <t xml:space="preserve">Install. of SAS Equipments              </t>
  </si>
  <si>
    <t xml:space="preserve">Install. of Erection Hardware           </t>
  </si>
  <si>
    <t xml:space="preserve">Install. of 400kV AIS Equipments        </t>
  </si>
  <si>
    <t xml:space="preserve">Install. of Structure AIS Equipment     </t>
  </si>
  <si>
    <t xml:space="preserve">Install. of Control Cables              </t>
  </si>
  <si>
    <t xml:space="preserve">Install. of Power Cables                </t>
  </si>
  <si>
    <t xml:space="preserve">Install. of illumination                </t>
  </si>
  <si>
    <t xml:space="preserve">Civil Works                             </t>
  </si>
  <si>
    <t xml:space="preserve">Foundation Bolts Erection               </t>
  </si>
  <si>
    <t>420kV, 4000 A, 63 kA, 3-phase SF6 GIS bus sectionaliser module</t>
  </si>
  <si>
    <t>420kV, 4000 A, 63 kA SF6 /Air Bushing for connecting GIS to AIS</t>
  </si>
  <si>
    <t>400kV Circuit Breaker Relay Panel without Auto Reclose (with Automation)</t>
  </si>
  <si>
    <t>Augmentation of Substation Automation System for 400kV Bus sectionalizer bay as per Technical Specification</t>
  </si>
  <si>
    <t>Erection Hardware for 400kV layout (One and half breaker scheme as per SLD)-Bus section bay as per specification</t>
  </si>
  <si>
    <t>420 kV Bus Post Insulator (Except for wave traps)</t>
  </si>
  <si>
    <t>Erection of Pipe Structure - 400 kV, 1-Phase,   BPI, (Excluding Wave Trap),  including nuts, bolts, all  type of washers,packplates, step bolts and gusset plates excluding foundation bolts</t>
  </si>
  <si>
    <t>1.1kV grade Control Cables (PVCinsulated) along withlugs,glands,straight joints &amp;accessories,etc.</t>
  </si>
  <si>
    <t>1.1kV grade Power Cables (PVCinsulated)along withlugs,glands,straight joints &amp;accessories,etc.</t>
  </si>
  <si>
    <t>LED Flood Light Luminaries Type FL-2 (250W) as per technical specification</t>
  </si>
  <si>
    <t>LED Flood Light Luminaries Type-FL-1 as per technical specification</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</si>
  <si>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</si>
  <si>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</si>
  <si>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</si>
  <si>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</si>
  <si>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</si>
  <si>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</si>
  <si>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</si>
  <si>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 xml:space="preserve">MT </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</si>
  <si>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</si>
  <si>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</si>
  <si>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</si>
  <si>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</si>
  <si>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Supplying, filling and compacting CNS material as per specification under floors, foundations, roads, cable trenches, drains etc inlayers not exceeding 200 mm thickness</t>
  </si>
  <si>
    <t>Supplying, filling and compacting stone boulders mixed with sand under foundations, roads, cable trenches, drains etc in layers notexceeding 250mm thickness including ramming, watering compacting</t>
  </si>
  <si>
    <t>Erection of 28mm dia foundation bolts including nuts, checknuts, washers and packplates.</t>
  </si>
  <si>
    <t>Spec. No.: 5002002223/GIS-EXCLUDING/DOM/A00 -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</si>
</sst>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FF0000"/>
      <name val="Book Antiqua"/>
      <family val="1"/>
    </font>
    <font>
      <b/>
      <sz val="16"/>
      <name val="Book Antiqua"/>
      <family val="1"/>
    </font>
  </fonts>
  <fills count="13">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94">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10" borderId="9" xfId="0" applyFont="1" applyFill="1" applyBorder="1" applyAlignment="1">
      <alignment horizontal="left" vertical="center" wrapText="1"/>
    </xf>
    <xf numFmtId="0" fontId="73" fillId="10" borderId="9" xfId="0" applyFont="1" applyFill="1" applyBorder="1" applyAlignment="1">
      <alignment horizontal="center"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3" fillId="3" borderId="14" xfId="109" applyFont="1" applyFill="1" applyBorder="1" applyAlignment="1" applyProtection="1">
      <alignment vertical="top" wrapText="1"/>
      <protection locked="0"/>
    </xf>
    <xf numFmtId="0" fontId="73" fillId="0" borderId="9" xfId="0" applyFont="1" applyFill="1" applyBorder="1" applyAlignment="1">
      <alignment vertical="top" wrapText="1"/>
    </xf>
    <xf numFmtId="0" fontId="71" fillId="0" borderId="0" xfId="0" applyFont="1" applyAlignment="1" applyProtection="1">
      <alignment horizontal="center" vertical="center"/>
    </xf>
    <xf numFmtId="0" fontId="76" fillId="0" borderId="0" xfId="0" applyFont="1" applyAlignment="1" applyProtection="1">
      <alignment horizontal="center" vertical="center"/>
    </xf>
    <xf numFmtId="0" fontId="73" fillId="0" borderId="0" xfId="0" applyFont="1" applyAlignment="1">
      <alignment horizontal="center" vertical="center"/>
    </xf>
    <xf numFmtId="0" fontId="73" fillId="0" borderId="9"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3"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78"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164" fontId="73" fillId="0" borderId="9" xfId="8" applyFont="1" applyBorder="1" applyAlignment="1">
      <alignment horizontal="right" vertical="center"/>
    </xf>
    <xf numFmtId="164" fontId="76" fillId="0" borderId="9" xfId="8" applyFont="1" applyBorder="1" applyAlignment="1">
      <alignment horizontal="right" vertical="center"/>
    </xf>
    <xf numFmtId="164" fontId="73" fillId="0" borderId="9" xfId="8" applyFont="1" applyBorder="1" applyAlignment="1" applyProtection="1">
      <alignment horizontal="right" vertical="center"/>
      <protection locked="0"/>
    </xf>
    <xf numFmtId="164"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3"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3"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80" fillId="0" borderId="5" xfId="0" applyNumberFormat="1" applyFont="1" applyFill="1" applyBorder="1" applyAlignment="1" applyProtection="1">
      <alignment horizontal="right" vertical="center" wrapText="1"/>
    </xf>
    <xf numFmtId="0" fontId="81" fillId="0" borderId="5" xfId="0" applyNumberFormat="1" applyFont="1" applyFill="1" applyBorder="1" applyAlignment="1" applyProtection="1">
      <alignment horizontal="center" vertical="center"/>
    </xf>
    <xf numFmtId="0" fontId="73" fillId="9" borderId="9" xfId="0" applyFont="1" applyFill="1" applyBorder="1" applyAlignment="1">
      <alignment horizontal="center" vertical="top" wrapText="1"/>
    </xf>
    <xf numFmtId="10" fontId="2" fillId="9" borderId="18" xfId="111" applyNumberFormat="1" applyFont="1" applyFill="1" applyBorder="1" applyAlignment="1" applyProtection="1">
      <alignment horizontal="center" vertical="top" wrapText="1"/>
      <protection locked="0" hidden="1"/>
    </xf>
    <xf numFmtId="0" fontId="73" fillId="9" borderId="9" xfId="0" applyFont="1" applyFill="1" applyBorder="1" applyAlignment="1">
      <alignment vertical="top" wrapText="1"/>
    </xf>
    <xf numFmtId="0" fontId="73" fillId="9" borderId="9" xfId="0" applyFont="1" applyFill="1" applyBorder="1" applyAlignment="1" applyProtection="1">
      <alignment horizontal="right" vertical="center"/>
      <protection locked="0"/>
    </xf>
    <xf numFmtId="2" fontId="73" fillId="9" borderId="9" xfId="0" applyNumberFormat="1" applyFont="1" applyFill="1" applyBorder="1" applyAlignment="1" applyProtection="1">
      <alignment horizontal="right" vertical="center"/>
      <protection locked="0"/>
    </xf>
    <xf numFmtId="43" fontId="73" fillId="9" borderId="0" xfId="0" applyNumberFormat="1" applyFont="1" applyFill="1" applyAlignment="1" applyProtection="1">
      <alignment horizontal="center" vertical="center"/>
    </xf>
    <xf numFmtId="0" fontId="73" fillId="9" borderId="0" xfId="0" applyFont="1" applyFill="1" applyAlignment="1" applyProtection="1">
      <alignment horizontal="center" vertical="center"/>
    </xf>
    <xf numFmtId="164" fontId="73" fillId="0" borderId="9" xfId="8" applyFont="1" applyFill="1" applyBorder="1" applyAlignment="1" applyProtection="1">
      <alignment horizontal="right" vertical="top" wrapText="1"/>
    </xf>
    <xf numFmtId="0" fontId="5" fillId="0" borderId="0" xfId="0" applyFont="1" applyFill="1" applyBorder="1" applyAlignment="1" applyProtection="1">
      <alignment vertical="center" wrapText="1"/>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3"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6"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hidden="1"/>
    </xf>
    <xf numFmtId="9" fontId="7" fillId="9" borderId="26" xfId="114" applyNumberFormat="1" applyFont="1" applyFill="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hidden="1"/>
    </xf>
    <xf numFmtId="0" fontId="7" fillId="9" borderId="26" xfId="114" applyFont="1" applyFill="1" applyBorder="1" applyAlignment="1" applyProtection="1">
      <alignment horizontal="center" vertical="center" wrapText="1"/>
      <protection hidden="1"/>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8">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904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6641536" y="394607"/>
          <a:ext cx="0" cy="1039586"/>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AFDAA21-68A4-4825-A48F-F82BBF21BC35}" diskRevisions="1" revisionId="40" version="2" protected="1">
  <header guid="{681603D1-C2FE-46F6-929E-853863A82D4A}" dateTime="2022-03-11T17:39:42" maxSheetId="23" userName="Umesh Kumar Yadav {उमेश कुमार याद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AFDAA21-68A4-4825-A48F-F82BBF21BC35}" dateTime="2022-03-11T18:15:17" maxSheetId="23" userName="Umesh Kumar Yadav {उमेश कुमार यादव}" r:id="rId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A37BAE-906F-43D5-9FD9-B13563E4B9D7}" action="delete"/>
  <rdn rId="0" localSheetId="1" customView="1" name="Z_CCA37BAE_906F_43D5_9FD9_B13563E4B9D7_.wvu.Cols" hidden="1" oldHidden="1">
    <formula>Basic!$I:$I</formula>
    <oldFormula>Basic!$I:$I</oldFormula>
  </rdn>
  <rdn rId="0" localSheetId="2" customView="1" name="Z_CCA37BAE_906F_43D5_9FD9_B13563E4B9D7_.wvu.Rows" hidden="1" oldHidden="1">
    <formula>Cover!$7:$7</formula>
    <oldFormula>Cover!$7:$7</oldFormula>
  </rdn>
  <rdn rId="0" localSheetId="3" customView="1" name="Z_CCA37BAE_906F_43D5_9FD9_B13563E4B9D7_.wvu.PrintArea" hidden="1" oldHidden="1">
    <formula>Instructions!$A$1:$C$65</formula>
    <oldFormula>Instructions!$A$1:$C$65</oldFormula>
  </rdn>
  <rdn rId="0" localSheetId="4" customView="1" name="Z_CCA37BAE_906F_43D5_9FD9_B13563E4B9D7_.wvu.PrintArea" hidden="1" oldHidden="1">
    <formula>'Names of Bidder'!$B$1:$H$28</formula>
    <oldFormula>'Names of Bidder'!$B$1:$H$28</oldFormula>
  </rdn>
  <rdn rId="0" localSheetId="4" customView="1" name="Z_CCA37BAE_906F_43D5_9FD9_B13563E4B9D7_.wvu.Rows" hidden="1" oldHidden="1">
    <formula>'Names of Bidder'!$19:$22</formula>
    <oldFormula>'Names of Bidder'!$19:$22</oldFormula>
  </rdn>
  <rdn rId="0" localSheetId="4" customView="1" name="Z_CCA37BAE_906F_43D5_9FD9_B13563E4B9D7_.wvu.Cols" hidden="1" oldHidden="1">
    <formula>'Names of Bidder'!$H:$H,'Names of Bidder'!$K:$K</formula>
    <oldFormula>'Names of Bidder'!$H:$H,'Names of Bidder'!$K:$K</oldFormula>
  </rdn>
  <rdn rId="0" localSheetId="5" customView="1" name="Z_CCA37BAE_906F_43D5_9FD9_B13563E4B9D7_.wvu.PrintArea" hidden="1" oldHidden="1">
    <formula>'Sch-1'!$A$1:$N$101</formula>
    <oldFormula>'Sch-1'!$A$1:$N$101</oldFormula>
  </rdn>
  <rdn rId="0" localSheetId="5" customView="1" name="Z_CCA37BAE_906F_43D5_9FD9_B13563E4B9D7_.wvu.PrintTitles" hidden="1" oldHidden="1">
    <formula>'Sch-1'!$15:$16</formula>
    <oldFormula>'Sch-1'!$15:$16</oldFormula>
  </rdn>
  <rdn rId="0" localSheetId="5" customView="1" name="Z_CCA37BAE_906F_43D5_9FD9_B13563E4B9D7_.wvu.Cols" hidden="1" oldHidden="1">
    <formula>'Sch-1'!$O:$V,'Sch-1'!$X:$AK</formula>
    <oldFormula>'Sch-1'!$O:$V,'Sch-1'!$X:$AK</oldFormula>
  </rdn>
  <rdn rId="0" localSheetId="6" customView="1" name="Z_CCA37BAE_906F_43D5_9FD9_B13563E4B9D7_.wvu.PrintArea" hidden="1" oldHidden="1">
    <formula>'Sch-2'!$A$1:$J$98</formula>
    <oldFormula>'Sch-2'!$A$1:$J$98</oldFormula>
  </rdn>
  <rdn rId="0" localSheetId="6" customView="1" name="Z_CCA37BAE_906F_43D5_9FD9_B13563E4B9D7_.wvu.PrintTitles" hidden="1" oldHidden="1">
    <formula>'Sch-2'!$15:$16</formula>
    <oldFormula>'Sch-2'!$15:$16</oldFormula>
  </rdn>
  <rdn rId="0" localSheetId="6" customView="1" name="Z_CCA37BAE_906F_43D5_9FD9_B13563E4B9D7_.wvu.FilterData" hidden="1" oldHidden="1">
    <formula>'Sch-2'!$A$17:$AF$95</formula>
    <oldFormula>'Sch-2'!$A$17:$AF$95</oldFormula>
  </rdn>
  <rdn rId="0" localSheetId="7" customView="1" name="Z_CCA37BAE_906F_43D5_9FD9_B13563E4B9D7_.wvu.PrintArea" hidden="1" oldHidden="1">
    <formula>'Sch-3'!$A$1:$P$50</formula>
    <oldFormula>'Sch-3'!$A$1:$P$50</oldFormula>
  </rdn>
  <rdn rId="0" localSheetId="7" customView="1" name="Z_CCA37BAE_906F_43D5_9FD9_B13563E4B9D7_.wvu.PrintTitles" hidden="1" oldHidden="1">
    <formula>'Sch-3'!$15:$16</formula>
    <oldFormula>'Sch-3'!$15:$16</oldFormula>
  </rdn>
  <rdn rId="0" localSheetId="7" customView="1" name="Z_CCA37BAE_906F_43D5_9FD9_B13563E4B9D7_.wvu.Cols" hidden="1" oldHidden="1">
    <formula>'Sch-3'!$Q:$V</formula>
    <oldFormula>'Sch-3'!$Q:$V</oldFormula>
  </rdn>
  <rdn rId="0" localSheetId="8" customView="1" name="Z_CCA37BAE_906F_43D5_9FD9_B13563E4B9D7_.wvu.PrintArea" hidden="1" oldHidden="1">
    <formula>'Sch-4'!$A$1:$P$26</formula>
    <oldFormula>'Sch-4'!$A$1:$P$26</oldFormula>
  </rdn>
  <rdn rId="0" localSheetId="9" customView="1" name="Z_CCA37BAE_906F_43D5_9FD9_B13563E4B9D7_.wvu.PrintArea" hidden="1" oldHidden="1">
    <formula>'Sch-5'!$A$1:$E$23</formula>
    <oldFormula>'Sch-5'!$A$1:$E$23</oldFormula>
  </rdn>
  <rdn rId="0" localSheetId="9" customView="1" name="Z_CCA37BAE_906F_43D5_9FD9_B13563E4B9D7_.wvu.PrintTitles" hidden="1" oldHidden="1">
    <formula>'Sch-5'!$3:$14</formula>
    <oldFormula>'Sch-5'!$3:$14</oldFormula>
  </rdn>
  <rdn rId="0" localSheetId="9" customView="1" name="Z_CCA37BAE_906F_43D5_9FD9_B13563E4B9D7_.wvu.Cols" hidden="1" oldHidden="1">
    <formula>'Sch-5'!$F:$T</formula>
    <oldFormula>'Sch-5'!$F:$T</oldFormula>
  </rdn>
  <rdn rId="0" localSheetId="10" customView="1" name="Z_CCA37BAE_906F_43D5_9FD9_B13563E4B9D7_.wvu.PrintArea" hidden="1" oldHidden="1">
    <formula>'Sch-5 after discount'!$A$1:$E$23</formula>
    <oldFormula>'Sch-5 after discount'!$A$1:$E$23</oldFormula>
  </rdn>
  <rdn rId="0" localSheetId="10" customView="1" name="Z_CCA37BAE_906F_43D5_9FD9_B13563E4B9D7_.wvu.PrintTitles" hidden="1" oldHidden="1">
    <formula>'Sch-5 after discount'!$3:$14</formula>
    <oldFormula>'Sch-5 after discount'!$3:$14</oldFormula>
  </rdn>
  <rdn rId="0" localSheetId="11" customView="1" name="Z_CCA37BAE_906F_43D5_9FD9_B13563E4B9D7_.wvu.PrintArea" hidden="1" oldHidden="1">
    <formula>'Sch-6'!$A$1:$D$32</formula>
    <oldFormula>'Sch-6'!$A$1:$D$32</oldFormula>
  </rdn>
  <rdn rId="0" localSheetId="11" customView="1" name="Z_CCA37BAE_906F_43D5_9FD9_B13563E4B9D7_.wvu.PrintTitles" hidden="1" oldHidden="1">
    <formula>'Sch-6'!$3:$14</formula>
    <oldFormula>'Sch-6'!$3:$14</oldFormula>
  </rdn>
  <rdn rId="0" localSheetId="12" customView="1" name="Z_CCA37BAE_906F_43D5_9FD9_B13563E4B9D7_.wvu.PrintArea" hidden="1" oldHidden="1">
    <formula>'Sch-6 After Discount'!$A$1:$D$31</formula>
    <oldFormula>'Sch-6 After Discount'!$A$1:$D$31</oldFormula>
  </rdn>
  <rdn rId="0" localSheetId="12" customView="1" name="Z_CCA37BAE_906F_43D5_9FD9_B13563E4B9D7_.wvu.PrintTitles" hidden="1" oldHidden="1">
    <formula>'Sch-6 After Discount'!$3:$13</formula>
    <oldFormula>'Sch-6 After Discount'!$3:$13</oldFormula>
  </rdn>
  <rdn rId="0" localSheetId="13" customView="1" name="Z_CCA37BAE_906F_43D5_9FD9_B13563E4B9D7_.wvu.PrintArea" hidden="1" oldHidden="1">
    <formula>'Sch-6 (After Discount)'!$A$1:$D$32</formula>
    <oldFormula>'Sch-6 (After Discount)'!$A$1:$D$32</oldFormula>
  </rdn>
  <rdn rId="0" localSheetId="13" customView="1" name="Z_CCA37BAE_906F_43D5_9FD9_B13563E4B9D7_.wvu.PrintTitles" hidden="1" oldHidden="1">
    <formula>'Sch-6 (After Discount)'!$3:$14</formula>
    <oldFormula>'Sch-6 (After Discount)'!$3:$14</oldFormula>
  </rdn>
  <rdn rId="0" localSheetId="13" customView="1" name="Z_CCA37BAE_906F_43D5_9FD9_B13563E4B9D7_.wvu.Cols" hidden="1" oldHidden="1">
    <formula>'Sch-6 (After Discount)'!$E:$F</formula>
    <oldFormula>'Sch-6 (After Discount)'!$E:$F</oldFormula>
  </rdn>
  <rdn rId="0" localSheetId="14" customView="1" name="Z_CCA37BAE_906F_43D5_9FD9_B13563E4B9D7_.wvu.PrintArea" hidden="1" oldHidden="1">
    <formula>'Sch-7'!$A$1:$M$22</formula>
    <oldFormula>'Sch-7'!$A$1:$M$22</oldFormula>
  </rdn>
  <rdn rId="0" localSheetId="14" customView="1" name="Z_CCA37BAE_906F_43D5_9FD9_B13563E4B9D7_.wvu.Rows" hidden="1" oldHidden="1">
    <formula>'Sch-7'!$62:$180</formula>
    <oldFormula>'Sch-7'!$62:$180</oldFormula>
  </rdn>
  <rdn rId="0" localSheetId="14" customView="1" name="Z_CCA37BAE_906F_43D5_9FD9_B13563E4B9D7_.wvu.Cols" hidden="1" oldHidden="1">
    <formula>'Sch-7'!$AA:$AG</formula>
    <oldFormula>'Sch-7'!$AA:$AG</oldFormula>
  </rdn>
  <rdn rId="0" localSheetId="15" customView="1" name="Z_CCA37BAE_906F_43D5_9FD9_B13563E4B9D7_.wvu.PrintArea" hidden="1" oldHidden="1">
    <formula>Discount!$A$2:$G$40</formula>
    <oldFormula>Discount!$A$2:$G$40</oldFormula>
  </rdn>
  <rdn rId="0" localSheetId="15" customView="1" name="Z_CCA37BAE_906F_43D5_9FD9_B13563E4B9D7_.wvu.Rows" hidden="1" oldHidden="1">
    <formula>Discount!$29:$32</formula>
    <oldFormula>Discount!$29:$32</oldFormula>
  </rdn>
  <rdn rId="0" localSheetId="15" customView="1" name="Z_CCA37BAE_906F_43D5_9FD9_B13563E4B9D7_.wvu.Cols" hidden="1" oldHidden="1">
    <formula>Discount!$H:$L</formula>
    <oldFormula>Discount!$H:$L</oldFormula>
  </rdn>
  <rdn rId="0" localSheetId="16" customView="1" name="Z_CCA37BAE_906F_43D5_9FD9_B13563E4B9D7_.wvu.PrintArea" hidden="1" oldHidden="1">
    <formula>Octroi!$A$1:$E$16</formula>
    <oldFormula>Octroi!$A$1:$E$16</oldFormula>
  </rdn>
  <rdn rId="0" localSheetId="17" customView="1" name="Z_CCA37BAE_906F_43D5_9FD9_B13563E4B9D7_.wvu.PrintArea" hidden="1" oldHidden="1">
    <formula>'Entry Tax'!$A$1:$E$16</formula>
    <oldFormula>'Entry Tax'!$A$1:$E$16</oldFormula>
  </rdn>
  <rdn rId="0" localSheetId="18" customView="1" name="Z_CCA37BAE_906F_43D5_9FD9_B13563E4B9D7_.wvu.PrintArea" hidden="1" oldHidden="1">
    <formula>'Other Taxes &amp; Duties'!$A$1:$F$16</formula>
    <oldFormula>'Other Taxes &amp; Duties'!$A$1:$F$16</oldFormula>
  </rdn>
  <rdn rId="0" localSheetId="19" customView="1" name="Z_CCA37BAE_906F_43D5_9FD9_B13563E4B9D7_.wvu.PrintArea" hidden="1" oldHidden="1">
    <formula>'Bid Form 2nd Envelope'!$A$1:$F$67</formula>
    <oldFormula>'Bid Form 2nd Envelope'!$A$1:$F$67</oldFormula>
  </rdn>
  <rdn rId="0" localSheetId="19" customView="1" name="Z_CCA37BAE_906F_43D5_9FD9_B13563E4B9D7_.wvu.Cols" hidden="1" oldHidden="1">
    <formula>'Bid Form 2nd Envelope'!$H:$AO</formula>
    <oldFormula>'Bid Form 2nd Envelope'!$H:$AO</oldFormula>
  </rdn>
  <rdn rId="0" localSheetId="22" customView="1" name="Z_CCA37BAE_906F_43D5_9FD9_B13563E4B9D7_.wvu.Cols" hidden="1" oldHidden="1">
    <formula>'N-W (Cr.)'!$A:$O,'N-W (Cr.)'!$T:$DL</formula>
    <oldFormula>'N-W (Cr.)'!$A:$O,'N-W (Cr.)'!$T:$DL</oldFormula>
  </rdn>
  <rcv guid="{CCA37BAE-906F-43D5-9FD9-B13563E4B9D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2.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drawing" Target="../drawings/drawing3.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drawing" Target="../drawings/drawing4.x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drawing" Target="../drawings/drawing5.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drawing" Target="../drawings/drawing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drawing" Target="../drawings/drawing7.xml"/><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drawing" Target="../drawings/drawing8.xml"/><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drawing" Target="../drawings/drawing10.xml"/><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drawing" Target="../drawings/drawing11.xml"/><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drawing" Target="../drawings/drawing12.xml"/><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22.bin"/><Relationship Id="rId13" Type="http://schemas.openxmlformats.org/officeDocument/2006/relationships/drawing" Target="../drawings/drawing13.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11" sqref="B11"/>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52.5" customHeight="1">
      <c r="A1" s="31" t="s">
        <v>40</v>
      </c>
      <c r="B1" s="32" t="s">
        <v>490</v>
      </c>
      <c r="C1" s="33"/>
      <c r="D1" s="33"/>
      <c r="E1" s="33"/>
      <c r="F1" s="33"/>
      <c r="G1" s="33"/>
      <c r="H1" s="33"/>
    </row>
    <row r="2" spans="1:9">
      <c r="B2" s="35"/>
      <c r="I2" s="34" t="s">
        <v>264</v>
      </c>
    </row>
    <row r="3" spans="1:9">
      <c r="A3" s="34" t="s">
        <v>41</v>
      </c>
      <c r="B3" s="405" t="s">
        <v>491</v>
      </c>
      <c r="I3" s="34" t="s">
        <v>265</v>
      </c>
    </row>
    <row r="5" spans="1:9">
      <c r="A5" s="34" t="s">
        <v>42</v>
      </c>
      <c r="B5" s="446" t="s">
        <v>620</v>
      </c>
      <c r="C5" s="33"/>
      <c r="D5" s="33"/>
      <c r="E5" s="33"/>
      <c r="F5" s="33"/>
      <c r="G5" s="33"/>
      <c r="H5" s="33"/>
    </row>
    <row r="7" spans="1:9">
      <c r="B7" s="34" t="s">
        <v>482</v>
      </c>
    </row>
  </sheetData>
  <sheetProtection selectLockedCells="1" selectUnlockedCells="1"/>
  <customSheetViews>
    <customSheetView guid="{CCA37BAE-906F-43D5-9FD9-B13563E4B9D7}" hiddenColumns="1" state="hidden">
      <selection activeCell="B11" sqref="B11"/>
      <pageMargins left="0.75" right="0.75" top="1" bottom="1" header="0.5" footer="0.5"/>
      <pageSetup orientation="portrait" r:id="rId1"/>
      <headerFooter alignWithMargins="0"/>
    </customSheetView>
    <customSheetView guid="{CA9345C4-09FE-4F27-BFD9-3D9BCD2DED09}" hiddenColumns="1" state="hidden">
      <selection activeCell="B6" sqref="B6"/>
      <pageMargins left="0.75" right="0.75" top="1" bottom="1" header="0.5" footer="0.5"/>
      <pageSetup orientation="portrait" r:id="rId2"/>
      <headerFooter alignWithMargins="0"/>
    </customSheetView>
    <customSheetView guid="{7AB1F867-F01E-4EB9-A93D-DDCFDB9AA444}" hiddenColumns="1" state="hidden">
      <selection activeCell="B1" sqref="B1"/>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497EA202-A8B8-45C5-9E6C-C3CD104F3979}" hiddenColumns="1" state="hidden">
      <selection activeCell="B13" sqref="B13"/>
      <pageMargins left="0.75" right="0.75" top="1" bottom="1" header="0.5" footer="0.5"/>
      <pageSetup orientation="portrait" r:id="rId8"/>
      <headerFooter alignWithMargins="0"/>
    </customSheetView>
    <customSheetView guid="{63D51328-7CBC-4A1E-B96D-BAE91416501B}" hiddenColumns="1" state="hidden">
      <selection activeCell="B11" sqref="B11"/>
      <pageMargins left="0.75" right="0.75" top="1" bottom="1" header="0.5" footer="0.5"/>
      <pageSetup orientation="portrait" r:id="rId9"/>
      <headerFooter alignWithMargins="0"/>
    </customSheetView>
    <customSheetView guid="{D5521983-A70D-48A3-9506-C0263CBBC57D}" hiddenColumns="1" state="hidden">
      <selection activeCell="B1" sqref="B1"/>
      <pageMargins left="0.75" right="0.75" top="1" bottom="1" header="0.5" footer="0.5"/>
      <pageSetup orientation="portrait" r:id="rId10"/>
      <headerFooter alignWithMargins="0"/>
    </customSheetView>
    <customSheetView guid="{12A89170-4F84-482D-A3C5-7890082E7B73}" hiddenColumns="1" state="hidden">
      <selection activeCell="B7" sqref="B7"/>
      <pageMargins left="0.75" right="0.75" top="1" bottom="1" header="0.5" footer="0.5"/>
      <pageSetup orientation="portrait" r:id="rId11"/>
      <headerFooter alignWithMargins="0"/>
    </customSheetView>
  </customSheetViews>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tabSelected="1" zoomScaleNormal="100" zoomScaleSheetLayoutView="115" workbookViewId="0">
      <selection activeCell="B3" sqref="B3:E3"/>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70"/>
      <c r="C1" s="771"/>
      <c r="D1" s="771"/>
      <c r="E1" s="772"/>
      <c r="F1" s="37"/>
      <c r="G1" s="38"/>
      <c r="H1" s="39"/>
      <c r="I1" s="39"/>
      <c r="J1" s="40"/>
    </row>
    <row r="2" spans="1:10" ht="50.25" customHeight="1">
      <c r="A2" s="773" t="s">
        <v>43</v>
      </c>
      <c r="B2" s="776" t="str">
        <f>Basic!B1</f>
        <v xml:space="preserve">Substation Package SS-92 for Extension of 400/220kV GIS Indore S/S under Transmission System associated with Scheme to control fault level at Indore Substation in Western Region
</v>
      </c>
      <c r="C2" s="777"/>
      <c r="D2" s="777"/>
      <c r="E2" s="778"/>
      <c r="F2" s="779" t="str">
        <f>Basic!B3</f>
        <v>SS92</v>
      </c>
      <c r="G2" s="38"/>
      <c r="H2" s="39"/>
      <c r="I2" s="39"/>
      <c r="J2" s="40"/>
    </row>
    <row r="3" spans="1:10" ht="23.25" customHeight="1">
      <c r="A3" s="774"/>
      <c r="B3" s="782" t="str">
        <f>Basic!B5</f>
        <v>Spec. No.: 5002002223/GIS-EXCLUDING/DOM/A00 - CC CS -1</v>
      </c>
      <c r="C3" s="783"/>
      <c r="D3" s="783"/>
      <c r="E3" s="784"/>
      <c r="F3" s="780"/>
      <c r="G3" s="38"/>
      <c r="H3" s="39"/>
      <c r="I3" s="39"/>
      <c r="J3" s="40"/>
    </row>
    <row r="4" spans="1:10" ht="39.950000000000003" customHeight="1">
      <c r="A4" s="774"/>
      <c r="B4" s="42">
        <v>1</v>
      </c>
      <c r="C4" s="785" t="s">
        <v>44</v>
      </c>
      <c r="D4" s="785"/>
      <c r="E4" s="786"/>
      <c r="F4" s="780"/>
      <c r="G4" s="43"/>
      <c r="H4" s="44" t="s">
        <v>45</v>
      </c>
      <c r="I4" s="39"/>
      <c r="J4" s="40"/>
    </row>
    <row r="5" spans="1:10" ht="30" customHeight="1">
      <c r="A5" s="774"/>
      <c r="B5" s="42">
        <v>2</v>
      </c>
      <c r="C5" s="785" t="s">
        <v>46</v>
      </c>
      <c r="D5" s="785"/>
      <c r="E5" s="786"/>
      <c r="F5" s="780"/>
      <c r="G5" s="38"/>
      <c r="H5" s="39"/>
      <c r="I5" s="39"/>
      <c r="J5" s="40"/>
    </row>
    <row r="6" spans="1:10" s="45" customFormat="1" ht="30" customHeight="1">
      <c r="A6" s="774"/>
      <c r="B6" s="42">
        <v>3</v>
      </c>
      <c r="C6" s="785" t="s">
        <v>47</v>
      </c>
      <c r="D6" s="785"/>
      <c r="E6" s="786"/>
      <c r="F6" s="780"/>
      <c r="G6" s="38"/>
      <c r="H6" s="39"/>
      <c r="I6" s="39"/>
      <c r="J6" s="39"/>
    </row>
    <row r="7" spans="1:10" ht="52.5" hidden="1" customHeight="1">
      <c r="A7" s="774"/>
      <c r="B7" s="42">
        <v>4</v>
      </c>
      <c r="C7" s="785" t="s">
        <v>48</v>
      </c>
      <c r="D7" s="785"/>
      <c r="E7" s="786"/>
      <c r="F7" s="780"/>
      <c r="G7" s="38"/>
      <c r="H7" s="39"/>
      <c r="I7" s="39"/>
      <c r="J7" s="40"/>
    </row>
    <row r="8" spans="1:10" ht="9.75" customHeight="1">
      <c r="A8" s="774"/>
      <c r="B8" s="46"/>
      <c r="C8" s="47"/>
      <c r="D8" s="47"/>
      <c r="E8" s="48"/>
      <c r="F8" s="780"/>
      <c r="G8" s="38"/>
      <c r="H8" s="39"/>
      <c r="I8" s="39"/>
      <c r="J8" s="40"/>
    </row>
    <row r="9" spans="1:10" ht="23.25" customHeight="1">
      <c r="A9" s="774"/>
      <c r="B9" s="787"/>
      <c r="C9" s="788"/>
      <c r="D9" s="788"/>
      <c r="E9" s="789"/>
      <c r="F9" s="780"/>
      <c r="G9" s="38"/>
      <c r="H9" s="39"/>
      <c r="I9" s="39"/>
      <c r="J9" s="40"/>
    </row>
    <row r="10" spans="1:10" ht="10.5" customHeight="1">
      <c r="A10" s="774"/>
      <c r="B10" s="49"/>
      <c r="C10" s="50"/>
      <c r="D10" s="50"/>
      <c r="E10" s="51"/>
      <c r="F10" s="780"/>
      <c r="G10" s="38"/>
      <c r="H10" s="39"/>
      <c r="I10" s="39"/>
      <c r="J10" s="40"/>
    </row>
    <row r="11" spans="1:10" ht="24" customHeight="1">
      <c r="A11" s="774"/>
      <c r="B11" s="790" t="s">
        <v>49</v>
      </c>
      <c r="C11" s="791"/>
      <c r="D11" s="791"/>
      <c r="E11" s="52"/>
      <c r="F11" s="780"/>
    </row>
    <row r="12" spans="1:10" ht="15.95" customHeight="1">
      <c r="A12" s="775"/>
      <c r="B12" s="792" t="s">
        <v>50</v>
      </c>
      <c r="C12" s="793"/>
      <c r="D12" s="793"/>
      <c r="E12" s="53"/>
      <c r="F12" s="781"/>
      <c r="G12" s="38"/>
      <c r="H12" s="39"/>
      <c r="I12" s="39"/>
      <c r="J12" s="40"/>
    </row>
    <row r="13" spans="1:10" ht="24" customHeight="1">
      <c r="A13" s="764"/>
      <c r="B13" s="765" t="s">
        <v>51</v>
      </c>
      <c r="C13" s="766"/>
      <c r="D13" s="766"/>
      <c r="E13" s="52"/>
      <c r="F13" s="767"/>
      <c r="G13" s="54"/>
      <c r="H13" s="54"/>
      <c r="I13" s="54"/>
      <c r="J13" s="54"/>
    </row>
    <row r="14" spans="1:10" ht="15.95" customHeight="1">
      <c r="A14" s="764"/>
      <c r="B14" s="768" t="s">
        <v>52</v>
      </c>
      <c r="C14" s="769"/>
      <c r="D14" s="769"/>
      <c r="E14" s="55"/>
      <c r="F14" s="767"/>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2awM+5bfOKGHbIbWytkACvAYNLoKrbfHlZTJftBJeCaTScrInMYITkzDkpieZ7tAiirEJchjoY/10Q+Sq1yI+g==" saltValue="Ayk60/MtX9YAH6YAm2exTw==" spinCount="100000" sheet="1" formatColumns="0" formatRows="0" selectLockedCells="1"/>
  <customSheetViews>
    <customSheetView guid="{CCA37BAE-906F-43D5-9FD9-B13563E4B9D7}"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A9345C4-09FE-4F27-BFD9-3D9BCD2DED09}" scale="115" showPageBreaks="1" showGridLines="0" printArea="1"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98" t="s">
        <v>348</v>
      </c>
      <c r="B1" s="798"/>
      <c r="C1" s="798"/>
      <c r="D1" s="59"/>
      <c r="E1" s="60"/>
      <c r="F1" s="60"/>
      <c r="G1" s="60"/>
      <c r="H1" s="60"/>
      <c r="I1" s="60"/>
      <c r="J1" s="60"/>
      <c r="K1" s="60"/>
    </row>
    <row r="2" spans="1:11" ht="18" customHeight="1">
      <c r="C2" s="64"/>
      <c r="D2" s="33"/>
      <c r="E2" s="65"/>
      <c r="F2" s="65"/>
      <c r="G2" s="65"/>
      <c r="H2" s="65"/>
      <c r="I2" s="65"/>
      <c r="J2" s="65"/>
      <c r="K2" s="65"/>
    </row>
    <row r="3" spans="1:11" ht="18" customHeight="1">
      <c r="A3" s="66" t="s">
        <v>53</v>
      </c>
      <c r="B3" s="64" t="s">
        <v>54</v>
      </c>
      <c r="C3" s="64"/>
      <c r="D3" s="67"/>
      <c r="E3" s="68"/>
      <c r="F3" s="68"/>
      <c r="G3" s="68"/>
      <c r="H3" s="68"/>
      <c r="I3" s="68"/>
      <c r="J3" s="68"/>
      <c r="K3" s="68"/>
    </row>
    <row r="4" spans="1:11" ht="18" customHeight="1">
      <c r="B4" s="69" t="s">
        <v>55</v>
      </c>
      <c r="C4" s="70" t="s">
        <v>56</v>
      </c>
      <c r="D4" s="67"/>
      <c r="E4" s="68"/>
      <c r="F4" s="68"/>
      <c r="G4" s="68"/>
      <c r="H4" s="68"/>
      <c r="I4" s="68"/>
      <c r="J4" s="68"/>
      <c r="K4" s="68"/>
    </row>
    <row r="5" spans="1:11" ht="38.1" customHeight="1">
      <c r="B5" s="69" t="s">
        <v>57</v>
      </c>
      <c r="C5" s="70" t="s">
        <v>58</v>
      </c>
      <c r="D5" s="67"/>
      <c r="E5" s="68"/>
      <c r="F5" s="68"/>
      <c r="G5" s="68"/>
      <c r="H5" s="68"/>
      <c r="I5" s="68"/>
      <c r="J5" s="68"/>
      <c r="K5" s="68"/>
    </row>
    <row r="6" spans="1:11" ht="18" customHeight="1">
      <c r="B6" s="69" t="s">
        <v>59</v>
      </c>
      <c r="C6" s="70" t="s">
        <v>60</v>
      </c>
      <c r="D6" s="67"/>
      <c r="E6" s="68"/>
      <c r="F6" s="68"/>
      <c r="G6" s="68"/>
      <c r="H6" s="68"/>
      <c r="I6" s="68"/>
      <c r="J6" s="68"/>
      <c r="K6" s="68"/>
    </row>
    <row r="7" spans="1:11" ht="18" customHeight="1">
      <c r="B7" s="69" t="s">
        <v>61</v>
      </c>
      <c r="C7" s="70" t="s">
        <v>62</v>
      </c>
      <c r="D7" s="67"/>
      <c r="E7" s="68"/>
      <c r="F7" s="68"/>
      <c r="G7" s="68"/>
      <c r="H7" s="68"/>
      <c r="I7" s="68"/>
      <c r="J7" s="68"/>
      <c r="K7" s="68"/>
    </row>
    <row r="8" spans="1:11" ht="18" customHeight="1">
      <c r="B8" s="69" t="s">
        <v>63</v>
      </c>
      <c r="C8" s="70" t="s">
        <v>64</v>
      </c>
      <c r="D8" s="67"/>
      <c r="E8" s="68"/>
      <c r="F8" s="68"/>
      <c r="G8" s="68"/>
      <c r="H8" s="68"/>
      <c r="I8" s="68"/>
      <c r="J8" s="68"/>
      <c r="K8" s="68"/>
    </row>
    <row r="9" spans="1:11" ht="18" customHeight="1">
      <c r="B9" s="69" t="s">
        <v>65</v>
      </c>
      <c r="C9" s="70" t="s">
        <v>66</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67</v>
      </c>
      <c r="B11" s="64" t="s">
        <v>68</v>
      </c>
      <c r="C11" s="64"/>
      <c r="D11" s="67"/>
      <c r="E11" s="68"/>
      <c r="F11" s="68"/>
      <c r="G11" s="68"/>
      <c r="H11" s="68"/>
      <c r="I11" s="68"/>
      <c r="J11" s="68"/>
      <c r="K11" s="68"/>
    </row>
    <row r="12" spans="1:11" ht="18" customHeight="1">
      <c r="B12" s="796" t="s">
        <v>69</v>
      </c>
      <c r="C12" s="796"/>
      <c r="D12" s="71"/>
      <c r="E12" s="68"/>
      <c r="F12" s="68"/>
      <c r="G12" s="68"/>
      <c r="H12" s="68"/>
      <c r="I12" s="68"/>
      <c r="J12" s="68"/>
      <c r="K12" s="68"/>
    </row>
    <row r="13" spans="1:11" ht="18" customHeight="1">
      <c r="B13" s="72"/>
      <c r="C13" s="70" t="s">
        <v>70</v>
      </c>
      <c r="D13" s="67"/>
      <c r="E13" s="68"/>
      <c r="F13" s="68"/>
      <c r="G13" s="68"/>
      <c r="H13" s="68"/>
      <c r="I13" s="68"/>
      <c r="J13" s="68"/>
      <c r="K13" s="68"/>
    </row>
    <row r="14" spans="1:11" ht="18" customHeight="1">
      <c r="B14" s="796" t="s">
        <v>71</v>
      </c>
      <c r="C14" s="796"/>
      <c r="D14" s="71"/>
      <c r="E14" s="68"/>
      <c r="F14" s="68"/>
      <c r="G14" s="68"/>
      <c r="H14" s="68"/>
      <c r="I14" s="68"/>
      <c r="J14" s="68"/>
      <c r="K14" s="68"/>
    </row>
    <row r="15" spans="1:11" ht="38.1" customHeight="1">
      <c r="B15" s="73" t="s">
        <v>72</v>
      </c>
      <c r="C15" s="70" t="s">
        <v>73</v>
      </c>
      <c r="D15" s="67"/>
      <c r="E15" s="68"/>
      <c r="F15" s="68"/>
      <c r="G15" s="68"/>
      <c r="H15" s="68"/>
      <c r="I15" s="68"/>
      <c r="J15" s="68"/>
      <c r="K15" s="68"/>
    </row>
    <row r="16" spans="1:11" ht="36" customHeight="1">
      <c r="B16" s="73" t="s">
        <v>72</v>
      </c>
      <c r="C16" s="70" t="s">
        <v>74</v>
      </c>
      <c r="D16" s="67"/>
      <c r="E16" s="68"/>
      <c r="F16" s="68"/>
      <c r="G16" s="68"/>
      <c r="H16" s="68"/>
      <c r="I16" s="68"/>
      <c r="J16" s="68"/>
      <c r="K16" s="68"/>
    </row>
    <row r="17" spans="2:11" ht="42" customHeight="1">
      <c r="B17" s="73" t="s">
        <v>72</v>
      </c>
      <c r="C17" s="70" t="s">
        <v>75</v>
      </c>
      <c r="D17" s="67"/>
      <c r="E17" s="68"/>
      <c r="F17" s="68"/>
      <c r="G17" s="68"/>
      <c r="H17" s="68"/>
      <c r="I17" s="68"/>
      <c r="J17" s="68"/>
      <c r="K17" s="68"/>
    </row>
    <row r="18" spans="2:11" ht="18" customHeight="1">
      <c r="B18" s="73" t="s">
        <v>72</v>
      </c>
      <c r="C18" s="70" t="s">
        <v>76</v>
      </c>
      <c r="D18" s="67"/>
      <c r="E18" s="68"/>
      <c r="F18" s="68"/>
      <c r="G18" s="68"/>
      <c r="H18" s="68"/>
      <c r="I18" s="68"/>
      <c r="J18" s="68"/>
      <c r="K18" s="68"/>
    </row>
    <row r="19" spans="2:11" ht="18" customHeight="1">
      <c r="B19" s="73" t="s">
        <v>72</v>
      </c>
      <c r="C19" s="74" t="s">
        <v>77</v>
      </c>
      <c r="D19" s="67"/>
      <c r="E19" s="68"/>
      <c r="F19" s="68"/>
      <c r="G19" s="68"/>
      <c r="H19" s="68"/>
      <c r="I19" s="68"/>
      <c r="J19" s="68"/>
      <c r="K19" s="68"/>
    </row>
    <row r="20" spans="2:11" ht="18" customHeight="1">
      <c r="B20" s="73" t="s">
        <v>72</v>
      </c>
      <c r="C20" s="70" t="s">
        <v>78</v>
      </c>
      <c r="D20" s="67"/>
      <c r="E20" s="68"/>
      <c r="F20" s="68"/>
      <c r="G20" s="68"/>
      <c r="H20" s="68"/>
      <c r="I20" s="68"/>
      <c r="J20" s="68"/>
      <c r="K20" s="68"/>
    </row>
    <row r="21" spans="2:11" ht="18" customHeight="1">
      <c r="B21" s="796" t="s">
        <v>79</v>
      </c>
      <c r="C21" s="796"/>
      <c r="D21" s="71"/>
      <c r="E21" s="68"/>
      <c r="F21" s="68"/>
      <c r="G21" s="68"/>
      <c r="H21" s="68"/>
      <c r="I21" s="68"/>
      <c r="J21" s="68"/>
      <c r="K21" s="68"/>
    </row>
    <row r="22" spans="2:11" ht="54" customHeight="1">
      <c r="B22" s="73" t="s">
        <v>72</v>
      </c>
      <c r="C22" s="70" t="s">
        <v>80</v>
      </c>
      <c r="D22" s="67"/>
      <c r="E22" s="68"/>
      <c r="F22" s="68"/>
      <c r="G22" s="68"/>
      <c r="H22" s="68"/>
      <c r="I22" s="68"/>
      <c r="J22" s="68"/>
      <c r="K22" s="68"/>
    </row>
    <row r="23" spans="2:11" ht="54" customHeight="1">
      <c r="B23" s="73" t="s">
        <v>72</v>
      </c>
      <c r="C23" s="70" t="s">
        <v>81</v>
      </c>
      <c r="D23" s="67"/>
      <c r="E23" s="68"/>
      <c r="F23" s="68"/>
      <c r="G23" s="68"/>
      <c r="H23" s="68"/>
      <c r="I23" s="68"/>
      <c r="J23" s="68"/>
      <c r="K23" s="68"/>
    </row>
    <row r="24" spans="2:11" ht="57.6" customHeight="1">
      <c r="B24" s="73" t="s">
        <v>72</v>
      </c>
      <c r="C24" s="70" t="s">
        <v>82</v>
      </c>
      <c r="D24" s="67"/>
      <c r="E24" s="68"/>
      <c r="F24" s="68"/>
      <c r="G24" s="68"/>
      <c r="H24" s="68"/>
      <c r="I24" s="68"/>
      <c r="J24" s="68"/>
      <c r="K24" s="68"/>
    </row>
    <row r="25" spans="2:11" ht="18" customHeight="1">
      <c r="B25" s="73" t="s">
        <v>72</v>
      </c>
      <c r="C25" s="70" t="s">
        <v>83</v>
      </c>
      <c r="D25" s="67"/>
      <c r="E25" s="68"/>
      <c r="F25" s="68"/>
      <c r="G25" s="68"/>
      <c r="H25" s="68"/>
      <c r="I25" s="68"/>
      <c r="J25" s="68"/>
      <c r="K25" s="68"/>
    </row>
    <row r="26" spans="2:11" ht="38.1" customHeight="1">
      <c r="B26" s="73" t="s">
        <v>72</v>
      </c>
      <c r="C26" s="70" t="s">
        <v>84</v>
      </c>
      <c r="D26" s="67"/>
      <c r="E26" s="68"/>
      <c r="F26" s="68"/>
      <c r="G26" s="68"/>
      <c r="H26" s="68"/>
      <c r="I26" s="68"/>
      <c r="J26" s="68"/>
      <c r="K26" s="68"/>
    </row>
    <row r="27" spans="2:11" ht="18" customHeight="1">
      <c r="B27" s="796" t="s">
        <v>85</v>
      </c>
      <c r="C27" s="796"/>
      <c r="D27" s="71"/>
      <c r="E27" s="68"/>
      <c r="F27" s="68"/>
      <c r="G27" s="68"/>
      <c r="H27" s="68"/>
      <c r="I27" s="68"/>
      <c r="J27" s="68"/>
      <c r="K27" s="68"/>
    </row>
    <row r="28" spans="2:11" ht="54" customHeight="1">
      <c r="B28" s="73" t="s">
        <v>72</v>
      </c>
      <c r="C28" s="70" t="s">
        <v>80</v>
      </c>
      <c r="D28" s="67"/>
      <c r="E28" s="68"/>
      <c r="F28" s="68"/>
      <c r="G28" s="68"/>
      <c r="H28" s="68"/>
      <c r="I28" s="68"/>
      <c r="J28" s="68"/>
      <c r="K28" s="68"/>
    </row>
    <row r="29" spans="2:11" ht="18" customHeight="1">
      <c r="B29" s="73" t="s">
        <v>72</v>
      </c>
      <c r="C29" s="70" t="s">
        <v>83</v>
      </c>
      <c r="D29" s="67"/>
      <c r="E29" s="68"/>
      <c r="F29" s="68"/>
      <c r="G29" s="68"/>
      <c r="H29" s="68"/>
      <c r="I29" s="68"/>
      <c r="J29" s="68"/>
      <c r="K29" s="68"/>
    </row>
    <row r="30" spans="2:11" ht="18" customHeight="1">
      <c r="B30" s="796" t="s">
        <v>86</v>
      </c>
      <c r="C30" s="796"/>
      <c r="D30" s="71"/>
    </row>
    <row r="31" spans="2:11" ht="54" customHeight="1">
      <c r="B31" s="73" t="s">
        <v>72</v>
      </c>
      <c r="C31" s="70" t="s">
        <v>80</v>
      </c>
      <c r="D31" s="67"/>
      <c r="E31" s="68"/>
      <c r="F31" s="68"/>
      <c r="G31" s="68"/>
      <c r="H31" s="68"/>
      <c r="I31" s="68"/>
      <c r="J31" s="68"/>
      <c r="K31" s="68"/>
    </row>
    <row r="32" spans="2:11" ht="18" customHeight="1">
      <c r="B32" s="73" t="s">
        <v>72</v>
      </c>
      <c r="C32" s="70" t="s">
        <v>83</v>
      </c>
      <c r="D32" s="67"/>
    </row>
    <row r="33" spans="2:11" ht="18" customHeight="1">
      <c r="B33" s="796" t="s">
        <v>87</v>
      </c>
      <c r="C33" s="796"/>
      <c r="D33" s="71"/>
    </row>
    <row r="34" spans="2:11" ht="18" customHeight="1">
      <c r="B34" s="73" t="s">
        <v>72</v>
      </c>
      <c r="C34" s="70" t="s">
        <v>88</v>
      </c>
      <c r="D34" s="67"/>
    </row>
    <row r="35" spans="2:11" ht="18" customHeight="1">
      <c r="B35" s="796" t="s">
        <v>89</v>
      </c>
      <c r="C35" s="796"/>
      <c r="D35" s="71"/>
    </row>
    <row r="36" spans="2:11" ht="66.599999999999994" customHeight="1">
      <c r="B36" s="73" t="s">
        <v>72</v>
      </c>
      <c r="C36" s="70" t="s">
        <v>90</v>
      </c>
      <c r="D36" s="67"/>
      <c r="E36" s="68"/>
      <c r="F36" s="68"/>
      <c r="G36" s="68"/>
      <c r="H36" s="68"/>
      <c r="I36" s="68"/>
      <c r="J36" s="68"/>
      <c r="K36" s="68"/>
    </row>
    <row r="37" spans="2:11" ht="146.1" customHeight="1">
      <c r="B37" s="73" t="s">
        <v>72</v>
      </c>
      <c r="C37" s="70" t="s">
        <v>91</v>
      </c>
      <c r="D37" s="67"/>
      <c r="E37" s="68"/>
      <c r="F37" s="68"/>
      <c r="G37" s="68"/>
      <c r="H37" s="68"/>
      <c r="I37" s="68"/>
      <c r="J37" s="68"/>
      <c r="K37" s="68"/>
    </row>
    <row r="38" spans="2:11" ht="164.1" customHeight="1">
      <c r="B38" s="73" t="s">
        <v>72</v>
      </c>
      <c r="C38" s="70" t="s">
        <v>92</v>
      </c>
      <c r="D38" s="67"/>
      <c r="E38" s="68"/>
      <c r="F38" s="68"/>
      <c r="G38" s="68"/>
      <c r="H38" s="68"/>
      <c r="I38" s="68"/>
      <c r="J38" s="68"/>
      <c r="K38" s="68"/>
    </row>
    <row r="39" spans="2:11" ht="75.95" customHeight="1">
      <c r="B39" s="73" t="s">
        <v>72</v>
      </c>
      <c r="C39" s="70" t="s">
        <v>93</v>
      </c>
      <c r="D39" s="67"/>
      <c r="E39" s="68"/>
      <c r="F39" s="68"/>
      <c r="G39" s="68"/>
      <c r="H39" s="68"/>
      <c r="I39" s="68"/>
      <c r="J39" s="68"/>
      <c r="K39" s="68"/>
    </row>
    <row r="40" spans="2:11" ht="38.1" customHeight="1">
      <c r="B40" s="73" t="s">
        <v>72</v>
      </c>
      <c r="C40" s="70" t="s">
        <v>94</v>
      </c>
    </row>
    <row r="41" spans="2:11" ht="18" customHeight="1">
      <c r="B41" s="796" t="s">
        <v>95</v>
      </c>
      <c r="C41" s="796"/>
    </row>
    <row r="42" spans="2:11" ht="38.1" customHeight="1">
      <c r="B42" s="73" t="s">
        <v>72</v>
      </c>
      <c r="C42" s="70" t="s">
        <v>96</v>
      </c>
    </row>
    <row r="43" spans="2:11" ht="18" customHeight="1">
      <c r="B43" s="73" t="s">
        <v>72</v>
      </c>
      <c r="C43" s="76" t="s">
        <v>97</v>
      </c>
    </row>
    <row r="44" spans="2:11" ht="18" customHeight="1">
      <c r="B44" s="796" t="s">
        <v>98</v>
      </c>
      <c r="C44" s="796"/>
    </row>
    <row r="45" spans="2:11" ht="38.1" customHeight="1">
      <c r="B45" s="73" t="s">
        <v>72</v>
      </c>
      <c r="C45" s="70" t="s">
        <v>99</v>
      </c>
    </row>
    <row r="46" spans="2:11" ht="18" customHeight="1">
      <c r="B46" s="73" t="s">
        <v>72</v>
      </c>
      <c r="C46" s="76" t="s">
        <v>97</v>
      </c>
    </row>
    <row r="47" spans="2:11" ht="18" customHeight="1">
      <c r="B47" s="796" t="s">
        <v>100</v>
      </c>
      <c r="C47" s="796" t="s">
        <v>101</v>
      </c>
    </row>
    <row r="48" spans="2:11" ht="48" customHeight="1">
      <c r="B48" s="73" t="s">
        <v>72</v>
      </c>
      <c r="C48" s="70" t="s">
        <v>102</v>
      </c>
    </row>
    <row r="49" spans="1:11" ht="18" customHeight="1">
      <c r="B49" s="73" t="s">
        <v>72</v>
      </c>
      <c r="C49" s="76" t="s">
        <v>97</v>
      </c>
    </row>
    <row r="50" spans="1:11" ht="18" customHeight="1">
      <c r="B50" s="796" t="s">
        <v>103</v>
      </c>
      <c r="C50" s="796"/>
    </row>
    <row r="51" spans="1:11" ht="38.1" customHeight="1">
      <c r="B51" s="73" t="s">
        <v>72</v>
      </c>
      <c r="C51" s="70" t="s">
        <v>104</v>
      </c>
    </row>
    <row r="52" spans="1:11" ht="38.1" customHeight="1">
      <c r="B52" s="73" t="s">
        <v>72</v>
      </c>
      <c r="C52" s="70" t="s">
        <v>105</v>
      </c>
    </row>
    <row r="53" spans="1:11" ht="18" customHeight="1">
      <c r="B53" s="796" t="s">
        <v>106</v>
      </c>
      <c r="C53" s="796"/>
    </row>
    <row r="54" spans="1:11" ht="18" customHeight="1">
      <c r="B54" s="73" t="s">
        <v>72</v>
      </c>
      <c r="C54" s="77" t="s">
        <v>107</v>
      </c>
    </row>
    <row r="55" spans="1:11" ht="18" customHeight="1">
      <c r="B55" s="73" t="s">
        <v>72</v>
      </c>
      <c r="C55" s="77" t="s">
        <v>108</v>
      </c>
    </row>
    <row r="56" spans="1:11" ht="18" customHeight="1">
      <c r="B56" s="796" t="s">
        <v>109</v>
      </c>
      <c r="C56" s="796"/>
    </row>
    <row r="57" spans="1:11" ht="18" customHeight="1">
      <c r="B57" s="73" t="s">
        <v>72</v>
      </c>
      <c r="C57" s="70" t="s">
        <v>110</v>
      </c>
      <c r="D57" s="67"/>
      <c r="E57" s="68"/>
      <c r="F57" s="68"/>
      <c r="G57" s="68"/>
      <c r="H57" s="68"/>
      <c r="I57" s="68"/>
      <c r="J57" s="68"/>
      <c r="K57" s="68"/>
    </row>
    <row r="58" spans="1:11" ht="18" customHeight="1">
      <c r="B58" s="73" t="s">
        <v>72</v>
      </c>
      <c r="C58" s="70" t="s">
        <v>111</v>
      </c>
      <c r="D58" s="67"/>
      <c r="E58" s="68"/>
      <c r="F58" s="68"/>
      <c r="G58" s="68"/>
      <c r="H58" s="68"/>
      <c r="I58" s="68"/>
      <c r="J58" s="68"/>
      <c r="K58" s="68"/>
    </row>
    <row r="59" spans="1:11" ht="36" customHeight="1">
      <c r="B59" s="73" t="s">
        <v>72</v>
      </c>
      <c r="C59" s="70" t="s">
        <v>112</v>
      </c>
      <c r="D59" s="67"/>
      <c r="E59" s="68"/>
      <c r="F59" s="68"/>
      <c r="G59" s="68"/>
      <c r="H59" s="68"/>
      <c r="I59" s="68"/>
      <c r="J59" s="68"/>
      <c r="K59" s="68"/>
    </row>
    <row r="60" spans="1:11" ht="18" customHeight="1">
      <c r="B60" s="73" t="s">
        <v>72</v>
      </c>
      <c r="C60" s="70" t="s">
        <v>113</v>
      </c>
      <c r="D60" s="67"/>
      <c r="E60" s="68"/>
      <c r="F60" s="68"/>
      <c r="G60" s="68"/>
      <c r="H60" s="68"/>
      <c r="I60" s="68"/>
      <c r="J60" s="68"/>
      <c r="K60" s="68"/>
    </row>
    <row r="61" spans="1:11" ht="18" customHeight="1">
      <c r="A61" s="63"/>
      <c r="C61" s="78"/>
    </row>
    <row r="62" spans="1:11" ht="18" customHeight="1">
      <c r="A62" s="797"/>
      <c r="B62" s="797"/>
      <c r="C62" s="797"/>
      <c r="D62" s="79"/>
    </row>
    <row r="63" spans="1:11" ht="18" customHeight="1">
      <c r="A63" s="794" t="s">
        <v>114</v>
      </c>
      <c r="B63" s="794"/>
      <c r="C63" s="794"/>
      <c r="D63" s="79"/>
    </row>
    <row r="64" spans="1:11" ht="36" customHeight="1">
      <c r="A64" s="795" t="s">
        <v>115</v>
      </c>
      <c r="B64" s="795"/>
      <c r="C64" s="795"/>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A9345C4-09FE-4F27-BFD9-3D9BCD2DED0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2"/>
  <headerFooter alignWithMargins="0">
    <oddFooter>&amp;RPage &amp;P of &amp;N</oddFooter>
  </headerFooter>
  <rowBreaks count="1" manualBreakCount="1">
    <brk id="29" max="2"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8" sqref="D28:G28"/>
    </sheetView>
  </sheetViews>
  <sheetFormatPr defaultColWidth="9.140625" defaultRowHeight="15.75"/>
  <cols>
    <col min="1" max="1" width="3.7109375" style="565" customWidth="1"/>
    <col min="2" max="2" width="33" style="562" customWidth="1"/>
    <col min="3" max="3" width="11.7109375" style="562" customWidth="1"/>
    <col min="4" max="5" width="6.42578125" style="562" customWidth="1"/>
    <col min="6" max="6" width="6.42578125" style="565" customWidth="1"/>
    <col min="7" max="7" width="39" style="565" customWidth="1"/>
    <col min="8" max="8" width="11.85546875" style="565" hidden="1" customWidth="1"/>
    <col min="9" max="10" width="11.85546875" style="565" customWidth="1"/>
    <col min="11" max="11" width="11.85546875" style="565" hidden="1" customWidth="1"/>
    <col min="12" max="25" width="11.85546875" style="565" customWidth="1"/>
    <col min="26" max="26" width="9.140625" style="565" customWidth="1"/>
    <col min="27" max="27" width="15.28515625" style="565" customWidth="1"/>
    <col min="28" max="16384" width="9.140625" style="565"/>
  </cols>
  <sheetData>
    <row r="1" spans="1:29" s="562" customFormat="1" ht="58.5" customHeight="1">
      <c r="B1" s="802" t="str">
        <f>Cover!$B$2</f>
        <v xml:space="preserve">Substation Package SS-92 for Extension of 400/220kV GIS Indore S/S under Transmission System associated with Scheme to control fault level at Indore Substation in Western Region
</v>
      </c>
      <c r="C1" s="802"/>
      <c r="D1" s="802"/>
      <c r="E1" s="802"/>
      <c r="F1" s="802"/>
      <c r="G1" s="802"/>
      <c r="H1" s="563"/>
      <c r="I1" s="563"/>
      <c r="J1" s="563"/>
      <c r="K1" s="563"/>
      <c r="L1" s="563"/>
      <c r="M1" s="563"/>
      <c r="N1" s="563"/>
      <c r="O1" s="563"/>
      <c r="P1" s="563"/>
      <c r="Q1" s="563"/>
      <c r="R1" s="563"/>
      <c r="S1" s="563"/>
      <c r="T1" s="563"/>
      <c r="U1" s="563"/>
      <c r="V1" s="563"/>
      <c r="W1" s="563"/>
      <c r="X1" s="563"/>
      <c r="Y1" s="563"/>
      <c r="AA1" s="564"/>
      <c r="AB1" s="564"/>
      <c r="AC1" s="564"/>
    </row>
    <row r="2" spans="1:29" ht="16.5" customHeight="1">
      <c r="B2" s="803" t="str">
        <f>Cover!B3</f>
        <v>Spec. No.: 5002002223/GIS-EXCLUDING/DOM/A00 - CC CS -1</v>
      </c>
      <c r="C2" s="803"/>
      <c r="D2" s="803"/>
      <c r="E2" s="803"/>
      <c r="F2" s="803"/>
      <c r="G2" s="803"/>
      <c r="H2" s="562"/>
      <c r="I2" s="562"/>
      <c r="J2" s="562"/>
      <c r="K2" s="562"/>
      <c r="L2" s="562"/>
      <c r="M2" s="562"/>
      <c r="N2" s="562"/>
      <c r="O2" s="562"/>
      <c r="P2" s="562"/>
      <c r="Q2" s="562"/>
      <c r="R2" s="562"/>
      <c r="S2" s="562"/>
      <c r="T2" s="562"/>
      <c r="U2" s="562"/>
      <c r="V2" s="562"/>
      <c r="W2" s="562"/>
      <c r="X2" s="562"/>
      <c r="Y2" s="562"/>
      <c r="AA2" s="565" t="s">
        <v>116</v>
      </c>
      <c r="AB2" s="566">
        <v>1</v>
      </c>
      <c r="AC2" s="567"/>
    </row>
    <row r="3" spans="1:29" ht="12" customHeight="1">
      <c r="B3" s="568"/>
      <c r="C3" s="568"/>
      <c r="D3" s="568"/>
      <c r="E3" s="568"/>
      <c r="F3" s="562"/>
      <c r="G3" s="562"/>
      <c r="H3" s="562"/>
      <c r="I3" s="562"/>
      <c r="J3" s="562"/>
      <c r="K3" s="562"/>
      <c r="L3" s="562"/>
      <c r="M3" s="562"/>
      <c r="N3" s="562"/>
      <c r="O3" s="562"/>
      <c r="P3" s="562"/>
      <c r="Q3" s="562"/>
      <c r="R3" s="562"/>
      <c r="S3" s="562"/>
      <c r="T3" s="562"/>
      <c r="U3" s="562"/>
      <c r="V3" s="562"/>
      <c r="W3" s="562"/>
      <c r="X3" s="562"/>
      <c r="Y3" s="562"/>
      <c r="AA3" s="565" t="s">
        <v>117</v>
      </c>
      <c r="AB3" s="566" t="s">
        <v>118</v>
      </c>
      <c r="AC3" s="567"/>
    </row>
    <row r="4" spans="1:29" ht="20.100000000000001" customHeight="1">
      <c r="B4" s="804" t="s">
        <v>119</v>
      </c>
      <c r="C4" s="804"/>
      <c r="D4" s="804"/>
      <c r="E4" s="804"/>
      <c r="F4" s="804"/>
      <c r="G4" s="804"/>
      <c r="H4" s="562"/>
      <c r="I4" s="562"/>
      <c r="J4" s="562"/>
      <c r="K4" s="562"/>
      <c r="L4" s="562"/>
      <c r="M4" s="562"/>
      <c r="N4" s="562"/>
      <c r="O4" s="562"/>
      <c r="P4" s="562"/>
      <c r="Q4" s="562"/>
      <c r="R4" s="562"/>
      <c r="S4" s="562"/>
      <c r="T4" s="562"/>
      <c r="U4" s="562"/>
      <c r="V4" s="562"/>
      <c r="W4" s="562"/>
      <c r="X4" s="562"/>
      <c r="Y4" s="562"/>
      <c r="AB4" s="566"/>
      <c r="AC4" s="567"/>
    </row>
    <row r="5" spans="1:29" ht="12" customHeight="1">
      <c r="B5" s="569"/>
      <c r="C5" s="569"/>
      <c r="F5" s="562"/>
      <c r="G5" s="562"/>
      <c r="H5" s="562"/>
      <c r="I5" s="562"/>
      <c r="J5" s="562"/>
      <c r="K5" s="562"/>
      <c r="L5" s="562"/>
      <c r="M5" s="562"/>
      <c r="N5" s="562"/>
      <c r="O5" s="562"/>
      <c r="P5" s="562"/>
      <c r="Q5" s="562"/>
      <c r="R5" s="562"/>
      <c r="S5" s="562"/>
      <c r="T5" s="562"/>
      <c r="U5" s="562"/>
      <c r="V5" s="562"/>
      <c r="W5" s="562"/>
      <c r="X5" s="562"/>
      <c r="Y5" s="562"/>
      <c r="AA5" s="567"/>
      <c r="AB5" s="567"/>
      <c r="AC5" s="567"/>
    </row>
    <row r="6" spans="1:29" s="562" customFormat="1" ht="50.25" customHeight="1">
      <c r="B6" s="809" t="s">
        <v>351</v>
      </c>
      <c r="C6" s="809"/>
      <c r="D6" s="805"/>
      <c r="E6" s="805"/>
      <c r="F6" s="805"/>
      <c r="G6" s="805"/>
      <c r="H6" s="570"/>
      <c r="I6" s="570"/>
      <c r="J6" s="570"/>
      <c r="K6" s="592">
        <f>IF(D6="Sole Bidder", 1,2)</f>
        <v>2</v>
      </c>
      <c r="L6" s="570"/>
      <c r="M6" s="570"/>
      <c r="N6" s="570"/>
      <c r="O6" s="570"/>
      <c r="P6" s="570"/>
      <c r="Q6" s="570"/>
      <c r="R6" s="570"/>
      <c r="S6" s="570"/>
      <c r="U6" s="570"/>
      <c r="V6" s="570"/>
      <c r="W6" s="570"/>
      <c r="X6" s="570"/>
      <c r="Y6" s="570"/>
      <c r="AA6" s="571">
        <f>IF(D6= "Sole Bidder", 0, D7)</f>
        <v>0</v>
      </c>
      <c r="AB6" s="564"/>
      <c r="AC6" s="564"/>
    </row>
    <row r="7" spans="1:29" ht="50.1" customHeight="1">
      <c r="A7" s="572"/>
      <c r="B7" s="573" t="str">
        <f>IF(D6= "JV (Joint Venture)", "Total Nos. of  Partners in the JV [excluding the Lead Partner]", "")</f>
        <v/>
      </c>
      <c r="C7" s="574"/>
      <c r="D7" s="806"/>
      <c r="E7" s="807"/>
      <c r="F7" s="807"/>
      <c r="G7" s="808"/>
      <c r="AA7" s="567"/>
      <c r="AB7" s="567"/>
      <c r="AC7" s="567"/>
    </row>
    <row r="8" spans="1:29" ht="19.5" customHeight="1">
      <c r="B8" s="575"/>
      <c r="C8" s="575"/>
      <c r="D8" s="570"/>
    </row>
    <row r="9" spans="1:29" ht="20.100000000000001" customHeight="1">
      <c r="B9" s="576" t="str">
        <f>IF(D6= "Sole Bidder", "Name of Sole Bidder", "Name of Lead Partner")</f>
        <v>Name of Lead Partner</v>
      </c>
      <c r="C9" s="577"/>
      <c r="D9" s="799"/>
      <c r="E9" s="800"/>
      <c r="F9" s="800"/>
      <c r="G9" s="801"/>
    </row>
    <row r="10" spans="1:29" ht="20.100000000000001" customHeight="1">
      <c r="B10" s="578" t="str">
        <f>IF(D6= "Sole Bidder", "Address of Sole Bidder", "Address of Lead Partner")</f>
        <v>Address of Lead Partner</v>
      </c>
      <c r="C10" s="579"/>
      <c r="D10" s="799"/>
      <c r="E10" s="800"/>
      <c r="F10" s="800"/>
      <c r="G10" s="801"/>
    </row>
    <row r="11" spans="1:29" ht="20.100000000000001" customHeight="1">
      <c r="B11" s="580"/>
      <c r="C11" s="581"/>
      <c r="D11" s="799"/>
      <c r="E11" s="800"/>
      <c r="F11" s="800"/>
      <c r="G11" s="801"/>
    </row>
    <row r="12" spans="1:29" ht="20.100000000000001" customHeight="1">
      <c r="B12" s="582"/>
      <c r="C12" s="583"/>
      <c r="D12" s="799"/>
      <c r="E12" s="800"/>
      <c r="F12" s="800"/>
      <c r="G12" s="801"/>
    </row>
    <row r="13" spans="1:29" ht="20.100000000000001" customHeight="1"/>
    <row r="14" spans="1:29" ht="20.100000000000001" customHeight="1">
      <c r="B14" s="576" t="str">
        <f>IF(D6="JV (Joint Venture)", "Name of other Partner","Name of other Partner - 1")</f>
        <v>Name of other Partner - 1</v>
      </c>
      <c r="C14" s="577"/>
      <c r="D14" s="799" t="s">
        <v>492</v>
      </c>
      <c r="E14" s="800"/>
      <c r="F14" s="800"/>
      <c r="G14" s="801"/>
    </row>
    <row r="15" spans="1:29" ht="20.100000000000001" customHeight="1">
      <c r="B15" s="578" t="str">
        <f>IF(D6="JV (Joint Venture)", "Address of other Partner","Address of other Partner - 1")</f>
        <v>Address of other Partner - 1</v>
      </c>
      <c r="C15" s="579"/>
      <c r="D15" s="813" t="s">
        <v>493</v>
      </c>
      <c r="E15" s="814"/>
      <c r="F15" s="814"/>
      <c r="G15" s="815"/>
    </row>
    <row r="16" spans="1:29" ht="20.100000000000001" customHeight="1">
      <c r="B16" s="580"/>
      <c r="C16" s="581"/>
      <c r="D16" s="813" t="s">
        <v>494</v>
      </c>
      <c r="E16" s="814"/>
      <c r="F16" s="814"/>
      <c r="G16" s="815"/>
    </row>
    <row r="17" spans="2:8" ht="20.100000000000001" customHeight="1">
      <c r="B17" s="582"/>
      <c r="C17" s="583"/>
      <c r="D17" s="813"/>
      <c r="E17" s="814"/>
      <c r="F17" s="814"/>
      <c r="G17" s="815"/>
    </row>
    <row r="18" spans="2:8" ht="20.100000000000001" customHeight="1"/>
    <row r="19" spans="2:8" ht="20.100000000000001" hidden="1" customHeight="1">
      <c r="B19" s="576" t="s">
        <v>121</v>
      </c>
      <c r="C19" s="577"/>
      <c r="D19" s="799" t="s">
        <v>120</v>
      </c>
      <c r="E19" s="800"/>
      <c r="F19" s="800"/>
      <c r="G19" s="801"/>
    </row>
    <row r="20" spans="2:8" ht="20.100000000000001" hidden="1" customHeight="1">
      <c r="B20" s="578" t="s">
        <v>122</v>
      </c>
      <c r="C20" s="579"/>
      <c r="D20" s="799" t="s">
        <v>120</v>
      </c>
      <c r="E20" s="800"/>
      <c r="F20" s="800"/>
      <c r="G20" s="801"/>
    </row>
    <row r="21" spans="2:8" ht="20.100000000000001" hidden="1" customHeight="1">
      <c r="B21" s="580"/>
      <c r="C21" s="581"/>
      <c r="D21" s="799" t="s">
        <v>120</v>
      </c>
      <c r="E21" s="800"/>
      <c r="F21" s="800"/>
      <c r="G21" s="801"/>
    </row>
    <row r="22" spans="2:8" ht="20.100000000000001" hidden="1" customHeight="1">
      <c r="B22" s="582"/>
      <c r="C22" s="583"/>
      <c r="D22" s="799" t="s">
        <v>120</v>
      </c>
      <c r="E22" s="800"/>
      <c r="F22" s="800"/>
      <c r="G22" s="801"/>
    </row>
    <row r="23" spans="2:8" ht="20.100000000000001" customHeight="1">
      <c r="B23" s="584"/>
      <c r="C23" s="584"/>
    </row>
    <row r="24" spans="2:8" ht="21" customHeight="1">
      <c r="B24" s="585" t="s">
        <v>123</v>
      </c>
      <c r="C24" s="586"/>
      <c r="D24" s="810"/>
      <c r="E24" s="811"/>
      <c r="F24" s="811"/>
      <c r="G24" s="812"/>
    </row>
    <row r="25" spans="2:8" ht="21" customHeight="1">
      <c r="B25" s="585" t="s">
        <v>124</v>
      </c>
      <c r="C25" s="586"/>
      <c r="D25" s="799"/>
      <c r="E25" s="816"/>
      <c r="F25" s="816"/>
      <c r="G25" s="817"/>
    </row>
    <row r="26" spans="2:8" ht="21" customHeight="1">
      <c r="B26" s="587"/>
      <c r="C26" s="587"/>
      <c r="D26" s="588"/>
    </row>
    <row r="27" spans="2:8" s="562" customFormat="1" ht="21" customHeight="1">
      <c r="B27" s="585" t="s">
        <v>125</v>
      </c>
      <c r="C27" s="586"/>
      <c r="D27" s="589"/>
      <c r="E27" s="591"/>
      <c r="F27" s="589"/>
      <c r="G27" s="590" t="str">
        <f>IF(D27&gt;H27, "Invalid Date !", "")</f>
        <v/>
      </c>
      <c r="H27" s="564">
        <f>IF(E27="Feb",28,IF(OR(E27="Apr", E27="Jun", E27="Sep", E27="Nov"),30,31))</f>
        <v>31</v>
      </c>
    </row>
    <row r="28" spans="2:8" ht="21" customHeight="1">
      <c r="B28" s="585" t="s">
        <v>126</v>
      </c>
      <c r="C28" s="586"/>
      <c r="D28" s="799"/>
      <c r="E28" s="816"/>
      <c r="F28" s="816"/>
      <c r="G28" s="817"/>
    </row>
    <row r="29" spans="2:8">
      <c r="E29" s="565"/>
    </row>
  </sheetData>
  <sheetProtection algorithmName="SHA-512" hashValue="floVucBp9s2aEc01wTupfJpA87KmeX8AxFXWsok8/fCUPEFxRM91j9vM/EE8AX66iN3sKHGp30i7ZWzQDswG3A==" saltValue="TeAOaGoXP0ee3YoWX706iQ==" spinCount="100000" sheet="1" formatColumns="0" formatRows="0" selectLockedCells="1"/>
  <customSheetViews>
    <customSheetView guid="{CCA37BAE-906F-43D5-9FD9-B13563E4B9D7}" showGridLines="0" printArea="1" hiddenRows="1" hiddenColumns="1" view="pageBreakPreview">
      <selection activeCell="D28" sqref="D28:G28"/>
      <pageMargins left="0.75" right="0.75" top="0.69" bottom="0.7" header="0.4" footer="0.37"/>
      <pageSetup scale="86" orientation="portrait" r:id="rId1"/>
      <headerFooter alignWithMargins="0"/>
    </customSheetView>
    <customSheetView guid="{CA9345C4-09FE-4F27-BFD9-3D9BCD2DED09}" showGridLines="0" printArea="1" hiddenRows="1" hiddenColumns="1" view="pageBreakPreview">
      <selection activeCell="D9" sqref="D9:G9"/>
      <pageMargins left="0.75" right="0.75" top="0.69" bottom="0.7" header="0.4" footer="0.37"/>
      <pageSetup scale="86" orientation="portrait" r:id="rId2"/>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12A89170-4F84-482D-A3C5-7890082E7B73}" showGridLines="0" printArea="1" hiddenRows="1" hiddenColumns="1" view="pageBreakPreview">
      <selection activeCell="D9" sqref="D9:G9"/>
      <pageMargins left="0.75" right="0.75" top="0.69" bottom="0.7" header="0.4" footer="0.37"/>
      <pageSetup scale="86" orientation="portrait" r:id="rId11"/>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17" priority="3" stopIfTrue="1">
      <formula>$AA$6&lt;2</formula>
    </cfRule>
  </conditionalFormatting>
  <conditionalFormatting sqref="B14:C17">
    <cfRule type="expression" dxfId="16" priority="4" stopIfTrue="1">
      <formula>$AA$6&lt;1</formula>
    </cfRule>
  </conditionalFormatting>
  <conditionalFormatting sqref="B7:G7">
    <cfRule type="expression" dxfId="15" priority="5" stopIfTrue="1">
      <formula>$D$6="Sole Bidder"</formula>
    </cfRule>
  </conditionalFormatting>
  <conditionalFormatting sqref="D14:G17">
    <cfRule type="expression" dxfId="14" priority="2" stopIfTrue="1">
      <formula>$AA$6&lt;1</formula>
    </cfRule>
  </conditionalFormatting>
  <conditionalFormatting sqref="D19:G22">
    <cfRule type="expression" dxfId="13" priority="1" stopIfTrue="1">
      <formula>$AA$6&lt;2</formula>
    </cfRule>
  </conditionalFormatting>
  <dataValidations count="5">
    <dataValidation type="list" allowBlank="1" showInputMessage="1" showErrorMessage="1" sqref="F27" xr:uid="{00000000-0002-0000-0300-000000000000}">
      <formula1>"2021,2022,2023,2024"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2"/>
  <headerFooter alignWithMargins="0"/>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33"/>
  <sheetViews>
    <sheetView view="pageBreakPreview" topLeftCell="A85" zoomScale="70" zoomScaleNormal="92" zoomScaleSheetLayoutView="70" workbookViewId="0">
      <selection activeCell="M93" sqref="M93"/>
    </sheetView>
  </sheetViews>
  <sheetFormatPr defaultColWidth="9.140625" defaultRowHeight="15.75"/>
  <cols>
    <col min="1" max="1" width="4.7109375" style="477" customWidth="1"/>
    <col min="2" max="2" width="18.7109375" style="477" customWidth="1"/>
    <col min="3" max="3" width="8.5703125" style="477" customWidth="1"/>
    <col min="4" max="4" width="24.85546875" style="728" customWidth="1"/>
    <col min="5" max="5" width="14.42578125" style="477" customWidth="1"/>
    <col min="6" max="6" width="13" style="477" customWidth="1"/>
    <col min="7" max="7" width="17.5703125" style="477" customWidth="1"/>
    <col min="8" max="8" width="12.42578125" style="542" customWidth="1"/>
    <col min="9" max="9" width="17.5703125" style="477" customWidth="1"/>
    <col min="10" max="10" width="61.140625" style="728" customWidth="1"/>
    <col min="11" max="11" width="7.140625" style="477" customWidth="1"/>
    <col min="12" max="12" width="11.140625" style="477" customWidth="1"/>
    <col min="13" max="13" width="16.7109375" style="477" customWidth="1"/>
    <col min="14" max="14" width="21.28515625" style="477" customWidth="1"/>
    <col min="15" max="15" width="14" style="477" hidden="1" customWidth="1"/>
    <col min="16" max="16" width="14.85546875" style="477" hidden="1" customWidth="1"/>
    <col min="17" max="17" width="13" style="477" hidden="1" customWidth="1"/>
    <col min="18" max="18" width="20.140625" style="477" hidden="1" customWidth="1"/>
    <col min="19" max="19" width="16.140625" style="477" hidden="1" customWidth="1"/>
    <col min="20" max="20" width="15" style="477" hidden="1" customWidth="1"/>
    <col min="21" max="22" width="9.140625" style="477" hidden="1" customWidth="1"/>
    <col min="23" max="23" width="9.140625" style="477" customWidth="1"/>
    <col min="24" max="37" width="9.140625" style="477" hidden="1" customWidth="1"/>
    <col min="38" max="38" width="6.140625" style="477" customWidth="1"/>
    <col min="39" max="44" width="9.140625" style="477" customWidth="1"/>
    <col min="45" max="16384" width="9.140625" style="477"/>
  </cols>
  <sheetData>
    <row r="1" spans="1:256" ht="31.5" customHeight="1">
      <c r="A1" s="741" t="str">
        <f>Basic!B5</f>
        <v>Spec. No.: 5002002223/GIS-EXCLUDING/DOM/A00 - CC CS -1</v>
      </c>
      <c r="B1" s="6"/>
      <c r="C1" s="6"/>
      <c r="D1" s="422"/>
      <c r="E1" s="6"/>
      <c r="F1" s="6"/>
      <c r="G1" s="6"/>
      <c r="H1" s="6"/>
      <c r="I1" s="6"/>
      <c r="J1" s="742"/>
      <c r="K1" s="6"/>
      <c r="L1" s="6"/>
      <c r="M1" s="6"/>
      <c r="N1" s="752" t="s">
        <v>495</v>
      </c>
    </row>
    <row r="2" spans="1:256">
      <c r="A2" s="4"/>
      <c r="B2" s="4"/>
      <c r="C2" s="4"/>
      <c r="D2" s="352"/>
      <c r="E2" s="4"/>
      <c r="F2" s="4"/>
      <c r="G2" s="4"/>
      <c r="H2" s="4"/>
      <c r="I2" s="4"/>
      <c r="J2" s="352"/>
      <c r="K2" s="4"/>
      <c r="L2" s="4"/>
      <c r="M2" s="4"/>
      <c r="N2" s="4"/>
    </row>
    <row r="3" spans="1:256" ht="32.25" customHeight="1">
      <c r="A3" s="818" t="str">
        <f>Cover!$B$2</f>
        <v xml:space="preserve">Substation Package SS-92 for Extension of 400/220kV GIS Indore S/S under Transmission System associated with Scheme to control fault level at Indore Substation in Western Region
</v>
      </c>
      <c r="B3" s="818"/>
      <c r="C3" s="818"/>
      <c r="D3" s="818"/>
      <c r="E3" s="818"/>
      <c r="F3" s="818"/>
      <c r="G3" s="818"/>
      <c r="H3" s="818"/>
      <c r="I3" s="818"/>
      <c r="J3" s="818"/>
      <c r="K3" s="818"/>
      <c r="L3" s="818"/>
      <c r="M3" s="818"/>
      <c r="N3" s="818"/>
    </row>
    <row r="4" spans="1:256" ht="16.5">
      <c r="A4" s="819" t="s">
        <v>0</v>
      </c>
      <c r="B4" s="819"/>
      <c r="C4" s="819"/>
      <c r="D4" s="819"/>
      <c r="E4" s="819"/>
      <c r="F4" s="819"/>
      <c r="G4" s="819"/>
      <c r="H4" s="819"/>
      <c r="I4" s="819"/>
      <c r="J4" s="819"/>
      <c r="K4" s="819"/>
      <c r="L4" s="819"/>
      <c r="M4" s="819"/>
      <c r="N4" s="819"/>
    </row>
    <row r="5" spans="1:256" s="594" customFormat="1" ht="16.5">
      <c r="A5" s="593"/>
      <c r="B5" s="593"/>
      <c r="C5" s="593"/>
      <c r="D5" s="593"/>
      <c r="E5" s="593"/>
      <c r="F5" s="593"/>
      <c r="G5" s="593"/>
      <c r="H5" s="593"/>
      <c r="I5" s="593"/>
      <c r="J5" s="593"/>
      <c r="K5" s="593"/>
      <c r="L5" s="593"/>
      <c r="M5" s="593"/>
      <c r="N5" s="593"/>
    </row>
    <row r="6" spans="1:256" ht="16.5">
      <c r="A6" s="820" t="s">
        <v>350</v>
      </c>
      <c r="B6" s="820"/>
      <c r="C6" s="4"/>
      <c r="D6" s="352"/>
      <c r="E6" s="4"/>
      <c r="F6" s="4"/>
      <c r="G6" s="4"/>
      <c r="H6" s="4"/>
      <c r="I6" s="4"/>
      <c r="J6" s="352"/>
      <c r="K6" s="4"/>
      <c r="L6" s="4"/>
      <c r="M6" s="4"/>
      <c r="N6" s="4"/>
    </row>
    <row r="7" spans="1:256" ht="16.5">
      <c r="A7" s="825" t="str">
        <f>IF(Z7=1,Z8,"JOINT VENTURE OF "&amp;Z8&amp;" &amp; "&amp;Z9)</f>
        <v>JOINT VENTURE OF 0 &amp; X</v>
      </c>
      <c r="B7" s="825"/>
      <c r="C7" s="825"/>
      <c r="D7" s="825"/>
      <c r="E7" s="825"/>
      <c r="F7" s="825"/>
      <c r="G7" s="825"/>
      <c r="H7" s="825"/>
      <c r="I7" s="825"/>
      <c r="J7" s="407"/>
      <c r="K7" s="456" t="s">
        <v>1</v>
      </c>
      <c r="L7" s="406"/>
      <c r="N7" s="4"/>
      <c r="Z7" s="542">
        <f>'Names of Bidder'!K6</f>
        <v>2</v>
      </c>
    </row>
    <row r="8" spans="1:256" ht="16.5">
      <c r="A8" s="821" t="str">
        <f>"Bidder’s Name and Address  (" &amp; MID('Names of Bidder'!B9,9, 20) &amp; ") :"</f>
        <v>Bidder’s Name and Address  (Lead Partner) :</v>
      </c>
      <c r="B8" s="821"/>
      <c r="C8" s="821"/>
      <c r="D8" s="821"/>
      <c r="E8" s="821"/>
      <c r="F8" s="821"/>
      <c r="G8" s="821"/>
      <c r="H8" s="549"/>
      <c r="I8" s="549"/>
      <c r="J8" s="549"/>
      <c r="K8" s="457" t="s">
        <v>2</v>
      </c>
      <c r="L8" s="549"/>
      <c r="N8" s="4"/>
      <c r="U8" s="539"/>
      <c r="Z8" s="827">
        <f>'Names of Bidder'!D9</f>
        <v>0</v>
      </c>
      <c r="AA8" s="827"/>
      <c r="AB8" s="827"/>
      <c r="AC8" s="827"/>
      <c r="AD8" s="827"/>
      <c r="AE8" s="827"/>
      <c r="AF8" s="827"/>
      <c r="AG8" s="827"/>
      <c r="AH8" s="827"/>
      <c r="AI8" s="827"/>
      <c r="AJ8" s="827"/>
      <c r="AK8" s="827"/>
      <c r="AL8" s="827"/>
    </row>
    <row r="9" spans="1:256" ht="16.5">
      <c r="A9" s="462" t="s">
        <v>12</v>
      </c>
      <c r="B9" s="408"/>
      <c r="C9" s="824" t="str">
        <f>IF('Names of Bidder'!D9=0, "", 'Names of Bidder'!D9)</f>
        <v/>
      </c>
      <c r="D9" s="824"/>
      <c r="E9" s="824"/>
      <c r="F9" s="824"/>
      <c r="G9" s="824"/>
      <c r="H9" s="445"/>
      <c r="I9" s="409"/>
      <c r="J9" s="410"/>
      <c r="K9" s="457" t="s">
        <v>3</v>
      </c>
      <c r="N9" s="4"/>
      <c r="U9" s="539"/>
      <c r="Z9" s="827" t="str">
        <f>'Names of Bidder'!D14</f>
        <v>X</v>
      </c>
      <c r="AA9" s="827"/>
      <c r="AB9" s="827"/>
      <c r="AC9" s="827"/>
      <c r="AD9" s="827"/>
      <c r="AE9" s="827"/>
      <c r="AF9" s="827"/>
      <c r="AG9" s="827"/>
      <c r="AH9" s="827"/>
      <c r="AI9" s="827"/>
      <c r="AJ9" s="827"/>
      <c r="AK9" s="827"/>
      <c r="AL9" s="827"/>
    </row>
    <row r="10" spans="1:256" ht="16.5">
      <c r="A10" s="462" t="s">
        <v>11</v>
      </c>
      <c r="B10" s="408"/>
      <c r="C10" s="823" t="str">
        <f>IF('Names of Bidder'!D10=0, "", 'Names of Bidder'!D10)</f>
        <v/>
      </c>
      <c r="D10" s="823"/>
      <c r="E10" s="823"/>
      <c r="F10" s="823"/>
      <c r="G10" s="823"/>
      <c r="H10" s="445"/>
      <c r="I10" s="409"/>
      <c r="J10" s="410"/>
      <c r="K10" s="457" t="s">
        <v>4</v>
      </c>
      <c r="N10" s="4"/>
      <c r="Z10" s="827" t="str">
        <f>"JOINT VENTURE OF "&amp;Z8&amp;" &amp; "&amp;Z9</f>
        <v>JOINT VENTURE OF 0 &amp; X</v>
      </c>
      <c r="AA10" s="827"/>
      <c r="AB10" s="827"/>
      <c r="AC10" s="827"/>
      <c r="AD10" s="827"/>
      <c r="AE10" s="827"/>
      <c r="AF10" s="827"/>
      <c r="AG10" s="827"/>
      <c r="AH10" s="827"/>
      <c r="AI10" s="827"/>
      <c r="AJ10" s="827"/>
      <c r="AK10" s="827"/>
      <c r="AL10" s="827"/>
    </row>
    <row r="11" spans="1:256">
      <c r="A11" s="409"/>
      <c r="B11" s="409"/>
      <c r="C11" s="823" t="str">
        <f>IF('Names of Bidder'!D11=0, "", 'Names of Bidder'!D11)</f>
        <v/>
      </c>
      <c r="D11" s="823"/>
      <c r="E11" s="823"/>
      <c r="F11" s="823"/>
      <c r="G11" s="823"/>
      <c r="H11" s="445"/>
      <c r="I11" s="409"/>
      <c r="J11" s="410"/>
      <c r="K11" s="457" t="s">
        <v>5</v>
      </c>
      <c r="N11" s="4"/>
    </row>
    <row r="12" spans="1:256">
      <c r="A12" s="409"/>
      <c r="B12" s="409"/>
      <c r="C12" s="823" t="str">
        <f>IF('Names of Bidder'!D12=0, "", 'Names of Bidder'!D12)</f>
        <v/>
      </c>
      <c r="D12" s="823"/>
      <c r="E12" s="823"/>
      <c r="F12" s="823"/>
      <c r="G12" s="823"/>
      <c r="H12" s="445"/>
      <c r="I12" s="409"/>
      <c r="J12" s="410"/>
      <c r="K12" s="457" t="s">
        <v>6</v>
      </c>
      <c r="N12" s="4"/>
    </row>
    <row r="13" spans="1:256" s="540" customFormat="1" ht="16.5">
      <c r="A13" s="826" t="s">
        <v>308</v>
      </c>
      <c r="B13" s="826"/>
      <c r="C13" s="826"/>
      <c r="D13" s="826"/>
      <c r="E13" s="826"/>
      <c r="F13" s="826"/>
      <c r="G13" s="826"/>
      <c r="H13" s="826"/>
      <c r="I13" s="826"/>
      <c r="J13" s="826"/>
      <c r="K13" s="826"/>
      <c r="L13" s="826"/>
      <c r="M13" s="826"/>
      <c r="N13" s="826"/>
    </row>
    <row r="14" spans="1:256">
      <c r="A14" s="4"/>
      <c r="B14" s="4"/>
      <c r="C14" s="4"/>
      <c r="D14" s="352"/>
      <c r="E14" s="4"/>
      <c r="F14" s="4"/>
      <c r="G14" s="4"/>
      <c r="H14" s="4"/>
      <c r="I14" s="4"/>
      <c r="J14" s="352"/>
      <c r="K14" s="822" t="s">
        <v>355</v>
      </c>
      <c r="L14" s="822"/>
      <c r="M14" s="822"/>
      <c r="N14" s="822"/>
    </row>
    <row r="15" spans="1:256" ht="115.5">
      <c r="A15" s="391" t="s">
        <v>7</v>
      </c>
      <c r="B15" s="391" t="s">
        <v>266</v>
      </c>
      <c r="C15" s="391" t="s">
        <v>278</v>
      </c>
      <c r="D15" s="391" t="s">
        <v>280</v>
      </c>
      <c r="E15" s="391" t="s">
        <v>13</v>
      </c>
      <c r="F15" s="391" t="s">
        <v>309</v>
      </c>
      <c r="G15" s="443" t="s">
        <v>476</v>
      </c>
      <c r="H15" s="391" t="s">
        <v>313</v>
      </c>
      <c r="I15" s="444" t="s">
        <v>477</v>
      </c>
      <c r="J15" s="391" t="s">
        <v>8</v>
      </c>
      <c r="K15" s="16" t="s">
        <v>9</v>
      </c>
      <c r="L15" s="16" t="s">
        <v>10</v>
      </c>
      <c r="M15" s="391" t="s">
        <v>354</v>
      </c>
      <c r="N15" s="391" t="s">
        <v>353</v>
      </c>
    </row>
    <row r="16" spans="1:256" s="607" customFormat="1">
      <c r="A16" s="603">
        <v>1</v>
      </c>
      <c r="B16" s="603">
        <v>2</v>
      </c>
      <c r="C16" s="603">
        <v>3</v>
      </c>
      <c r="D16" s="604">
        <v>4</v>
      </c>
      <c r="E16" s="603">
        <v>5</v>
      </c>
      <c r="F16" s="603">
        <v>6</v>
      </c>
      <c r="G16" s="605">
        <v>7</v>
      </c>
      <c r="H16" s="603">
        <v>8</v>
      </c>
      <c r="I16" s="606">
        <v>9</v>
      </c>
      <c r="J16" s="604">
        <v>10</v>
      </c>
      <c r="K16" s="603">
        <v>11</v>
      </c>
      <c r="L16" s="603">
        <v>12</v>
      </c>
      <c r="M16" s="603">
        <v>13</v>
      </c>
      <c r="N16" s="603" t="s">
        <v>352</v>
      </c>
      <c r="IV16" s="607">
        <f>SUM(A16:IU16)</f>
        <v>91</v>
      </c>
    </row>
    <row r="17" spans="1:20" ht="31.5">
      <c r="A17" s="536">
        <v>1</v>
      </c>
      <c r="B17" s="546">
        <v>7000016714</v>
      </c>
      <c r="C17" s="546">
        <v>10</v>
      </c>
      <c r="D17" s="546" t="s">
        <v>496</v>
      </c>
      <c r="E17" s="546">
        <v>1000004654</v>
      </c>
      <c r="F17" s="546">
        <v>85359030</v>
      </c>
      <c r="G17" s="537"/>
      <c r="H17" s="546">
        <v>18</v>
      </c>
      <c r="I17" s="535"/>
      <c r="J17" s="538" t="s">
        <v>508</v>
      </c>
      <c r="K17" s="546" t="s">
        <v>300</v>
      </c>
      <c r="L17" s="546">
        <v>2</v>
      </c>
      <c r="M17" s="547"/>
      <c r="N17" s="548" t="str">
        <f>IF(M17=0, "INCLUDED", IF(ISERROR(M17*L17), M17, M17*L17))</f>
        <v>INCLUDED</v>
      </c>
      <c r="O17" s="634">
        <f>IF(N17="Included",0,N17)</f>
        <v>0</v>
      </c>
      <c r="P17" s="634">
        <f>IF( I17="",H17*(IF(N17="Included",0,N17))/100,I17*(IF(N17="Included",0,N17)))</f>
        <v>0</v>
      </c>
      <c r="Q17" s="639">
        <f>Discount!$H$36</f>
        <v>0</v>
      </c>
      <c r="R17" s="639">
        <f>Q17*O17</f>
        <v>0</v>
      </c>
      <c r="S17" s="639">
        <f>IF(I17="",H17*R17/100,I17*R17)</f>
        <v>0</v>
      </c>
      <c r="T17" s="749">
        <f>M17*L17</f>
        <v>0</v>
      </c>
    </row>
    <row r="18" spans="1:20" ht="47.25">
      <c r="A18" s="459">
        <v>2</v>
      </c>
      <c r="B18" s="546">
        <v>7000016714</v>
      </c>
      <c r="C18" s="546">
        <v>20</v>
      </c>
      <c r="D18" s="546" t="s">
        <v>496</v>
      </c>
      <c r="E18" s="546">
        <v>1000004295</v>
      </c>
      <c r="F18" s="546">
        <v>85389000</v>
      </c>
      <c r="G18" s="534"/>
      <c r="H18" s="546">
        <v>18</v>
      </c>
      <c r="I18" s="535"/>
      <c r="J18" s="538" t="s">
        <v>509</v>
      </c>
      <c r="K18" s="546" t="s">
        <v>474</v>
      </c>
      <c r="L18" s="546">
        <v>300</v>
      </c>
      <c r="M18" s="547"/>
      <c r="N18" s="548" t="str">
        <f t="shared" ref="N18" si="0">IF(M18=0, "INCLUDED", IF(ISERROR(M18*L18), M18, M18*L18))</f>
        <v>INCLUDED</v>
      </c>
      <c r="O18" s="634">
        <f>IF(N18="Included",0,N18)</f>
        <v>0</v>
      </c>
      <c r="P18" s="634">
        <f>IF( I18="",H18*(IF(N18="Included",0,N18))/100,I18*(IF(N18="Included",0,N18)))</f>
        <v>0</v>
      </c>
      <c r="Q18" s="634">
        <f>Discount!$H$36</f>
        <v>0</v>
      </c>
      <c r="R18" s="639">
        <f>Q18*O18</f>
        <v>0</v>
      </c>
      <c r="S18" s="639">
        <f>IF(I18="",H18*R18/100,I18*R18)</f>
        <v>0</v>
      </c>
      <c r="T18" s="749">
        <f t="shared" ref="T18" si="1">M18*L18</f>
        <v>0</v>
      </c>
    </row>
    <row r="19" spans="1:20" ht="31.5">
      <c r="A19" s="536">
        <v>3</v>
      </c>
      <c r="B19" s="546">
        <v>7000016714</v>
      </c>
      <c r="C19" s="546">
        <v>30</v>
      </c>
      <c r="D19" s="546" t="s">
        <v>496</v>
      </c>
      <c r="E19" s="546">
        <v>1000032799</v>
      </c>
      <c r="F19" s="546">
        <v>85389000</v>
      </c>
      <c r="G19" s="534"/>
      <c r="H19" s="546">
        <v>18</v>
      </c>
      <c r="I19" s="535"/>
      <c r="J19" s="538" t="s">
        <v>510</v>
      </c>
      <c r="K19" s="546" t="s">
        <v>300</v>
      </c>
      <c r="L19" s="546">
        <v>12</v>
      </c>
      <c r="M19" s="547"/>
      <c r="N19" s="548" t="str">
        <f t="shared" ref="N19:N20" si="2">IF(M19=0, "INCLUDED", IF(ISERROR(M19*L19), M19, M19*L19))</f>
        <v>INCLUDED</v>
      </c>
      <c r="O19" s="634">
        <f>IF(N19="Included",0,N19)</f>
        <v>0</v>
      </c>
      <c r="P19" s="634">
        <f>IF( I19="",H19*(IF(N19="Included",0,N19))/100,I19*(IF(N19="Included",0,N19)))</f>
        <v>0</v>
      </c>
      <c r="Q19" s="634">
        <f>Discount!$H$36</f>
        <v>0</v>
      </c>
      <c r="R19" s="639">
        <f>Q19*O19</f>
        <v>0</v>
      </c>
      <c r="S19" s="639">
        <f>IF(I19="",H19*R19/100,I19*R19)</f>
        <v>0</v>
      </c>
      <c r="T19" s="749">
        <f t="shared" ref="T19:T20" si="3">M19*L19</f>
        <v>0</v>
      </c>
    </row>
    <row r="20" spans="1:20" ht="31.5">
      <c r="A20" s="459">
        <v>4</v>
      </c>
      <c r="B20" s="546">
        <v>7000016714</v>
      </c>
      <c r="C20" s="546">
        <v>40</v>
      </c>
      <c r="D20" s="546" t="s">
        <v>497</v>
      </c>
      <c r="E20" s="546">
        <v>1000002163</v>
      </c>
      <c r="F20" s="546">
        <v>85371000</v>
      </c>
      <c r="G20" s="534"/>
      <c r="H20" s="546">
        <v>18</v>
      </c>
      <c r="I20" s="535"/>
      <c r="J20" s="538" t="s">
        <v>511</v>
      </c>
      <c r="K20" s="546" t="s">
        <v>299</v>
      </c>
      <c r="L20" s="546">
        <v>2</v>
      </c>
      <c r="M20" s="547"/>
      <c r="N20" s="548" t="str">
        <f t="shared" si="2"/>
        <v>INCLUDED</v>
      </c>
      <c r="O20" s="634">
        <f t="shared" ref="O20" si="4">IF(N20="Included",0,N20)</f>
        <v>0</v>
      </c>
      <c r="P20" s="634">
        <f t="shared" ref="P20" si="5">IF( I20="",H20*(IF(N20="Included",0,N20))/100,I20*(IF(N20="Included",0,N20)))</f>
        <v>0</v>
      </c>
      <c r="Q20" s="634">
        <f>Discount!$H$36</f>
        <v>0</v>
      </c>
      <c r="R20" s="639">
        <f t="shared" ref="R20" si="6">Q20*O20</f>
        <v>0</v>
      </c>
      <c r="S20" s="639">
        <f t="shared" ref="S20" si="7">IF(I20="",H20*R20/100,I20*R20)</f>
        <v>0</v>
      </c>
      <c r="T20" s="749">
        <f t="shared" si="3"/>
        <v>0</v>
      </c>
    </row>
    <row r="21" spans="1:20" ht="31.5">
      <c r="A21" s="536">
        <v>5</v>
      </c>
      <c r="B21" s="546">
        <v>7000016714</v>
      </c>
      <c r="C21" s="546">
        <v>60</v>
      </c>
      <c r="D21" s="546" t="s">
        <v>497</v>
      </c>
      <c r="E21" s="546">
        <v>1000002145</v>
      </c>
      <c r="F21" s="546">
        <v>85371000</v>
      </c>
      <c r="G21" s="534"/>
      <c r="H21" s="546">
        <v>18</v>
      </c>
      <c r="I21" s="535"/>
      <c r="J21" s="538" t="s">
        <v>512</v>
      </c>
      <c r="K21" s="546" t="s">
        <v>300</v>
      </c>
      <c r="L21" s="546">
        <v>1</v>
      </c>
      <c r="M21" s="547"/>
      <c r="N21" s="548" t="str">
        <f t="shared" ref="N21:N93" si="8">IF(M21=0, "INCLUDED", IF(ISERROR(M21*L21), M21, M21*L21))</f>
        <v>INCLUDED</v>
      </c>
      <c r="O21" s="634">
        <f t="shared" ref="O21:O93" si="9">IF(N21="Included",0,N21)</f>
        <v>0</v>
      </c>
      <c r="P21" s="634">
        <f t="shared" ref="P21:P51" si="10">IF( I21="",H21*(IF(N21="Included",0,N21))/100,I21*(IF(N21="Included",0,N21)))</f>
        <v>0</v>
      </c>
      <c r="Q21" s="634">
        <f>Discount!$H$36</f>
        <v>0</v>
      </c>
      <c r="R21" s="639">
        <f t="shared" ref="R21:R93" si="11">Q21*O21</f>
        <v>0</v>
      </c>
      <c r="S21" s="639">
        <f t="shared" ref="S21:S93" si="12">IF(I21="",H21*R21/100,I21*R21)</f>
        <v>0</v>
      </c>
      <c r="T21" s="749">
        <f t="shared" ref="T21:T93" si="13">M21*L21</f>
        <v>0</v>
      </c>
    </row>
    <row r="22" spans="1:20" ht="31.5">
      <c r="A22" s="459">
        <v>6</v>
      </c>
      <c r="B22" s="546">
        <v>7000016714</v>
      </c>
      <c r="C22" s="546">
        <v>50</v>
      </c>
      <c r="D22" s="546" t="s">
        <v>497</v>
      </c>
      <c r="E22" s="546">
        <v>1000025391</v>
      </c>
      <c r="F22" s="546">
        <v>82032000</v>
      </c>
      <c r="G22" s="534"/>
      <c r="H22" s="546">
        <v>18</v>
      </c>
      <c r="I22" s="535"/>
      <c r="J22" s="538" t="s">
        <v>513</v>
      </c>
      <c r="K22" s="546" t="s">
        <v>299</v>
      </c>
      <c r="L22" s="546">
        <v>1</v>
      </c>
      <c r="M22" s="547"/>
      <c r="N22" s="548" t="str">
        <f t="shared" si="8"/>
        <v>INCLUDED</v>
      </c>
      <c r="O22" s="634">
        <f t="shared" si="9"/>
        <v>0</v>
      </c>
      <c r="P22" s="634">
        <f t="shared" si="10"/>
        <v>0</v>
      </c>
      <c r="Q22" s="634">
        <f>Discount!$H$36</f>
        <v>0</v>
      </c>
      <c r="R22" s="639">
        <f t="shared" si="11"/>
        <v>0</v>
      </c>
      <c r="S22" s="639">
        <f t="shared" si="12"/>
        <v>0</v>
      </c>
      <c r="T22" s="749">
        <f t="shared" si="13"/>
        <v>0</v>
      </c>
    </row>
    <row r="23" spans="1:20" ht="47.25">
      <c r="A23" s="536">
        <v>7</v>
      </c>
      <c r="B23" s="546">
        <v>7000016714</v>
      </c>
      <c r="C23" s="546">
        <v>70</v>
      </c>
      <c r="D23" s="546" t="s">
        <v>498</v>
      </c>
      <c r="E23" s="546">
        <v>1000057621</v>
      </c>
      <c r="F23" s="546">
        <v>85371000</v>
      </c>
      <c r="G23" s="534"/>
      <c r="H23" s="546">
        <v>18</v>
      </c>
      <c r="I23" s="535"/>
      <c r="J23" s="538" t="s">
        <v>514</v>
      </c>
      <c r="K23" s="546" t="s">
        <v>299</v>
      </c>
      <c r="L23" s="546">
        <v>2</v>
      </c>
      <c r="M23" s="547"/>
      <c r="N23" s="548" t="str">
        <f t="shared" si="8"/>
        <v>INCLUDED</v>
      </c>
      <c r="O23" s="634">
        <f t="shared" si="9"/>
        <v>0</v>
      </c>
      <c r="P23" s="634">
        <f t="shared" si="10"/>
        <v>0</v>
      </c>
      <c r="Q23" s="634">
        <f>Discount!$H$36</f>
        <v>0</v>
      </c>
      <c r="R23" s="639">
        <f t="shared" si="11"/>
        <v>0</v>
      </c>
      <c r="S23" s="639">
        <f t="shared" si="12"/>
        <v>0</v>
      </c>
      <c r="T23" s="749">
        <f t="shared" si="13"/>
        <v>0</v>
      </c>
    </row>
    <row r="24" spans="1:20" ht="47.25">
      <c r="A24" s="459">
        <v>8</v>
      </c>
      <c r="B24" s="546">
        <v>7000016714</v>
      </c>
      <c r="C24" s="546">
        <v>80</v>
      </c>
      <c r="D24" s="546" t="s">
        <v>486</v>
      </c>
      <c r="E24" s="546">
        <v>1000049683</v>
      </c>
      <c r="F24" s="546">
        <v>72169990</v>
      </c>
      <c r="G24" s="534"/>
      <c r="H24" s="546">
        <v>18</v>
      </c>
      <c r="I24" s="535"/>
      <c r="J24" s="538" t="s">
        <v>515</v>
      </c>
      <c r="K24" s="546" t="s">
        <v>300</v>
      </c>
      <c r="L24" s="546">
        <v>1</v>
      </c>
      <c r="M24" s="547"/>
      <c r="N24" s="548" t="str">
        <f t="shared" si="8"/>
        <v>INCLUDED</v>
      </c>
      <c r="O24" s="634">
        <f t="shared" si="9"/>
        <v>0</v>
      </c>
      <c r="P24" s="634">
        <f t="shared" si="10"/>
        <v>0</v>
      </c>
      <c r="Q24" s="634">
        <f>Discount!$H$36</f>
        <v>0</v>
      </c>
      <c r="R24" s="639">
        <f t="shared" si="11"/>
        <v>0</v>
      </c>
      <c r="S24" s="639">
        <f t="shared" si="12"/>
        <v>0</v>
      </c>
      <c r="T24" s="749">
        <f t="shared" si="13"/>
        <v>0</v>
      </c>
    </row>
    <row r="25" spans="1:20" ht="31.5">
      <c r="A25" s="536">
        <v>9</v>
      </c>
      <c r="B25" s="546">
        <v>7000016714</v>
      </c>
      <c r="C25" s="546">
        <v>90</v>
      </c>
      <c r="D25" s="546" t="s">
        <v>499</v>
      </c>
      <c r="E25" s="546">
        <v>1000025436</v>
      </c>
      <c r="F25" s="546">
        <v>90271000</v>
      </c>
      <c r="G25" s="534"/>
      <c r="H25" s="546">
        <v>18</v>
      </c>
      <c r="I25" s="535"/>
      <c r="J25" s="538" t="s">
        <v>488</v>
      </c>
      <c r="K25" s="546" t="s">
        <v>299</v>
      </c>
      <c r="L25" s="546">
        <v>1</v>
      </c>
      <c r="M25" s="547"/>
      <c r="N25" s="548" t="str">
        <f t="shared" si="8"/>
        <v>INCLUDED</v>
      </c>
      <c r="O25" s="634">
        <f t="shared" si="9"/>
        <v>0</v>
      </c>
      <c r="P25" s="634">
        <f t="shared" si="10"/>
        <v>0</v>
      </c>
      <c r="Q25" s="634">
        <f>Discount!$H$36</f>
        <v>0</v>
      </c>
      <c r="R25" s="639">
        <f t="shared" si="11"/>
        <v>0</v>
      </c>
      <c r="S25" s="639">
        <f t="shared" si="12"/>
        <v>0</v>
      </c>
      <c r="T25" s="749">
        <f t="shared" si="13"/>
        <v>0</v>
      </c>
    </row>
    <row r="26" spans="1:20" ht="31.5">
      <c r="A26" s="459">
        <v>10</v>
      </c>
      <c r="B26" s="546">
        <v>7000016714</v>
      </c>
      <c r="C26" s="546">
        <v>100</v>
      </c>
      <c r="D26" s="546" t="s">
        <v>499</v>
      </c>
      <c r="E26" s="546">
        <v>1000025440</v>
      </c>
      <c r="F26" s="546">
        <v>85389000</v>
      </c>
      <c r="G26" s="534"/>
      <c r="H26" s="546">
        <v>18</v>
      </c>
      <c r="I26" s="535"/>
      <c r="J26" s="538" t="s">
        <v>516</v>
      </c>
      <c r="K26" s="546" t="s">
        <v>300</v>
      </c>
      <c r="L26" s="546">
        <v>1</v>
      </c>
      <c r="M26" s="547"/>
      <c r="N26" s="548" t="str">
        <f t="shared" si="8"/>
        <v>INCLUDED</v>
      </c>
      <c r="O26" s="634">
        <f t="shared" si="9"/>
        <v>0</v>
      </c>
      <c r="P26" s="634">
        <f t="shared" si="10"/>
        <v>0</v>
      </c>
      <c r="Q26" s="634">
        <f>Discount!$H$36</f>
        <v>0</v>
      </c>
      <c r="R26" s="639">
        <f t="shared" si="11"/>
        <v>0</v>
      </c>
      <c r="S26" s="639">
        <f t="shared" si="12"/>
        <v>0</v>
      </c>
      <c r="T26" s="749">
        <f t="shared" si="13"/>
        <v>0</v>
      </c>
    </row>
    <row r="27" spans="1:20" ht="31.5">
      <c r="A27" s="536">
        <v>11</v>
      </c>
      <c r="B27" s="546">
        <v>7000016714</v>
      </c>
      <c r="C27" s="546">
        <v>110</v>
      </c>
      <c r="D27" s="546" t="s">
        <v>499</v>
      </c>
      <c r="E27" s="546">
        <v>1000032132</v>
      </c>
      <c r="F27" s="546">
        <v>85389000</v>
      </c>
      <c r="G27" s="534"/>
      <c r="H27" s="546">
        <v>18</v>
      </c>
      <c r="I27" s="535"/>
      <c r="J27" s="538" t="s">
        <v>487</v>
      </c>
      <c r="K27" s="546" t="s">
        <v>299</v>
      </c>
      <c r="L27" s="546">
        <v>1</v>
      </c>
      <c r="M27" s="547"/>
      <c r="N27" s="548" t="str">
        <f t="shared" si="8"/>
        <v>INCLUDED</v>
      </c>
      <c r="O27" s="634">
        <f t="shared" si="9"/>
        <v>0</v>
      </c>
      <c r="P27" s="634">
        <f t="shared" si="10"/>
        <v>0</v>
      </c>
      <c r="Q27" s="634">
        <f>Discount!$H$36</f>
        <v>0</v>
      </c>
      <c r="R27" s="639">
        <f t="shared" si="11"/>
        <v>0</v>
      </c>
      <c r="S27" s="639">
        <f t="shared" si="12"/>
        <v>0</v>
      </c>
      <c r="T27" s="749">
        <f t="shared" si="13"/>
        <v>0</v>
      </c>
    </row>
    <row r="28" spans="1:20" ht="47.25">
      <c r="A28" s="459">
        <v>12</v>
      </c>
      <c r="B28" s="546">
        <v>7000016714</v>
      </c>
      <c r="C28" s="546">
        <v>120</v>
      </c>
      <c r="D28" s="546" t="s">
        <v>499</v>
      </c>
      <c r="E28" s="546">
        <v>1000025329</v>
      </c>
      <c r="F28" s="546">
        <v>90318000</v>
      </c>
      <c r="G28" s="534"/>
      <c r="H28" s="546">
        <v>18</v>
      </c>
      <c r="I28" s="535"/>
      <c r="J28" s="538" t="s">
        <v>484</v>
      </c>
      <c r="K28" s="546" t="s">
        <v>299</v>
      </c>
      <c r="L28" s="546">
        <v>1</v>
      </c>
      <c r="M28" s="547"/>
      <c r="N28" s="548" t="str">
        <f t="shared" si="8"/>
        <v>INCLUDED</v>
      </c>
      <c r="O28" s="634">
        <f t="shared" si="9"/>
        <v>0</v>
      </c>
      <c r="P28" s="634">
        <f t="shared" si="10"/>
        <v>0</v>
      </c>
      <c r="Q28" s="634">
        <f>Discount!$H$36</f>
        <v>0</v>
      </c>
      <c r="R28" s="639">
        <f t="shared" si="11"/>
        <v>0</v>
      </c>
      <c r="S28" s="639">
        <f t="shared" si="12"/>
        <v>0</v>
      </c>
      <c r="T28" s="749">
        <f t="shared" si="13"/>
        <v>0</v>
      </c>
    </row>
    <row r="29" spans="1:20" ht="31.5">
      <c r="A29" s="536">
        <v>13</v>
      </c>
      <c r="B29" s="546">
        <v>7000016714</v>
      </c>
      <c r="C29" s="546">
        <v>130</v>
      </c>
      <c r="D29" s="546" t="s">
        <v>500</v>
      </c>
      <c r="E29" s="546">
        <v>1000004401</v>
      </c>
      <c r="F29" s="546">
        <v>85462040</v>
      </c>
      <c r="G29" s="534"/>
      <c r="H29" s="546">
        <v>18</v>
      </c>
      <c r="I29" s="535"/>
      <c r="J29" s="538" t="s">
        <v>517</v>
      </c>
      <c r="K29" s="546" t="s">
        <v>299</v>
      </c>
      <c r="L29" s="546">
        <v>8</v>
      </c>
      <c r="M29" s="547"/>
      <c r="N29" s="548" t="str">
        <f t="shared" si="8"/>
        <v>INCLUDED</v>
      </c>
      <c r="O29" s="634">
        <f t="shared" si="9"/>
        <v>0</v>
      </c>
      <c r="P29" s="634">
        <f t="shared" si="10"/>
        <v>0</v>
      </c>
      <c r="Q29" s="634">
        <f>Discount!$H$36</f>
        <v>0</v>
      </c>
      <c r="R29" s="639">
        <f t="shared" si="11"/>
        <v>0</v>
      </c>
      <c r="S29" s="639">
        <f t="shared" si="12"/>
        <v>0</v>
      </c>
      <c r="T29" s="749">
        <f t="shared" si="13"/>
        <v>0</v>
      </c>
    </row>
    <row r="30" spans="1:20">
      <c r="A30" s="459">
        <v>14</v>
      </c>
      <c r="B30" s="546">
        <v>7000016714</v>
      </c>
      <c r="C30" s="546">
        <v>140</v>
      </c>
      <c r="D30" s="546" t="s">
        <v>501</v>
      </c>
      <c r="E30" s="546">
        <v>1000031964</v>
      </c>
      <c r="F30" s="546">
        <v>85446020</v>
      </c>
      <c r="G30" s="534"/>
      <c r="H30" s="546">
        <v>18</v>
      </c>
      <c r="I30" s="535"/>
      <c r="J30" s="538" t="s">
        <v>518</v>
      </c>
      <c r="K30" s="546" t="s">
        <v>301</v>
      </c>
      <c r="L30" s="546">
        <v>2.9</v>
      </c>
      <c r="M30" s="547"/>
      <c r="N30" s="548" t="str">
        <f t="shared" si="8"/>
        <v>INCLUDED</v>
      </c>
      <c r="O30" s="634">
        <f t="shared" si="9"/>
        <v>0</v>
      </c>
      <c r="P30" s="634">
        <f t="shared" si="10"/>
        <v>0</v>
      </c>
      <c r="Q30" s="634">
        <f>Discount!$H$36</f>
        <v>0</v>
      </c>
      <c r="R30" s="639">
        <f t="shared" si="11"/>
        <v>0</v>
      </c>
      <c r="S30" s="639">
        <f t="shared" si="12"/>
        <v>0</v>
      </c>
      <c r="T30" s="749">
        <f t="shared" si="13"/>
        <v>0</v>
      </c>
    </row>
    <row r="31" spans="1:20">
      <c r="A31" s="536">
        <v>15</v>
      </c>
      <c r="B31" s="546">
        <v>7000016714</v>
      </c>
      <c r="C31" s="546">
        <v>150</v>
      </c>
      <c r="D31" s="546" t="s">
        <v>501</v>
      </c>
      <c r="E31" s="546">
        <v>1000031987</v>
      </c>
      <c r="F31" s="546">
        <v>85446020</v>
      </c>
      <c r="G31" s="534"/>
      <c r="H31" s="546">
        <v>18</v>
      </c>
      <c r="I31" s="535"/>
      <c r="J31" s="538" t="s">
        <v>519</v>
      </c>
      <c r="K31" s="546" t="s">
        <v>301</v>
      </c>
      <c r="L31" s="546">
        <v>1.8</v>
      </c>
      <c r="M31" s="547"/>
      <c r="N31" s="548" t="str">
        <f t="shared" si="8"/>
        <v>INCLUDED</v>
      </c>
      <c r="O31" s="634">
        <f t="shared" si="9"/>
        <v>0</v>
      </c>
      <c r="P31" s="634">
        <f t="shared" si="10"/>
        <v>0</v>
      </c>
      <c r="Q31" s="634">
        <f>Discount!$H$36</f>
        <v>0</v>
      </c>
      <c r="R31" s="639">
        <f t="shared" si="11"/>
        <v>0</v>
      </c>
      <c r="S31" s="639">
        <f t="shared" si="12"/>
        <v>0</v>
      </c>
      <c r="T31" s="749">
        <f t="shared" si="13"/>
        <v>0</v>
      </c>
    </row>
    <row r="32" spans="1:20">
      <c r="A32" s="459">
        <v>16</v>
      </c>
      <c r="B32" s="546">
        <v>7000016714</v>
      </c>
      <c r="C32" s="546">
        <v>160</v>
      </c>
      <c r="D32" s="546" t="s">
        <v>501</v>
      </c>
      <c r="E32" s="546">
        <v>1000031887</v>
      </c>
      <c r="F32" s="546">
        <v>85446020</v>
      </c>
      <c r="G32" s="534"/>
      <c r="H32" s="546">
        <v>18</v>
      </c>
      <c r="I32" s="535"/>
      <c r="J32" s="538" t="s">
        <v>520</v>
      </c>
      <c r="K32" s="546" t="s">
        <v>301</v>
      </c>
      <c r="L32" s="546">
        <v>1.3</v>
      </c>
      <c r="M32" s="547"/>
      <c r="N32" s="548" t="str">
        <f t="shared" si="8"/>
        <v>INCLUDED</v>
      </c>
      <c r="O32" s="634">
        <f t="shared" si="9"/>
        <v>0</v>
      </c>
      <c r="P32" s="634">
        <f t="shared" si="10"/>
        <v>0</v>
      </c>
      <c r="Q32" s="634">
        <f>Discount!$H$36</f>
        <v>0</v>
      </c>
      <c r="R32" s="639">
        <f t="shared" si="11"/>
        <v>0</v>
      </c>
      <c r="S32" s="639">
        <f t="shared" si="12"/>
        <v>0</v>
      </c>
      <c r="T32" s="749">
        <f t="shared" si="13"/>
        <v>0</v>
      </c>
    </row>
    <row r="33" spans="1:20">
      <c r="A33" s="536">
        <v>17</v>
      </c>
      <c r="B33" s="546">
        <v>7000016714</v>
      </c>
      <c r="C33" s="546">
        <v>170</v>
      </c>
      <c r="D33" s="546" t="s">
        <v>501</v>
      </c>
      <c r="E33" s="546">
        <v>1000056264</v>
      </c>
      <c r="F33" s="546">
        <v>85446020</v>
      </c>
      <c r="G33" s="534"/>
      <c r="H33" s="546">
        <v>18</v>
      </c>
      <c r="I33" s="535"/>
      <c r="J33" s="538" t="s">
        <v>521</v>
      </c>
      <c r="K33" s="546" t="s">
        <v>301</v>
      </c>
      <c r="L33" s="546">
        <v>1.5</v>
      </c>
      <c r="M33" s="547"/>
      <c r="N33" s="548" t="str">
        <f t="shared" si="8"/>
        <v>INCLUDED</v>
      </c>
      <c r="O33" s="634">
        <f t="shared" si="9"/>
        <v>0</v>
      </c>
      <c r="P33" s="634">
        <f t="shared" si="10"/>
        <v>0</v>
      </c>
      <c r="Q33" s="634">
        <f>Discount!$H$36</f>
        <v>0</v>
      </c>
      <c r="R33" s="639">
        <f t="shared" si="11"/>
        <v>0</v>
      </c>
      <c r="S33" s="639">
        <f t="shared" si="12"/>
        <v>0</v>
      </c>
      <c r="T33" s="749">
        <f t="shared" si="13"/>
        <v>0</v>
      </c>
    </row>
    <row r="34" spans="1:20">
      <c r="A34" s="459">
        <v>18</v>
      </c>
      <c r="B34" s="546">
        <v>7000016714</v>
      </c>
      <c r="C34" s="546">
        <v>180</v>
      </c>
      <c r="D34" s="546" t="s">
        <v>502</v>
      </c>
      <c r="E34" s="546">
        <v>1000031957</v>
      </c>
      <c r="F34" s="546">
        <v>85446020</v>
      </c>
      <c r="G34" s="534"/>
      <c r="H34" s="546">
        <v>18</v>
      </c>
      <c r="I34" s="535"/>
      <c r="J34" s="538" t="s">
        <v>522</v>
      </c>
      <c r="K34" s="546" t="s">
        <v>301</v>
      </c>
      <c r="L34" s="546">
        <v>2</v>
      </c>
      <c r="M34" s="547"/>
      <c r="N34" s="548" t="str">
        <f t="shared" si="8"/>
        <v>INCLUDED</v>
      </c>
      <c r="O34" s="634">
        <f t="shared" si="9"/>
        <v>0</v>
      </c>
      <c r="P34" s="634">
        <f t="shared" si="10"/>
        <v>0</v>
      </c>
      <c r="Q34" s="634">
        <f>Discount!$H$36</f>
        <v>0</v>
      </c>
      <c r="R34" s="639">
        <f t="shared" si="11"/>
        <v>0</v>
      </c>
      <c r="S34" s="639">
        <f t="shared" si="12"/>
        <v>0</v>
      </c>
      <c r="T34" s="749">
        <f t="shared" si="13"/>
        <v>0</v>
      </c>
    </row>
    <row r="35" spans="1:20">
      <c r="A35" s="536">
        <v>19</v>
      </c>
      <c r="B35" s="546">
        <v>7000016714</v>
      </c>
      <c r="C35" s="546">
        <v>190</v>
      </c>
      <c r="D35" s="546" t="s">
        <v>502</v>
      </c>
      <c r="E35" s="546">
        <v>1000031953</v>
      </c>
      <c r="F35" s="546">
        <v>85446020</v>
      </c>
      <c r="G35" s="534"/>
      <c r="H35" s="546">
        <v>18</v>
      </c>
      <c r="I35" s="535"/>
      <c r="J35" s="538" t="s">
        <v>523</v>
      </c>
      <c r="K35" s="546" t="s">
        <v>301</v>
      </c>
      <c r="L35" s="546">
        <v>2</v>
      </c>
      <c r="M35" s="547"/>
      <c r="N35" s="548" t="str">
        <f t="shared" si="8"/>
        <v>INCLUDED</v>
      </c>
      <c r="O35" s="634">
        <f t="shared" si="9"/>
        <v>0</v>
      </c>
      <c r="P35" s="634">
        <f t="shared" si="10"/>
        <v>0</v>
      </c>
      <c r="Q35" s="634">
        <f>Discount!$H$36</f>
        <v>0</v>
      </c>
      <c r="R35" s="639">
        <f t="shared" si="11"/>
        <v>0</v>
      </c>
      <c r="S35" s="639">
        <f t="shared" si="12"/>
        <v>0</v>
      </c>
      <c r="T35" s="749">
        <f t="shared" si="13"/>
        <v>0</v>
      </c>
    </row>
    <row r="36" spans="1:20">
      <c r="A36" s="459">
        <v>20</v>
      </c>
      <c r="B36" s="546">
        <v>7000016714</v>
      </c>
      <c r="C36" s="546">
        <v>200</v>
      </c>
      <c r="D36" s="546" t="s">
        <v>502</v>
      </c>
      <c r="E36" s="546">
        <v>1000031976</v>
      </c>
      <c r="F36" s="546">
        <v>85446020</v>
      </c>
      <c r="G36" s="534"/>
      <c r="H36" s="546">
        <v>18</v>
      </c>
      <c r="I36" s="535"/>
      <c r="J36" s="538" t="s">
        <v>524</v>
      </c>
      <c r="K36" s="546" t="s">
        <v>301</v>
      </c>
      <c r="L36" s="546">
        <v>2</v>
      </c>
      <c r="M36" s="547"/>
      <c r="N36" s="548" t="str">
        <f t="shared" si="8"/>
        <v>INCLUDED</v>
      </c>
      <c r="O36" s="634">
        <f t="shared" si="9"/>
        <v>0</v>
      </c>
      <c r="P36" s="634">
        <f t="shared" si="10"/>
        <v>0</v>
      </c>
      <c r="Q36" s="634">
        <f>Discount!$H$36</f>
        <v>0</v>
      </c>
      <c r="R36" s="639">
        <f t="shared" si="11"/>
        <v>0</v>
      </c>
      <c r="S36" s="639">
        <f t="shared" si="12"/>
        <v>0</v>
      </c>
      <c r="T36" s="749">
        <f t="shared" si="13"/>
        <v>0</v>
      </c>
    </row>
    <row r="37" spans="1:20">
      <c r="A37" s="536">
        <v>21</v>
      </c>
      <c r="B37" s="546">
        <v>7000016714</v>
      </c>
      <c r="C37" s="546">
        <v>210</v>
      </c>
      <c r="D37" s="546" t="s">
        <v>502</v>
      </c>
      <c r="E37" s="546">
        <v>1000031985</v>
      </c>
      <c r="F37" s="546">
        <v>85446020</v>
      </c>
      <c r="G37" s="534"/>
      <c r="H37" s="546">
        <v>18</v>
      </c>
      <c r="I37" s="535"/>
      <c r="J37" s="538" t="s">
        <v>525</v>
      </c>
      <c r="K37" s="546" t="s">
        <v>301</v>
      </c>
      <c r="L37" s="546">
        <v>4</v>
      </c>
      <c r="M37" s="547"/>
      <c r="N37" s="548" t="str">
        <f t="shared" si="8"/>
        <v>INCLUDED</v>
      </c>
      <c r="O37" s="634">
        <f t="shared" si="9"/>
        <v>0</v>
      </c>
      <c r="P37" s="634">
        <f t="shared" si="10"/>
        <v>0</v>
      </c>
      <c r="Q37" s="634">
        <f>Discount!$H$36</f>
        <v>0</v>
      </c>
      <c r="R37" s="639">
        <f t="shared" si="11"/>
        <v>0</v>
      </c>
      <c r="S37" s="639">
        <f t="shared" si="12"/>
        <v>0</v>
      </c>
      <c r="T37" s="749">
        <f t="shared" si="13"/>
        <v>0</v>
      </c>
    </row>
    <row r="38" spans="1:20">
      <c r="A38" s="459">
        <v>22</v>
      </c>
      <c r="B38" s="546">
        <v>7000016714</v>
      </c>
      <c r="C38" s="546">
        <v>220</v>
      </c>
      <c r="D38" s="546" t="s">
        <v>502</v>
      </c>
      <c r="E38" s="546">
        <v>1000031943</v>
      </c>
      <c r="F38" s="546">
        <v>85446020</v>
      </c>
      <c r="G38" s="534"/>
      <c r="H38" s="546">
        <v>18</v>
      </c>
      <c r="I38" s="535"/>
      <c r="J38" s="538" t="s">
        <v>526</v>
      </c>
      <c r="K38" s="546" t="s">
        <v>301</v>
      </c>
      <c r="L38" s="546">
        <v>0.5</v>
      </c>
      <c r="M38" s="547"/>
      <c r="N38" s="548" t="str">
        <f t="shared" si="8"/>
        <v>INCLUDED</v>
      </c>
      <c r="O38" s="634">
        <f t="shared" si="9"/>
        <v>0</v>
      </c>
      <c r="P38" s="634">
        <f t="shared" si="10"/>
        <v>0</v>
      </c>
      <c r="Q38" s="634">
        <f>Discount!$H$36</f>
        <v>0</v>
      </c>
      <c r="R38" s="639">
        <f t="shared" si="11"/>
        <v>0</v>
      </c>
      <c r="S38" s="639">
        <f t="shared" si="12"/>
        <v>0</v>
      </c>
      <c r="T38" s="749">
        <f t="shared" si="13"/>
        <v>0</v>
      </c>
    </row>
    <row r="39" spans="1:20">
      <c r="A39" s="536">
        <v>23</v>
      </c>
      <c r="B39" s="546">
        <v>7000016714</v>
      </c>
      <c r="C39" s="546">
        <v>230</v>
      </c>
      <c r="D39" s="546" t="s">
        <v>503</v>
      </c>
      <c r="E39" s="546">
        <v>1000014547</v>
      </c>
      <c r="F39" s="546">
        <v>85371000</v>
      </c>
      <c r="G39" s="534"/>
      <c r="H39" s="546">
        <v>18</v>
      </c>
      <c r="I39" s="535"/>
      <c r="J39" s="538" t="s">
        <v>527</v>
      </c>
      <c r="K39" s="546" t="s">
        <v>299</v>
      </c>
      <c r="L39" s="546">
        <v>1</v>
      </c>
      <c r="M39" s="547"/>
      <c r="N39" s="548" t="str">
        <f t="shared" si="8"/>
        <v>INCLUDED</v>
      </c>
      <c r="O39" s="634">
        <f t="shared" si="9"/>
        <v>0</v>
      </c>
      <c r="P39" s="634">
        <f t="shared" si="10"/>
        <v>0</v>
      </c>
      <c r="Q39" s="634">
        <f>Discount!$H$36</f>
        <v>0</v>
      </c>
      <c r="R39" s="639">
        <f t="shared" si="11"/>
        <v>0</v>
      </c>
      <c r="S39" s="639">
        <f t="shared" si="12"/>
        <v>0</v>
      </c>
      <c r="T39" s="749">
        <f t="shared" si="13"/>
        <v>0</v>
      </c>
    </row>
    <row r="40" spans="1:20" ht="31.5">
      <c r="A40" s="459">
        <v>24</v>
      </c>
      <c r="B40" s="546">
        <v>7000016714</v>
      </c>
      <c r="C40" s="546">
        <v>240</v>
      </c>
      <c r="D40" s="546" t="s">
        <v>503</v>
      </c>
      <c r="E40" s="546">
        <v>1000020262</v>
      </c>
      <c r="F40" s="546">
        <v>85371000</v>
      </c>
      <c r="G40" s="534"/>
      <c r="H40" s="546">
        <v>18</v>
      </c>
      <c r="I40" s="535"/>
      <c r="J40" s="538" t="s">
        <v>528</v>
      </c>
      <c r="K40" s="546" t="s">
        <v>299</v>
      </c>
      <c r="L40" s="546">
        <v>2</v>
      </c>
      <c r="M40" s="547"/>
      <c r="N40" s="548" t="str">
        <f t="shared" si="8"/>
        <v>INCLUDED</v>
      </c>
      <c r="O40" s="634">
        <f t="shared" si="9"/>
        <v>0</v>
      </c>
      <c r="P40" s="634">
        <f t="shared" si="10"/>
        <v>0</v>
      </c>
      <c r="Q40" s="634">
        <f>Discount!$H$36</f>
        <v>0</v>
      </c>
      <c r="R40" s="639">
        <f t="shared" si="11"/>
        <v>0</v>
      </c>
      <c r="S40" s="639">
        <f t="shared" si="12"/>
        <v>0</v>
      </c>
      <c r="T40" s="749">
        <f t="shared" si="13"/>
        <v>0</v>
      </c>
    </row>
    <row r="41" spans="1:20" ht="31.5">
      <c r="A41" s="536">
        <v>25</v>
      </c>
      <c r="B41" s="546">
        <v>7000016714</v>
      </c>
      <c r="C41" s="546">
        <v>250</v>
      </c>
      <c r="D41" s="546" t="s">
        <v>503</v>
      </c>
      <c r="E41" s="546">
        <v>1000038039</v>
      </c>
      <c r="F41" s="546">
        <v>94051090</v>
      </c>
      <c r="G41" s="534"/>
      <c r="H41" s="546">
        <v>18</v>
      </c>
      <c r="I41" s="535"/>
      <c r="J41" s="538" t="s">
        <v>529</v>
      </c>
      <c r="K41" s="546" t="s">
        <v>299</v>
      </c>
      <c r="L41" s="546">
        <v>4</v>
      </c>
      <c r="M41" s="547"/>
      <c r="N41" s="548" t="str">
        <f t="shared" si="8"/>
        <v>INCLUDED</v>
      </c>
      <c r="O41" s="634">
        <f t="shared" si="9"/>
        <v>0</v>
      </c>
      <c r="P41" s="634">
        <f t="shared" si="10"/>
        <v>0</v>
      </c>
      <c r="Q41" s="634">
        <f>Discount!$H$36</f>
        <v>0</v>
      </c>
      <c r="R41" s="639">
        <f t="shared" si="11"/>
        <v>0</v>
      </c>
      <c r="S41" s="639">
        <f t="shared" si="12"/>
        <v>0</v>
      </c>
      <c r="T41" s="749">
        <f t="shared" si="13"/>
        <v>0</v>
      </c>
    </row>
    <row r="42" spans="1:20" ht="31.5">
      <c r="A42" s="459">
        <v>26</v>
      </c>
      <c r="B42" s="546">
        <v>7000016714</v>
      </c>
      <c r="C42" s="546">
        <v>260</v>
      </c>
      <c r="D42" s="546" t="s">
        <v>503</v>
      </c>
      <c r="E42" s="546">
        <v>1000038325</v>
      </c>
      <c r="F42" s="546">
        <v>94059900</v>
      </c>
      <c r="G42" s="534"/>
      <c r="H42" s="546">
        <v>18</v>
      </c>
      <c r="I42" s="535"/>
      <c r="J42" s="538" t="s">
        <v>530</v>
      </c>
      <c r="K42" s="546" t="s">
        <v>299</v>
      </c>
      <c r="L42" s="546">
        <v>4</v>
      </c>
      <c r="M42" s="547"/>
      <c r="N42" s="548" t="str">
        <f t="shared" si="8"/>
        <v>INCLUDED</v>
      </c>
      <c r="O42" s="634">
        <f t="shared" si="9"/>
        <v>0</v>
      </c>
      <c r="P42" s="634">
        <f t="shared" si="10"/>
        <v>0</v>
      </c>
      <c r="Q42" s="634">
        <f>Discount!$H$36</f>
        <v>0</v>
      </c>
      <c r="R42" s="639">
        <f t="shared" si="11"/>
        <v>0</v>
      </c>
      <c r="S42" s="639">
        <f t="shared" si="12"/>
        <v>0</v>
      </c>
      <c r="T42" s="749">
        <f t="shared" si="13"/>
        <v>0</v>
      </c>
    </row>
    <row r="43" spans="1:20" ht="31.5">
      <c r="A43" s="536">
        <v>27</v>
      </c>
      <c r="B43" s="546">
        <v>7000016714</v>
      </c>
      <c r="C43" s="546">
        <v>270</v>
      </c>
      <c r="D43" s="546" t="s">
        <v>504</v>
      </c>
      <c r="E43" s="546">
        <v>1000058332</v>
      </c>
      <c r="F43" s="546">
        <v>85359030</v>
      </c>
      <c r="G43" s="534"/>
      <c r="H43" s="546">
        <v>18</v>
      </c>
      <c r="I43" s="535"/>
      <c r="J43" s="538" t="s">
        <v>531</v>
      </c>
      <c r="K43" s="546" t="s">
        <v>299</v>
      </c>
      <c r="L43" s="546">
        <v>1</v>
      </c>
      <c r="M43" s="547"/>
      <c r="N43" s="548" t="str">
        <f t="shared" si="8"/>
        <v>INCLUDED</v>
      </c>
      <c r="O43" s="634">
        <f t="shared" si="9"/>
        <v>0</v>
      </c>
      <c r="P43" s="634">
        <f t="shared" si="10"/>
        <v>0</v>
      </c>
      <c r="Q43" s="634">
        <f>Discount!$H$36</f>
        <v>0</v>
      </c>
      <c r="R43" s="639">
        <f t="shared" si="11"/>
        <v>0</v>
      </c>
      <c r="S43" s="639">
        <f t="shared" si="12"/>
        <v>0</v>
      </c>
      <c r="T43" s="749">
        <f t="shared" si="13"/>
        <v>0</v>
      </c>
    </row>
    <row r="44" spans="1:20" ht="47.25">
      <c r="A44" s="459">
        <v>28</v>
      </c>
      <c r="B44" s="546">
        <v>7000016714</v>
      </c>
      <c r="C44" s="546">
        <v>280</v>
      </c>
      <c r="D44" s="546" t="s">
        <v>504</v>
      </c>
      <c r="E44" s="546">
        <v>1000049817</v>
      </c>
      <c r="F44" s="546">
        <v>85359030</v>
      </c>
      <c r="G44" s="534"/>
      <c r="H44" s="546">
        <v>18</v>
      </c>
      <c r="I44" s="535"/>
      <c r="J44" s="538" t="s">
        <v>532</v>
      </c>
      <c r="K44" s="546" t="s">
        <v>300</v>
      </c>
      <c r="L44" s="546">
        <v>2</v>
      </c>
      <c r="M44" s="547"/>
      <c r="N44" s="548" t="str">
        <f t="shared" si="8"/>
        <v>INCLUDED</v>
      </c>
      <c r="O44" s="634">
        <f t="shared" si="9"/>
        <v>0</v>
      </c>
      <c r="P44" s="634">
        <f t="shared" si="10"/>
        <v>0</v>
      </c>
      <c r="Q44" s="634">
        <f>Discount!$H$36</f>
        <v>0</v>
      </c>
      <c r="R44" s="639">
        <f t="shared" si="11"/>
        <v>0</v>
      </c>
      <c r="S44" s="639">
        <f t="shared" si="12"/>
        <v>0</v>
      </c>
      <c r="T44" s="749">
        <f t="shared" si="13"/>
        <v>0</v>
      </c>
    </row>
    <row r="45" spans="1:20" ht="47.25">
      <c r="A45" s="536">
        <v>29</v>
      </c>
      <c r="B45" s="546">
        <v>7000016714</v>
      </c>
      <c r="C45" s="546">
        <v>290</v>
      </c>
      <c r="D45" s="546" t="s">
        <v>504</v>
      </c>
      <c r="E45" s="546">
        <v>1000049753</v>
      </c>
      <c r="F45" s="546">
        <v>85359030</v>
      </c>
      <c r="G45" s="534"/>
      <c r="H45" s="546">
        <v>18</v>
      </c>
      <c r="I45" s="535"/>
      <c r="J45" s="538" t="s">
        <v>533</v>
      </c>
      <c r="K45" s="546" t="s">
        <v>300</v>
      </c>
      <c r="L45" s="546">
        <v>1</v>
      </c>
      <c r="M45" s="547"/>
      <c r="N45" s="548" t="str">
        <f t="shared" si="8"/>
        <v>INCLUDED</v>
      </c>
      <c r="O45" s="634">
        <f t="shared" si="9"/>
        <v>0</v>
      </c>
      <c r="P45" s="634">
        <f t="shared" si="10"/>
        <v>0</v>
      </c>
      <c r="Q45" s="634">
        <f>Discount!$H$36</f>
        <v>0</v>
      </c>
      <c r="R45" s="639">
        <f t="shared" si="11"/>
        <v>0</v>
      </c>
      <c r="S45" s="639">
        <f t="shared" si="12"/>
        <v>0</v>
      </c>
      <c r="T45" s="749">
        <f t="shared" si="13"/>
        <v>0</v>
      </c>
    </row>
    <row r="46" spans="1:20" ht="47.25">
      <c r="A46" s="459">
        <v>30</v>
      </c>
      <c r="B46" s="546">
        <v>7000016714</v>
      </c>
      <c r="C46" s="546">
        <v>300</v>
      </c>
      <c r="D46" s="546" t="s">
        <v>504</v>
      </c>
      <c r="E46" s="546">
        <v>1000049762</v>
      </c>
      <c r="F46" s="546">
        <v>85359030</v>
      </c>
      <c r="G46" s="534"/>
      <c r="H46" s="546">
        <v>18</v>
      </c>
      <c r="I46" s="535"/>
      <c r="J46" s="538" t="s">
        <v>534</v>
      </c>
      <c r="K46" s="546" t="s">
        <v>300</v>
      </c>
      <c r="L46" s="546">
        <v>2</v>
      </c>
      <c r="M46" s="547"/>
      <c r="N46" s="548" t="str">
        <f t="shared" si="8"/>
        <v>INCLUDED</v>
      </c>
      <c r="O46" s="634">
        <f t="shared" si="9"/>
        <v>0</v>
      </c>
      <c r="P46" s="634">
        <f t="shared" si="10"/>
        <v>0</v>
      </c>
      <c r="Q46" s="634">
        <f>Discount!$H$36</f>
        <v>0</v>
      </c>
      <c r="R46" s="639">
        <f t="shared" si="11"/>
        <v>0</v>
      </c>
      <c r="S46" s="639">
        <f t="shared" si="12"/>
        <v>0</v>
      </c>
      <c r="T46" s="749">
        <f t="shared" si="13"/>
        <v>0</v>
      </c>
    </row>
    <row r="47" spans="1:20" ht="31.5">
      <c r="A47" s="536">
        <v>31</v>
      </c>
      <c r="B47" s="546">
        <v>7000016714</v>
      </c>
      <c r="C47" s="546">
        <v>310</v>
      </c>
      <c r="D47" s="546" t="s">
        <v>504</v>
      </c>
      <c r="E47" s="546">
        <v>1000058330</v>
      </c>
      <c r="F47" s="546">
        <v>85359030</v>
      </c>
      <c r="G47" s="534"/>
      <c r="H47" s="546">
        <v>18</v>
      </c>
      <c r="I47" s="535"/>
      <c r="J47" s="538" t="s">
        <v>535</v>
      </c>
      <c r="K47" s="546" t="s">
        <v>300</v>
      </c>
      <c r="L47" s="546">
        <v>1</v>
      </c>
      <c r="M47" s="547"/>
      <c r="N47" s="548" t="str">
        <f t="shared" si="8"/>
        <v>INCLUDED</v>
      </c>
      <c r="O47" s="634">
        <f t="shared" si="9"/>
        <v>0</v>
      </c>
      <c r="P47" s="634">
        <f t="shared" si="10"/>
        <v>0</v>
      </c>
      <c r="Q47" s="634">
        <f>Discount!$H$36</f>
        <v>0</v>
      </c>
      <c r="R47" s="639">
        <f t="shared" si="11"/>
        <v>0</v>
      </c>
      <c r="S47" s="639">
        <f t="shared" si="12"/>
        <v>0</v>
      </c>
      <c r="T47" s="749">
        <f t="shared" si="13"/>
        <v>0</v>
      </c>
    </row>
    <row r="48" spans="1:20" ht="31.5">
      <c r="A48" s="459">
        <v>32</v>
      </c>
      <c r="B48" s="546">
        <v>7000016714</v>
      </c>
      <c r="C48" s="546">
        <v>320</v>
      </c>
      <c r="D48" s="546" t="s">
        <v>504</v>
      </c>
      <c r="E48" s="546">
        <v>1000049750</v>
      </c>
      <c r="F48" s="546">
        <v>85359030</v>
      </c>
      <c r="G48" s="534"/>
      <c r="H48" s="546">
        <v>18</v>
      </c>
      <c r="I48" s="535"/>
      <c r="J48" s="538" t="s">
        <v>536</v>
      </c>
      <c r="K48" s="546" t="s">
        <v>300</v>
      </c>
      <c r="L48" s="546">
        <v>2</v>
      </c>
      <c r="M48" s="547"/>
      <c r="N48" s="548" t="str">
        <f t="shared" si="8"/>
        <v>INCLUDED</v>
      </c>
      <c r="O48" s="634">
        <f t="shared" si="9"/>
        <v>0</v>
      </c>
      <c r="P48" s="634">
        <f t="shared" si="10"/>
        <v>0</v>
      </c>
      <c r="Q48" s="634">
        <f>Discount!$H$36</f>
        <v>0</v>
      </c>
      <c r="R48" s="639">
        <f t="shared" si="11"/>
        <v>0</v>
      </c>
      <c r="S48" s="639">
        <f t="shared" si="12"/>
        <v>0</v>
      </c>
      <c r="T48" s="749">
        <f t="shared" si="13"/>
        <v>0</v>
      </c>
    </row>
    <row r="49" spans="1:20">
      <c r="A49" s="536">
        <v>33</v>
      </c>
      <c r="B49" s="546">
        <v>7000016714</v>
      </c>
      <c r="C49" s="546">
        <v>330</v>
      </c>
      <c r="D49" s="546" t="s">
        <v>504</v>
      </c>
      <c r="E49" s="546">
        <v>1000058331</v>
      </c>
      <c r="F49" s="546">
        <v>85359030</v>
      </c>
      <c r="G49" s="534"/>
      <c r="H49" s="546">
        <v>18</v>
      </c>
      <c r="I49" s="535"/>
      <c r="J49" s="538" t="s">
        <v>537</v>
      </c>
      <c r="K49" s="546" t="s">
        <v>538</v>
      </c>
      <c r="L49" s="546">
        <v>1</v>
      </c>
      <c r="M49" s="547"/>
      <c r="N49" s="548" t="str">
        <f t="shared" si="8"/>
        <v>INCLUDED</v>
      </c>
      <c r="O49" s="634">
        <f t="shared" si="9"/>
        <v>0</v>
      </c>
      <c r="P49" s="634">
        <f t="shared" si="10"/>
        <v>0</v>
      </c>
      <c r="Q49" s="634">
        <f>Discount!$H$36</f>
        <v>0</v>
      </c>
      <c r="R49" s="639">
        <f t="shared" si="11"/>
        <v>0</v>
      </c>
      <c r="S49" s="639">
        <f t="shared" si="12"/>
        <v>0</v>
      </c>
      <c r="T49" s="749">
        <f t="shared" si="13"/>
        <v>0</v>
      </c>
    </row>
    <row r="50" spans="1:20" ht="78.75">
      <c r="A50" s="459">
        <v>34</v>
      </c>
      <c r="B50" s="546">
        <v>7000016714</v>
      </c>
      <c r="C50" s="546">
        <v>340</v>
      </c>
      <c r="D50" s="546" t="s">
        <v>504</v>
      </c>
      <c r="E50" s="546">
        <v>1000049783</v>
      </c>
      <c r="F50" s="546">
        <v>85359030</v>
      </c>
      <c r="G50" s="534"/>
      <c r="H50" s="546">
        <v>18</v>
      </c>
      <c r="I50" s="535"/>
      <c r="J50" s="538" t="s">
        <v>539</v>
      </c>
      <c r="K50" s="546" t="s">
        <v>300</v>
      </c>
      <c r="L50" s="546">
        <v>2</v>
      </c>
      <c r="M50" s="547"/>
      <c r="N50" s="548" t="str">
        <f t="shared" si="8"/>
        <v>INCLUDED</v>
      </c>
      <c r="O50" s="634">
        <f t="shared" si="9"/>
        <v>0</v>
      </c>
      <c r="P50" s="634">
        <f t="shared" si="10"/>
        <v>0</v>
      </c>
      <c r="Q50" s="634">
        <f>Discount!$H$36</f>
        <v>0</v>
      </c>
      <c r="R50" s="639">
        <f t="shared" si="11"/>
        <v>0</v>
      </c>
      <c r="S50" s="639">
        <f t="shared" si="12"/>
        <v>0</v>
      </c>
      <c r="T50" s="749">
        <f t="shared" si="13"/>
        <v>0</v>
      </c>
    </row>
    <row r="51" spans="1:20" ht="31.5">
      <c r="A51" s="536">
        <v>35</v>
      </c>
      <c r="B51" s="546">
        <v>7000016714</v>
      </c>
      <c r="C51" s="546">
        <v>350</v>
      </c>
      <c r="D51" s="546" t="s">
        <v>504</v>
      </c>
      <c r="E51" s="546">
        <v>1000049505</v>
      </c>
      <c r="F51" s="546">
        <v>85359030</v>
      </c>
      <c r="G51" s="534"/>
      <c r="H51" s="546">
        <v>18</v>
      </c>
      <c r="I51" s="535"/>
      <c r="J51" s="538" t="s">
        <v>540</v>
      </c>
      <c r="K51" s="546" t="s">
        <v>299</v>
      </c>
      <c r="L51" s="546">
        <v>3</v>
      </c>
      <c r="M51" s="547"/>
      <c r="N51" s="548" t="str">
        <f t="shared" si="8"/>
        <v>INCLUDED</v>
      </c>
      <c r="O51" s="634">
        <f t="shared" si="9"/>
        <v>0</v>
      </c>
      <c r="P51" s="634">
        <f t="shared" si="10"/>
        <v>0</v>
      </c>
      <c r="Q51" s="634">
        <f>Discount!$H$36</f>
        <v>0</v>
      </c>
      <c r="R51" s="639">
        <f t="shared" si="11"/>
        <v>0</v>
      </c>
      <c r="S51" s="639">
        <f t="shared" si="12"/>
        <v>0</v>
      </c>
      <c r="T51" s="749">
        <f t="shared" si="13"/>
        <v>0</v>
      </c>
    </row>
    <row r="52" spans="1:20" s="759" customFormat="1" ht="63">
      <c r="A52" s="459">
        <v>36</v>
      </c>
      <c r="B52" s="753">
        <v>7000016714</v>
      </c>
      <c r="C52" s="753">
        <v>360</v>
      </c>
      <c r="D52" s="753" t="s">
        <v>504</v>
      </c>
      <c r="E52" s="753">
        <v>1000058334</v>
      </c>
      <c r="F52" s="753">
        <v>85359030</v>
      </c>
      <c r="G52" s="534"/>
      <c r="H52" s="546">
        <v>18</v>
      </c>
      <c r="I52" s="754"/>
      <c r="J52" s="755" t="s">
        <v>541</v>
      </c>
      <c r="K52" s="753" t="s">
        <v>299</v>
      </c>
      <c r="L52" s="546">
        <v>3</v>
      </c>
      <c r="M52" s="547"/>
      <c r="N52" s="548" t="str">
        <f t="shared" si="8"/>
        <v>INCLUDED</v>
      </c>
      <c r="O52" s="756">
        <f t="shared" si="9"/>
        <v>0</v>
      </c>
      <c r="P52" s="756">
        <f>IF( I52="",H52*(IF(N52="Included",0,N52))/100,I52*(IF(N52="Included",0,N52)))</f>
        <v>0</v>
      </c>
      <c r="Q52" s="756">
        <f>Discount!$H$36</f>
        <v>0</v>
      </c>
      <c r="R52" s="757">
        <f t="shared" si="11"/>
        <v>0</v>
      </c>
      <c r="S52" s="757">
        <f t="shared" si="12"/>
        <v>0</v>
      </c>
      <c r="T52" s="758">
        <f t="shared" si="13"/>
        <v>0</v>
      </c>
    </row>
    <row r="53" spans="1:20" ht="47.25">
      <c r="A53" s="536">
        <v>37</v>
      </c>
      <c r="B53" s="546">
        <v>7000016714</v>
      </c>
      <c r="C53" s="546">
        <v>370</v>
      </c>
      <c r="D53" s="546" t="s">
        <v>504</v>
      </c>
      <c r="E53" s="546">
        <v>1000058329</v>
      </c>
      <c r="F53" s="546">
        <v>85359030</v>
      </c>
      <c r="G53" s="534"/>
      <c r="H53" s="546">
        <v>18</v>
      </c>
      <c r="I53" s="535"/>
      <c r="J53" s="538" t="s">
        <v>542</v>
      </c>
      <c r="K53" s="546" t="s">
        <v>299</v>
      </c>
      <c r="L53" s="546">
        <v>3</v>
      </c>
      <c r="M53" s="547"/>
      <c r="N53" s="548" t="str">
        <f t="shared" si="8"/>
        <v>INCLUDED</v>
      </c>
      <c r="O53" s="634">
        <f t="shared" si="9"/>
        <v>0</v>
      </c>
      <c r="P53" s="634">
        <f>IF( I53="",H53*(IF(N53="Included",0,N53))/100,I53*(IF(N53="Included",0,N53)))</f>
        <v>0</v>
      </c>
      <c r="Q53" s="634">
        <f>Discount!$H$36</f>
        <v>0</v>
      </c>
      <c r="R53" s="639">
        <f t="shared" si="11"/>
        <v>0</v>
      </c>
      <c r="S53" s="639">
        <f t="shared" si="12"/>
        <v>0</v>
      </c>
      <c r="T53" s="749">
        <f t="shared" si="13"/>
        <v>0</v>
      </c>
    </row>
    <row r="54" spans="1:20" ht="31.5">
      <c r="A54" s="459">
        <v>38</v>
      </c>
      <c r="B54" s="546">
        <v>7000016714</v>
      </c>
      <c r="C54" s="546">
        <v>380</v>
      </c>
      <c r="D54" s="546" t="s">
        <v>504</v>
      </c>
      <c r="E54" s="546">
        <v>1000058333</v>
      </c>
      <c r="F54" s="546">
        <v>85359030</v>
      </c>
      <c r="G54" s="534"/>
      <c r="H54" s="546">
        <v>18</v>
      </c>
      <c r="I54" s="535"/>
      <c r="J54" s="538" t="s">
        <v>543</v>
      </c>
      <c r="K54" s="546" t="s">
        <v>299</v>
      </c>
      <c r="L54" s="546">
        <v>1</v>
      </c>
      <c r="M54" s="547"/>
      <c r="N54" s="548" t="str">
        <f t="shared" si="8"/>
        <v>INCLUDED</v>
      </c>
      <c r="O54" s="634">
        <f t="shared" si="9"/>
        <v>0</v>
      </c>
      <c r="P54" s="634">
        <f t="shared" ref="P54:P91" si="14">IF( I54="",H54*(IF(N54="Included",0,N54))/100,I54*(IF(N54="Included",0,N54)))</f>
        <v>0</v>
      </c>
      <c r="Q54" s="634">
        <f>Discount!$H$36</f>
        <v>0</v>
      </c>
      <c r="R54" s="639">
        <f t="shared" si="11"/>
        <v>0</v>
      </c>
      <c r="S54" s="639">
        <f t="shared" si="12"/>
        <v>0</v>
      </c>
      <c r="T54" s="749">
        <f t="shared" si="13"/>
        <v>0</v>
      </c>
    </row>
    <row r="55" spans="1:20" ht="63">
      <c r="A55" s="536">
        <v>39</v>
      </c>
      <c r="B55" s="546">
        <v>7000016714</v>
      </c>
      <c r="C55" s="546">
        <v>390</v>
      </c>
      <c r="D55" s="546" t="s">
        <v>504</v>
      </c>
      <c r="E55" s="546">
        <v>1000049498</v>
      </c>
      <c r="F55" s="546">
        <v>85359030</v>
      </c>
      <c r="G55" s="534"/>
      <c r="H55" s="546">
        <v>18</v>
      </c>
      <c r="I55" s="535"/>
      <c r="J55" s="538" t="s">
        <v>544</v>
      </c>
      <c r="K55" s="546" t="s">
        <v>300</v>
      </c>
      <c r="L55" s="546">
        <v>1</v>
      </c>
      <c r="M55" s="547"/>
      <c r="N55" s="548" t="str">
        <f t="shared" si="8"/>
        <v>INCLUDED</v>
      </c>
      <c r="O55" s="634">
        <f t="shared" si="9"/>
        <v>0</v>
      </c>
      <c r="P55" s="634">
        <f t="shared" si="14"/>
        <v>0</v>
      </c>
      <c r="Q55" s="634">
        <f>Discount!$H$36</f>
        <v>0</v>
      </c>
      <c r="R55" s="639">
        <f t="shared" si="11"/>
        <v>0</v>
      </c>
      <c r="S55" s="639">
        <f t="shared" si="12"/>
        <v>0</v>
      </c>
      <c r="T55" s="749">
        <f t="shared" si="13"/>
        <v>0</v>
      </c>
    </row>
    <row r="56" spans="1:20" ht="63">
      <c r="A56" s="459">
        <v>40</v>
      </c>
      <c r="B56" s="546">
        <v>7000016714</v>
      </c>
      <c r="C56" s="546">
        <v>400</v>
      </c>
      <c r="D56" s="546" t="s">
        <v>504</v>
      </c>
      <c r="E56" s="546">
        <v>1000058317</v>
      </c>
      <c r="F56" s="546">
        <v>85359030</v>
      </c>
      <c r="G56" s="534"/>
      <c r="H56" s="546">
        <v>18</v>
      </c>
      <c r="I56" s="535"/>
      <c r="J56" s="538" t="s">
        <v>545</v>
      </c>
      <c r="K56" s="546" t="s">
        <v>300</v>
      </c>
      <c r="L56" s="546">
        <v>1</v>
      </c>
      <c r="M56" s="547"/>
      <c r="N56" s="548" t="str">
        <f t="shared" si="8"/>
        <v>INCLUDED</v>
      </c>
      <c r="O56" s="634">
        <f t="shared" si="9"/>
        <v>0</v>
      </c>
      <c r="P56" s="634">
        <f t="shared" si="14"/>
        <v>0</v>
      </c>
      <c r="Q56" s="634">
        <f>Discount!$H$36</f>
        <v>0</v>
      </c>
      <c r="R56" s="639">
        <f t="shared" si="11"/>
        <v>0</v>
      </c>
      <c r="S56" s="639">
        <f t="shared" si="12"/>
        <v>0</v>
      </c>
      <c r="T56" s="749">
        <f t="shared" si="13"/>
        <v>0</v>
      </c>
    </row>
    <row r="57" spans="1:20" ht="31.5">
      <c r="A57" s="536">
        <v>41</v>
      </c>
      <c r="B57" s="546">
        <v>7000016714</v>
      </c>
      <c r="C57" s="546">
        <v>410</v>
      </c>
      <c r="D57" s="546" t="s">
        <v>504</v>
      </c>
      <c r="E57" s="546">
        <v>1000021873</v>
      </c>
      <c r="F57" s="546">
        <v>85389000</v>
      </c>
      <c r="G57" s="534"/>
      <c r="H57" s="546">
        <v>18</v>
      </c>
      <c r="I57" s="535"/>
      <c r="J57" s="538" t="s">
        <v>546</v>
      </c>
      <c r="K57" s="546" t="s">
        <v>300</v>
      </c>
      <c r="L57" s="546">
        <v>3</v>
      </c>
      <c r="M57" s="547"/>
      <c r="N57" s="548" t="str">
        <f t="shared" si="8"/>
        <v>INCLUDED</v>
      </c>
      <c r="O57" s="634">
        <f t="shared" si="9"/>
        <v>0</v>
      </c>
      <c r="P57" s="634">
        <f t="shared" si="14"/>
        <v>0</v>
      </c>
      <c r="Q57" s="634">
        <f>Discount!$H$36</f>
        <v>0</v>
      </c>
      <c r="R57" s="639">
        <f t="shared" si="11"/>
        <v>0</v>
      </c>
      <c r="S57" s="639">
        <f t="shared" si="12"/>
        <v>0</v>
      </c>
      <c r="T57" s="749">
        <f t="shared" si="13"/>
        <v>0</v>
      </c>
    </row>
    <row r="58" spans="1:20" ht="31.5">
      <c r="A58" s="459">
        <v>42</v>
      </c>
      <c r="B58" s="546">
        <v>7000016714</v>
      </c>
      <c r="C58" s="546">
        <v>420</v>
      </c>
      <c r="D58" s="546" t="s">
        <v>504</v>
      </c>
      <c r="E58" s="546">
        <v>1000009208</v>
      </c>
      <c r="F58" s="546">
        <v>85389000</v>
      </c>
      <c r="G58" s="534"/>
      <c r="H58" s="546">
        <v>18</v>
      </c>
      <c r="I58" s="535"/>
      <c r="J58" s="538" t="s">
        <v>547</v>
      </c>
      <c r="K58" s="546" t="s">
        <v>300</v>
      </c>
      <c r="L58" s="546">
        <v>3</v>
      </c>
      <c r="M58" s="547"/>
      <c r="N58" s="548" t="str">
        <f t="shared" si="8"/>
        <v>INCLUDED</v>
      </c>
      <c r="O58" s="634">
        <f t="shared" si="9"/>
        <v>0</v>
      </c>
      <c r="P58" s="634">
        <f t="shared" si="14"/>
        <v>0</v>
      </c>
      <c r="Q58" s="634">
        <f>Discount!$H$36</f>
        <v>0</v>
      </c>
      <c r="R58" s="639">
        <f t="shared" si="11"/>
        <v>0</v>
      </c>
      <c r="S58" s="639">
        <f t="shared" si="12"/>
        <v>0</v>
      </c>
      <c r="T58" s="749">
        <f t="shared" si="13"/>
        <v>0</v>
      </c>
    </row>
    <row r="59" spans="1:20" ht="47.25">
      <c r="A59" s="536">
        <v>43</v>
      </c>
      <c r="B59" s="546">
        <v>7000016714</v>
      </c>
      <c r="C59" s="546">
        <v>430</v>
      </c>
      <c r="D59" s="546" t="s">
        <v>504</v>
      </c>
      <c r="E59" s="546">
        <v>1000058324</v>
      </c>
      <c r="F59" s="546">
        <v>85359030</v>
      </c>
      <c r="G59" s="534"/>
      <c r="H59" s="546">
        <v>18</v>
      </c>
      <c r="I59" s="535"/>
      <c r="J59" s="538" t="s">
        <v>548</v>
      </c>
      <c r="K59" s="546" t="s">
        <v>300</v>
      </c>
      <c r="L59" s="546">
        <v>1</v>
      </c>
      <c r="M59" s="547"/>
      <c r="N59" s="548" t="str">
        <f t="shared" si="8"/>
        <v>INCLUDED</v>
      </c>
      <c r="O59" s="634">
        <f t="shared" si="9"/>
        <v>0</v>
      </c>
      <c r="P59" s="634">
        <f t="shared" si="14"/>
        <v>0</v>
      </c>
      <c r="Q59" s="634">
        <f>Discount!$H$36</f>
        <v>0</v>
      </c>
      <c r="R59" s="639">
        <f t="shared" si="11"/>
        <v>0</v>
      </c>
      <c r="S59" s="639">
        <f t="shared" si="12"/>
        <v>0</v>
      </c>
      <c r="T59" s="749">
        <f t="shared" si="13"/>
        <v>0</v>
      </c>
    </row>
    <row r="60" spans="1:20" ht="31.5">
      <c r="A60" s="459">
        <v>44</v>
      </c>
      <c r="B60" s="546">
        <v>7000016714</v>
      </c>
      <c r="C60" s="546">
        <v>440</v>
      </c>
      <c r="D60" s="546" t="s">
        <v>504</v>
      </c>
      <c r="E60" s="546">
        <v>1000007067</v>
      </c>
      <c r="F60" s="546">
        <v>85389000</v>
      </c>
      <c r="G60" s="534"/>
      <c r="H60" s="546">
        <v>18</v>
      </c>
      <c r="I60" s="535"/>
      <c r="J60" s="538" t="s">
        <v>549</v>
      </c>
      <c r="K60" s="546" t="s">
        <v>300</v>
      </c>
      <c r="L60" s="546">
        <v>1</v>
      </c>
      <c r="M60" s="547"/>
      <c r="N60" s="548" t="str">
        <f t="shared" si="8"/>
        <v>INCLUDED</v>
      </c>
      <c r="O60" s="634">
        <f t="shared" si="9"/>
        <v>0</v>
      </c>
      <c r="P60" s="634">
        <f t="shared" si="14"/>
        <v>0</v>
      </c>
      <c r="Q60" s="634">
        <f>Discount!$H$36</f>
        <v>0</v>
      </c>
      <c r="R60" s="639">
        <f t="shared" si="11"/>
        <v>0</v>
      </c>
      <c r="S60" s="639">
        <f t="shared" si="12"/>
        <v>0</v>
      </c>
      <c r="T60" s="749">
        <f t="shared" si="13"/>
        <v>0</v>
      </c>
    </row>
    <row r="61" spans="1:20" ht="31.5">
      <c r="A61" s="536">
        <v>45</v>
      </c>
      <c r="B61" s="546">
        <v>7000016714</v>
      </c>
      <c r="C61" s="546">
        <v>450</v>
      </c>
      <c r="D61" s="546" t="s">
        <v>504</v>
      </c>
      <c r="E61" s="546">
        <v>1000058323</v>
      </c>
      <c r="F61" s="546">
        <v>85359030</v>
      </c>
      <c r="G61" s="534"/>
      <c r="H61" s="546">
        <v>18</v>
      </c>
      <c r="I61" s="535"/>
      <c r="J61" s="538" t="s">
        <v>550</v>
      </c>
      <c r="K61" s="546" t="s">
        <v>299</v>
      </c>
      <c r="L61" s="546">
        <v>1</v>
      </c>
      <c r="M61" s="547"/>
      <c r="N61" s="548" t="str">
        <f t="shared" si="8"/>
        <v>INCLUDED</v>
      </c>
      <c r="O61" s="634">
        <f t="shared" si="9"/>
        <v>0</v>
      </c>
      <c r="P61" s="634">
        <f t="shared" si="14"/>
        <v>0</v>
      </c>
      <c r="Q61" s="634">
        <f>Discount!$H$36</f>
        <v>0</v>
      </c>
      <c r="R61" s="639">
        <f t="shared" si="11"/>
        <v>0</v>
      </c>
      <c r="S61" s="639">
        <f t="shared" si="12"/>
        <v>0</v>
      </c>
      <c r="T61" s="749">
        <f t="shared" si="13"/>
        <v>0</v>
      </c>
    </row>
    <row r="62" spans="1:20" ht="63">
      <c r="A62" s="459">
        <v>46</v>
      </c>
      <c r="B62" s="546">
        <v>7000016714</v>
      </c>
      <c r="C62" s="546">
        <v>460</v>
      </c>
      <c r="D62" s="546" t="s">
        <v>504</v>
      </c>
      <c r="E62" s="546">
        <v>1000058320</v>
      </c>
      <c r="F62" s="546">
        <v>85359030</v>
      </c>
      <c r="G62" s="534"/>
      <c r="H62" s="546">
        <v>18</v>
      </c>
      <c r="I62" s="535"/>
      <c r="J62" s="538" t="s">
        <v>551</v>
      </c>
      <c r="K62" s="546" t="s">
        <v>300</v>
      </c>
      <c r="L62" s="546">
        <v>1</v>
      </c>
      <c r="M62" s="547"/>
      <c r="N62" s="548" t="str">
        <f t="shared" si="8"/>
        <v>INCLUDED</v>
      </c>
      <c r="O62" s="634">
        <f t="shared" si="9"/>
        <v>0</v>
      </c>
      <c r="P62" s="634">
        <f t="shared" si="14"/>
        <v>0</v>
      </c>
      <c r="Q62" s="634">
        <f>Discount!$H$36</f>
        <v>0</v>
      </c>
      <c r="R62" s="639">
        <f t="shared" si="11"/>
        <v>0</v>
      </c>
      <c r="S62" s="639">
        <f t="shared" si="12"/>
        <v>0</v>
      </c>
      <c r="T62" s="749">
        <f t="shared" si="13"/>
        <v>0</v>
      </c>
    </row>
    <row r="63" spans="1:20" ht="47.25">
      <c r="A63" s="536">
        <v>47</v>
      </c>
      <c r="B63" s="546">
        <v>7000016714</v>
      </c>
      <c r="C63" s="546">
        <v>470</v>
      </c>
      <c r="D63" s="546" t="s">
        <v>504</v>
      </c>
      <c r="E63" s="546">
        <v>1000049759</v>
      </c>
      <c r="F63" s="546">
        <v>85359030</v>
      </c>
      <c r="G63" s="534"/>
      <c r="H63" s="546">
        <v>18</v>
      </c>
      <c r="I63" s="535"/>
      <c r="J63" s="538" t="s">
        <v>552</v>
      </c>
      <c r="K63" s="546" t="s">
        <v>300</v>
      </c>
      <c r="L63" s="546">
        <v>1</v>
      </c>
      <c r="M63" s="547"/>
      <c r="N63" s="548" t="str">
        <f t="shared" si="8"/>
        <v>INCLUDED</v>
      </c>
      <c r="O63" s="634">
        <f t="shared" si="9"/>
        <v>0</v>
      </c>
      <c r="P63" s="634">
        <f t="shared" si="14"/>
        <v>0</v>
      </c>
      <c r="Q63" s="634">
        <f>Discount!$H$36</f>
        <v>0</v>
      </c>
      <c r="R63" s="639">
        <f t="shared" si="11"/>
        <v>0</v>
      </c>
      <c r="S63" s="639">
        <f t="shared" si="12"/>
        <v>0</v>
      </c>
      <c r="T63" s="749">
        <f t="shared" si="13"/>
        <v>0</v>
      </c>
    </row>
    <row r="64" spans="1:20" ht="47.25">
      <c r="A64" s="459">
        <v>48</v>
      </c>
      <c r="B64" s="546">
        <v>7000016714</v>
      </c>
      <c r="C64" s="546">
        <v>480</v>
      </c>
      <c r="D64" s="546" t="s">
        <v>504</v>
      </c>
      <c r="E64" s="546">
        <v>1000058319</v>
      </c>
      <c r="F64" s="546">
        <v>85359030</v>
      </c>
      <c r="G64" s="534"/>
      <c r="H64" s="546">
        <v>18</v>
      </c>
      <c r="I64" s="535"/>
      <c r="J64" s="538" t="s">
        <v>553</v>
      </c>
      <c r="K64" s="546" t="s">
        <v>300</v>
      </c>
      <c r="L64" s="546">
        <v>1</v>
      </c>
      <c r="M64" s="547"/>
      <c r="N64" s="548" t="str">
        <f t="shared" si="8"/>
        <v>INCLUDED</v>
      </c>
      <c r="O64" s="634">
        <f t="shared" si="9"/>
        <v>0</v>
      </c>
      <c r="P64" s="634">
        <f t="shared" si="14"/>
        <v>0</v>
      </c>
      <c r="Q64" s="634">
        <f>Discount!$H$36</f>
        <v>0</v>
      </c>
      <c r="R64" s="639">
        <f t="shared" si="11"/>
        <v>0</v>
      </c>
      <c r="S64" s="639">
        <f t="shared" si="12"/>
        <v>0</v>
      </c>
      <c r="T64" s="749">
        <f t="shared" si="13"/>
        <v>0</v>
      </c>
    </row>
    <row r="65" spans="1:20" ht="47.25">
      <c r="A65" s="536">
        <v>49</v>
      </c>
      <c r="B65" s="546">
        <v>7000016714</v>
      </c>
      <c r="C65" s="546">
        <v>490</v>
      </c>
      <c r="D65" s="546" t="s">
        <v>504</v>
      </c>
      <c r="E65" s="546">
        <v>1000058322</v>
      </c>
      <c r="F65" s="546">
        <v>85359030</v>
      </c>
      <c r="G65" s="534"/>
      <c r="H65" s="546">
        <v>18</v>
      </c>
      <c r="I65" s="535"/>
      <c r="J65" s="538" t="s">
        <v>554</v>
      </c>
      <c r="K65" s="546" t="s">
        <v>300</v>
      </c>
      <c r="L65" s="546">
        <v>1</v>
      </c>
      <c r="M65" s="547"/>
      <c r="N65" s="548" t="str">
        <f t="shared" si="8"/>
        <v>INCLUDED</v>
      </c>
      <c r="O65" s="634">
        <f t="shared" si="9"/>
        <v>0</v>
      </c>
      <c r="P65" s="634">
        <f t="shared" si="14"/>
        <v>0</v>
      </c>
      <c r="Q65" s="634">
        <f>Discount!$H$36</f>
        <v>0</v>
      </c>
      <c r="R65" s="639">
        <f t="shared" si="11"/>
        <v>0</v>
      </c>
      <c r="S65" s="639">
        <f t="shared" si="12"/>
        <v>0</v>
      </c>
      <c r="T65" s="749">
        <f t="shared" si="13"/>
        <v>0</v>
      </c>
    </row>
    <row r="66" spans="1:20" ht="47.25">
      <c r="A66" s="459">
        <v>50</v>
      </c>
      <c r="B66" s="546">
        <v>7000016714</v>
      </c>
      <c r="C66" s="546">
        <v>500</v>
      </c>
      <c r="D66" s="546" t="s">
        <v>504</v>
      </c>
      <c r="E66" s="546">
        <v>1000049835</v>
      </c>
      <c r="F66" s="546">
        <v>85359030</v>
      </c>
      <c r="G66" s="534"/>
      <c r="H66" s="546">
        <v>18</v>
      </c>
      <c r="I66" s="535"/>
      <c r="J66" s="538" t="s">
        <v>555</v>
      </c>
      <c r="K66" s="546" t="s">
        <v>300</v>
      </c>
      <c r="L66" s="546">
        <v>1</v>
      </c>
      <c r="M66" s="547"/>
      <c r="N66" s="548" t="str">
        <f t="shared" si="8"/>
        <v>INCLUDED</v>
      </c>
      <c r="O66" s="634">
        <f t="shared" si="9"/>
        <v>0</v>
      </c>
      <c r="P66" s="634">
        <f t="shared" si="14"/>
        <v>0</v>
      </c>
      <c r="Q66" s="634">
        <f>Discount!$H$36</f>
        <v>0</v>
      </c>
      <c r="R66" s="639">
        <f t="shared" si="11"/>
        <v>0</v>
      </c>
      <c r="S66" s="639">
        <f t="shared" si="12"/>
        <v>0</v>
      </c>
      <c r="T66" s="749">
        <f t="shared" si="13"/>
        <v>0</v>
      </c>
    </row>
    <row r="67" spans="1:20" ht="47.25">
      <c r="A67" s="536">
        <v>51</v>
      </c>
      <c r="B67" s="546">
        <v>7000016714</v>
      </c>
      <c r="C67" s="546">
        <v>510</v>
      </c>
      <c r="D67" s="546" t="s">
        <v>504</v>
      </c>
      <c r="E67" s="546">
        <v>1000049795</v>
      </c>
      <c r="F67" s="546">
        <v>85359030</v>
      </c>
      <c r="G67" s="534"/>
      <c r="H67" s="546">
        <v>18</v>
      </c>
      <c r="I67" s="535"/>
      <c r="J67" s="538" t="s">
        <v>556</v>
      </c>
      <c r="K67" s="546" t="s">
        <v>300</v>
      </c>
      <c r="L67" s="546">
        <v>1</v>
      </c>
      <c r="M67" s="547"/>
      <c r="N67" s="548" t="str">
        <f t="shared" si="8"/>
        <v>INCLUDED</v>
      </c>
      <c r="O67" s="634">
        <f t="shared" si="9"/>
        <v>0</v>
      </c>
      <c r="P67" s="634">
        <f t="shared" si="14"/>
        <v>0</v>
      </c>
      <c r="Q67" s="634">
        <f>Discount!$H$36</f>
        <v>0</v>
      </c>
      <c r="R67" s="639">
        <f t="shared" si="11"/>
        <v>0</v>
      </c>
      <c r="S67" s="639">
        <f t="shared" si="12"/>
        <v>0</v>
      </c>
      <c r="T67" s="749">
        <f t="shared" si="13"/>
        <v>0</v>
      </c>
    </row>
    <row r="68" spans="1:20" ht="47.25">
      <c r="A68" s="459">
        <v>52</v>
      </c>
      <c r="B68" s="546">
        <v>7000016714</v>
      </c>
      <c r="C68" s="546">
        <v>520</v>
      </c>
      <c r="D68" s="546" t="s">
        <v>504</v>
      </c>
      <c r="E68" s="546">
        <v>1000049808</v>
      </c>
      <c r="F68" s="546">
        <v>85359030</v>
      </c>
      <c r="G68" s="534"/>
      <c r="H68" s="546">
        <v>18</v>
      </c>
      <c r="I68" s="535"/>
      <c r="J68" s="538" t="s">
        <v>557</v>
      </c>
      <c r="K68" s="546" t="s">
        <v>300</v>
      </c>
      <c r="L68" s="546">
        <v>1</v>
      </c>
      <c r="M68" s="547"/>
      <c r="N68" s="548" t="str">
        <f t="shared" si="8"/>
        <v>INCLUDED</v>
      </c>
      <c r="O68" s="634">
        <f t="shared" si="9"/>
        <v>0</v>
      </c>
      <c r="P68" s="634">
        <f t="shared" si="14"/>
        <v>0</v>
      </c>
      <c r="Q68" s="634">
        <f>Discount!$H$36</f>
        <v>0</v>
      </c>
      <c r="R68" s="639">
        <f t="shared" si="11"/>
        <v>0</v>
      </c>
      <c r="S68" s="639">
        <f t="shared" si="12"/>
        <v>0</v>
      </c>
      <c r="T68" s="749">
        <f t="shared" si="13"/>
        <v>0</v>
      </c>
    </row>
    <row r="69" spans="1:20" ht="63">
      <c r="A69" s="536">
        <v>53</v>
      </c>
      <c r="B69" s="546">
        <v>7000016714</v>
      </c>
      <c r="C69" s="546">
        <v>530</v>
      </c>
      <c r="D69" s="546" t="s">
        <v>504</v>
      </c>
      <c r="E69" s="546">
        <v>1000049805</v>
      </c>
      <c r="F69" s="546">
        <v>85359030</v>
      </c>
      <c r="G69" s="534"/>
      <c r="H69" s="546">
        <v>18</v>
      </c>
      <c r="I69" s="535"/>
      <c r="J69" s="538" t="s">
        <v>558</v>
      </c>
      <c r="K69" s="546" t="s">
        <v>300</v>
      </c>
      <c r="L69" s="546">
        <v>1</v>
      </c>
      <c r="M69" s="547"/>
      <c r="N69" s="548" t="str">
        <f t="shared" si="8"/>
        <v>INCLUDED</v>
      </c>
      <c r="O69" s="634">
        <f t="shared" si="9"/>
        <v>0</v>
      </c>
      <c r="P69" s="634">
        <f t="shared" si="14"/>
        <v>0</v>
      </c>
      <c r="Q69" s="634">
        <f>Discount!$H$36</f>
        <v>0</v>
      </c>
      <c r="R69" s="639">
        <f t="shared" si="11"/>
        <v>0</v>
      </c>
      <c r="S69" s="639">
        <f t="shared" si="12"/>
        <v>0</v>
      </c>
      <c r="T69" s="749">
        <f t="shared" si="13"/>
        <v>0</v>
      </c>
    </row>
    <row r="70" spans="1:20" ht="47.25">
      <c r="A70" s="459">
        <v>54</v>
      </c>
      <c r="B70" s="546">
        <v>7000016714</v>
      </c>
      <c r="C70" s="546">
        <v>540</v>
      </c>
      <c r="D70" s="546" t="s">
        <v>504</v>
      </c>
      <c r="E70" s="546">
        <v>1000058321</v>
      </c>
      <c r="F70" s="546">
        <v>85359030</v>
      </c>
      <c r="G70" s="534"/>
      <c r="H70" s="546">
        <v>18</v>
      </c>
      <c r="I70" s="535"/>
      <c r="J70" s="538" t="s">
        <v>559</v>
      </c>
      <c r="K70" s="546" t="s">
        <v>300</v>
      </c>
      <c r="L70" s="546">
        <v>1</v>
      </c>
      <c r="M70" s="547"/>
      <c r="N70" s="548" t="str">
        <f t="shared" ref="N70" si="15">IF(M70=0, "INCLUDED", IF(ISERROR(M70*L70), M70, M70*L70))</f>
        <v>INCLUDED</v>
      </c>
      <c r="O70" s="634">
        <f t="shared" ref="O70" si="16">IF(N70="Included",0,N70)</f>
        <v>0</v>
      </c>
      <c r="P70" s="634">
        <f t="shared" ref="P70" si="17">IF( I70="",H70*(IF(N70="Included",0,N70))/100,I70*(IF(N70="Included",0,N70)))</f>
        <v>0</v>
      </c>
      <c r="Q70" s="634">
        <f>Discount!$H$36</f>
        <v>0</v>
      </c>
      <c r="R70" s="639">
        <f t="shared" ref="R70" si="18">Q70*O70</f>
        <v>0</v>
      </c>
      <c r="S70" s="639">
        <f t="shared" ref="S70" si="19">IF(I70="",H70*R70/100,I70*R70)</f>
        <v>0</v>
      </c>
      <c r="T70" s="749">
        <f t="shared" ref="T70" si="20">M70*L70</f>
        <v>0</v>
      </c>
    </row>
    <row r="71" spans="1:20" ht="47.25">
      <c r="A71" s="536">
        <v>55</v>
      </c>
      <c r="B71" s="546">
        <v>7000016714</v>
      </c>
      <c r="C71" s="546">
        <v>550</v>
      </c>
      <c r="D71" s="546" t="s">
        <v>504</v>
      </c>
      <c r="E71" s="546">
        <v>1000049799</v>
      </c>
      <c r="F71" s="546">
        <v>85359030</v>
      </c>
      <c r="G71" s="534"/>
      <c r="H71" s="546">
        <v>18</v>
      </c>
      <c r="I71" s="535"/>
      <c r="J71" s="538" t="s">
        <v>560</v>
      </c>
      <c r="K71" s="546" t="s">
        <v>300</v>
      </c>
      <c r="L71" s="546">
        <v>1</v>
      </c>
      <c r="M71" s="547"/>
      <c r="N71" s="548" t="str">
        <f t="shared" si="8"/>
        <v>INCLUDED</v>
      </c>
      <c r="O71" s="634">
        <f t="shared" si="9"/>
        <v>0</v>
      </c>
      <c r="P71" s="634">
        <f t="shared" si="14"/>
        <v>0</v>
      </c>
      <c r="Q71" s="634">
        <f>Discount!$H$36</f>
        <v>0</v>
      </c>
      <c r="R71" s="639">
        <f t="shared" si="11"/>
        <v>0</v>
      </c>
      <c r="S71" s="639">
        <f t="shared" si="12"/>
        <v>0</v>
      </c>
      <c r="T71" s="749">
        <f t="shared" si="13"/>
        <v>0</v>
      </c>
    </row>
    <row r="72" spans="1:20" ht="63">
      <c r="A72" s="459">
        <v>56</v>
      </c>
      <c r="B72" s="546">
        <v>7000016714</v>
      </c>
      <c r="C72" s="546">
        <v>560</v>
      </c>
      <c r="D72" s="546" t="s">
        <v>504</v>
      </c>
      <c r="E72" s="546">
        <v>1000058325</v>
      </c>
      <c r="F72" s="546">
        <v>85359030</v>
      </c>
      <c r="G72" s="534"/>
      <c r="H72" s="546">
        <v>18</v>
      </c>
      <c r="I72" s="535"/>
      <c r="J72" s="538" t="s">
        <v>561</v>
      </c>
      <c r="K72" s="546" t="s">
        <v>300</v>
      </c>
      <c r="L72" s="546">
        <v>1</v>
      </c>
      <c r="M72" s="547"/>
      <c r="N72" s="548" t="str">
        <f t="shared" si="8"/>
        <v>INCLUDED</v>
      </c>
      <c r="O72" s="634">
        <f t="shared" si="9"/>
        <v>0</v>
      </c>
      <c r="P72" s="634">
        <f t="shared" si="14"/>
        <v>0</v>
      </c>
      <c r="Q72" s="634">
        <f>Discount!$H$36</f>
        <v>0</v>
      </c>
      <c r="R72" s="639">
        <f t="shared" si="11"/>
        <v>0</v>
      </c>
      <c r="S72" s="639">
        <f t="shared" si="12"/>
        <v>0</v>
      </c>
      <c r="T72" s="749">
        <f t="shared" si="13"/>
        <v>0</v>
      </c>
    </row>
    <row r="73" spans="1:20" ht="78.75">
      <c r="A73" s="536">
        <v>57</v>
      </c>
      <c r="B73" s="546">
        <v>7000016714</v>
      </c>
      <c r="C73" s="546">
        <v>570</v>
      </c>
      <c r="D73" s="546" t="s">
        <v>504</v>
      </c>
      <c r="E73" s="546">
        <v>1000058318</v>
      </c>
      <c r="F73" s="546">
        <v>85359030</v>
      </c>
      <c r="G73" s="534"/>
      <c r="H73" s="546">
        <v>18</v>
      </c>
      <c r="I73" s="535"/>
      <c r="J73" s="538" t="s">
        <v>562</v>
      </c>
      <c r="K73" s="546" t="s">
        <v>300</v>
      </c>
      <c r="L73" s="546">
        <v>1</v>
      </c>
      <c r="M73" s="547"/>
      <c r="N73" s="548" t="str">
        <f t="shared" si="8"/>
        <v>INCLUDED</v>
      </c>
      <c r="O73" s="634">
        <f t="shared" si="9"/>
        <v>0</v>
      </c>
      <c r="P73" s="634">
        <f t="shared" si="14"/>
        <v>0</v>
      </c>
      <c r="Q73" s="634">
        <f>Discount!$H$36</f>
        <v>0</v>
      </c>
      <c r="R73" s="639">
        <f t="shared" si="11"/>
        <v>0</v>
      </c>
      <c r="S73" s="639">
        <f t="shared" si="12"/>
        <v>0</v>
      </c>
      <c r="T73" s="749">
        <f t="shared" si="13"/>
        <v>0</v>
      </c>
    </row>
    <row r="74" spans="1:20" ht="47.25">
      <c r="A74" s="459">
        <v>58</v>
      </c>
      <c r="B74" s="546">
        <v>7000016714</v>
      </c>
      <c r="C74" s="546">
        <v>580</v>
      </c>
      <c r="D74" s="546" t="s">
        <v>504</v>
      </c>
      <c r="E74" s="546">
        <v>1000049495</v>
      </c>
      <c r="F74" s="546">
        <v>85359030</v>
      </c>
      <c r="G74" s="534"/>
      <c r="H74" s="546">
        <v>18</v>
      </c>
      <c r="I74" s="535"/>
      <c r="J74" s="538" t="s">
        <v>563</v>
      </c>
      <c r="K74" s="546" t="s">
        <v>300</v>
      </c>
      <c r="L74" s="546">
        <v>1</v>
      </c>
      <c r="M74" s="547"/>
      <c r="N74" s="548" t="str">
        <f t="shared" si="8"/>
        <v>INCLUDED</v>
      </c>
      <c r="O74" s="634">
        <f t="shared" si="9"/>
        <v>0</v>
      </c>
      <c r="P74" s="634">
        <f t="shared" si="14"/>
        <v>0</v>
      </c>
      <c r="Q74" s="634">
        <f>Discount!$H$36</f>
        <v>0</v>
      </c>
      <c r="R74" s="639">
        <f t="shared" si="11"/>
        <v>0</v>
      </c>
      <c r="S74" s="639">
        <f t="shared" si="12"/>
        <v>0</v>
      </c>
      <c r="T74" s="749">
        <f t="shared" si="13"/>
        <v>0</v>
      </c>
    </row>
    <row r="75" spans="1:20" ht="63">
      <c r="A75" s="536">
        <v>59</v>
      </c>
      <c r="B75" s="546">
        <v>7000016714</v>
      </c>
      <c r="C75" s="546">
        <v>590</v>
      </c>
      <c r="D75" s="546" t="s">
        <v>504</v>
      </c>
      <c r="E75" s="546">
        <v>1000049802</v>
      </c>
      <c r="F75" s="546">
        <v>85359030</v>
      </c>
      <c r="G75" s="534"/>
      <c r="H75" s="546">
        <v>18</v>
      </c>
      <c r="I75" s="535"/>
      <c r="J75" s="538" t="s">
        <v>564</v>
      </c>
      <c r="K75" s="546" t="s">
        <v>300</v>
      </c>
      <c r="L75" s="546">
        <v>1</v>
      </c>
      <c r="M75" s="547"/>
      <c r="N75" s="548" t="str">
        <f t="shared" si="8"/>
        <v>INCLUDED</v>
      </c>
      <c r="O75" s="634">
        <f t="shared" si="9"/>
        <v>0</v>
      </c>
      <c r="P75" s="634">
        <f t="shared" si="14"/>
        <v>0</v>
      </c>
      <c r="Q75" s="634">
        <f>Discount!$H$36</f>
        <v>0</v>
      </c>
      <c r="R75" s="639">
        <f t="shared" si="11"/>
        <v>0</v>
      </c>
      <c r="S75" s="639">
        <f t="shared" si="12"/>
        <v>0</v>
      </c>
      <c r="T75" s="749">
        <f t="shared" si="13"/>
        <v>0</v>
      </c>
    </row>
    <row r="76" spans="1:20" ht="409.5">
      <c r="A76" s="459">
        <v>60</v>
      </c>
      <c r="B76" s="546">
        <v>7000016714</v>
      </c>
      <c r="C76" s="546">
        <v>600</v>
      </c>
      <c r="D76" s="546" t="s">
        <v>504</v>
      </c>
      <c r="E76" s="546">
        <v>1000058374</v>
      </c>
      <c r="F76" s="546">
        <v>85359030</v>
      </c>
      <c r="G76" s="534"/>
      <c r="H76" s="546">
        <v>18</v>
      </c>
      <c r="I76" s="535"/>
      <c r="J76" s="538" t="s">
        <v>565</v>
      </c>
      <c r="K76" s="546" t="s">
        <v>299</v>
      </c>
      <c r="L76" s="546">
        <v>2</v>
      </c>
      <c r="M76" s="547"/>
      <c r="N76" s="548" t="str">
        <f t="shared" si="8"/>
        <v>INCLUDED</v>
      </c>
      <c r="O76" s="634">
        <f t="shared" si="9"/>
        <v>0</v>
      </c>
      <c r="P76" s="634">
        <f t="shared" si="14"/>
        <v>0</v>
      </c>
      <c r="Q76" s="634">
        <f>Discount!$H$36</f>
        <v>0</v>
      </c>
      <c r="R76" s="639">
        <f t="shared" si="11"/>
        <v>0</v>
      </c>
      <c r="S76" s="639">
        <f t="shared" si="12"/>
        <v>0</v>
      </c>
      <c r="T76" s="749">
        <f t="shared" si="13"/>
        <v>0</v>
      </c>
    </row>
    <row r="77" spans="1:20" ht="315">
      <c r="A77" s="536">
        <v>61</v>
      </c>
      <c r="B77" s="546">
        <v>7000016714</v>
      </c>
      <c r="C77" s="546">
        <v>610</v>
      </c>
      <c r="D77" s="546" t="s">
        <v>504</v>
      </c>
      <c r="E77" s="546">
        <v>1000058314</v>
      </c>
      <c r="F77" s="546">
        <v>85359030</v>
      </c>
      <c r="G77" s="534"/>
      <c r="H77" s="546">
        <v>18</v>
      </c>
      <c r="I77" s="535"/>
      <c r="J77" s="538" t="s">
        <v>566</v>
      </c>
      <c r="K77" s="546" t="s">
        <v>299</v>
      </c>
      <c r="L77" s="546">
        <v>1</v>
      </c>
      <c r="M77" s="547"/>
      <c r="N77" s="548" t="str">
        <f t="shared" si="8"/>
        <v>INCLUDED</v>
      </c>
      <c r="O77" s="634">
        <f t="shared" si="9"/>
        <v>0</v>
      </c>
      <c r="P77" s="634">
        <f t="shared" si="14"/>
        <v>0</v>
      </c>
      <c r="Q77" s="634">
        <f>Discount!$H$36</f>
        <v>0</v>
      </c>
      <c r="R77" s="639">
        <f t="shared" si="11"/>
        <v>0</v>
      </c>
      <c r="S77" s="639">
        <f t="shared" si="12"/>
        <v>0</v>
      </c>
      <c r="T77" s="749">
        <f t="shared" si="13"/>
        <v>0</v>
      </c>
    </row>
    <row r="78" spans="1:20" ht="110.25">
      <c r="A78" s="459">
        <v>62</v>
      </c>
      <c r="B78" s="546">
        <v>7000016714</v>
      </c>
      <c r="C78" s="546">
        <v>620</v>
      </c>
      <c r="D78" s="546" t="s">
        <v>504</v>
      </c>
      <c r="E78" s="546">
        <v>1000058305</v>
      </c>
      <c r="F78" s="546">
        <v>85359030</v>
      </c>
      <c r="G78" s="534"/>
      <c r="H78" s="546">
        <v>18</v>
      </c>
      <c r="I78" s="535"/>
      <c r="J78" s="538" t="s">
        <v>567</v>
      </c>
      <c r="K78" s="546" t="s">
        <v>300</v>
      </c>
      <c r="L78" s="546">
        <v>1</v>
      </c>
      <c r="M78" s="547"/>
      <c r="N78" s="548" t="str">
        <f t="shared" si="8"/>
        <v>INCLUDED</v>
      </c>
      <c r="O78" s="634">
        <f t="shared" si="9"/>
        <v>0</v>
      </c>
      <c r="P78" s="634">
        <f t="shared" si="14"/>
        <v>0</v>
      </c>
      <c r="Q78" s="634">
        <f>Discount!$H$36</f>
        <v>0</v>
      </c>
      <c r="R78" s="639">
        <f t="shared" si="11"/>
        <v>0</v>
      </c>
      <c r="S78" s="639">
        <f t="shared" si="12"/>
        <v>0</v>
      </c>
      <c r="T78" s="749">
        <f t="shared" si="13"/>
        <v>0</v>
      </c>
    </row>
    <row r="79" spans="1:20" ht="110.25">
      <c r="A79" s="536">
        <v>63</v>
      </c>
      <c r="B79" s="546">
        <v>7000016714</v>
      </c>
      <c r="C79" s="546">
        <v>630</v>
      </c>
      <c r="D79" s="546" t="s">
        <v>504</v>
      </c>
      <c r="E79" s="546">
        <v>1000058312</v>
      </c>
      <c r="F79" s="546">
        <v>85359030</v>
      </c>
      <c r="G79" s="534"/>
      <c r="H79" s="546">
        <v>18</v>
      </c>
      <c r="I79" s="535"/>
      <c r="J79" s="538" t="s">
        <v>568</v>
      </c>
      <c r="K79" s="546" t="s">
        <v>300</v>
      </c>
      <c r="L79" s="546">
        <v>1</v>
      </c>
      <c r="M79" s="547"/>
      <c r="N79" s="548" t="str">
        <f t="shared" si="8"/>
        <v>INCLUDED</v>
      </c>
      <c r="O79" s="634">
        <f t="shared" si="9"/>
        <v>0</v>
      </c>
      <c r="P79" s="634">
        <f t="shared" si="14"/>
        <v>0</v>
      </c>
      <c r="Q79" s="634">
        <f>Discount!$H$36</f>
        <v>0</v>
      </c>
      <c r="R79" s="639">
        <f t="shared" si="11"/>
        <v>0</v>
      </c>
      <c r="S79" s="639">
        <f t="shared" si="12"/>
        <v>0</v>
      </c>
      <c r="T79" s="749">
        <f t="shared" si="13"/>
        <v>0</v>
      </c>
    </row>
    <row r="80" spans="1:20" ht="110.25">
      <c r="A80" s="459">
        <v>64</v>
      </c>
      <c r="B80" s="546">
        <v>7000016714</v>
      </c>
      <c r="C80" s="546">
        <v>640</v>
      </c>
      <c r="D80" s="546" t="s">
        <v>504</v>
      </c>
      <c r="E80" s="546">
        <v>1000058308</v>
      </c>
      <c r="F80" s="546">
        <v>85359030</v>
      </c>
      <c r="G80" s="534"/>
      <c r="H80" s="546">
        <v>18</v>
      </c>
      <c r="I80" s="535"/>
      <c r="J80" s="538" t="s">
        <v>569</v>
      </c>
      <c r="K80" s="546" t="s">
        <v>300</v>
      </c>
      <c r="L80" s="546">
        <v>1</v>
      </c>
      <c r="M80" s="547"/>
      <c r="N80" s="548" t="str">
        <f t="shared" si="8"/>
        <v>INCLUDED</v>
      </c>
      <c r="O80" s="634">
        <f t="shared" si="9"/>
        <v>0</v>
      </c>
      <c r="P80" s="634">
        <f t="shared" si="14"/>
        <v>0</v>
      </c>
      <c r="Q80" s="634">
        <f>Discount!$H$36</f>
        <v>0</v>
      </c>
      <c r="R80" s="639">
        <f t="shared" si="11"/>
        <v>0</v>
      </c>
      <c r="S80" s="639">
        <f t="shared" si="12"/>
        <v>0</v>
      </c>
      <c r="T80" s="749">
        <f t="shared" si="13"/>
        <v>0</v>
      </c>
    </row>
    <row r="81" spans="1:20" ht="47.25">
      <c r="A81" s="536">
        <v>65</v>
      </c>
      <c r="B81" s="546">
        <v>7000016714</v>
      </c>
      <c r="C81" s="546">
        <v>650</v>
      </c>
      <c r="D81" s="546" t="s">
        <v>504</v>
      </c>
      <c r="E81" s="546">
        <v>1000049776</v>
      </c>
      <c r="F81" s="546">
        <v>85359030</v>
      </c>
      <c r="G81" s="534"/>
      <c r="H81" s="546">
        <v>28</v>
      </c>
      <c r="I81" s="535"/>
      <c r="J81" s="538" t="s">
        <v>570</v>
      </c>
      <c r="K81" s="546" t="s">
        <v>300</v>
      </c>
      <c r="L81" s="546">
        <v>1</v>
      </c>
      <c r="M81" s="547"/>
      <c r="N81" s="548" t="str">
        <f t="shared" si="8"/>
        <v>INCLUDED</v>
      </c>
      <c r="O81" s="634">
        <f t="shared" si="9"/>
        <v>0</v>
      </c>
      <c r="P81" s="634">
        <f t="shared" si="14"/>
        <v>0</v>
      </c>
      <c r="Q81" s="634">
        <f>Discount!$H$36</f>
        <v>0</v>
      </c>
      <c r="R81" s="639">
        <f t="shared" si="11"/>
        <v>0</v>
      </c>
      <c r="S81" s="639">
        <f t="shared" si="12"/>
        <v>0</v>
      </c>
      <c r="T81" s="749">
        <f t="shared" si="13"/>
        <v>0</v>
      </c>
    </row>
    <row r="82" spans="1:20" ht="47.25">
      <c r="A82" s="459">
        <v>66</v>
      </c>
      <c r="B82" s="546">
        <v>7000016714</v>
      </c>
      <c r="C82" s="546">
        <v>660</v>
      </c>
      <c r="D82" s="546" t="s">
        <v>504</v>
      </c>
      <c r="E82" s="546">
        <v>1000049778</v>
      </c>
      <c r="F82" s="546">
        <v>85359030</v>
      </c>
      <c r="G82" s="534"/>
      <c r="H82" s="546">
        <v>18</v>
      </c>
      <c r="I82" s="535"/>
      <c r="J82" s="538" t="s">
        <v>571</v>
      </c>
      <c r="K82" s="546" t="s">
        <v>300</v>
      </c>
      <c r="L82" s="546">
        <v>1</v>
      </c>
      <c r="M82" s="547"/>
      <c r="N82" s="548" t="str">
        <f t="shared" si="8"/>
        <v>INCLUDED</v>
      </c>
      <c r="O82" s="634">
        <f t="shared" si="9"/>
        <v>0</v>
      </c>
      <c r="P82" s="634">
        <f t="shared" si="14"/>
        <v>0</v>
      </c>
      <c r="Q82" s="634">
        <f>Discount!$H$36</f>
        <v>0</v>
      </c>
      <c r="R82" s="639">
        <f t="shared" si="11"/>
        <v>0</v>
      </c>
      <c r="S82" s="639">
        <f t="shared" si="12"/>
        <v>0</v>
      </c>
      <c r="T82" s="749">
        <f t="shared" si="13"/>
        <v>0</v>
      </c>
    </row>
    <row r="83" spans="1:20" ht="31.5">
      <c r="A83" s="536">
        <v>67</v>
      </c>
      <c r="B83" s="546">
        <v>7000016714</v>
      </c>
      <c r="C83" s="546">
        <v>670</v>
      </c>
      <c r="D83" s="546" t="s">
        <v>504</v>
      </c>
      <c r="E83" s="546">
        <v>1000058306</v>
      </c>
      <c r="F83" s="546">
        <v>85359030</v>
      </c>
      <c r="G83" s="534"/>
      <c r="H83" s="546">
        <v>28</v>
      </c>
      <c r="I83" s="535"/>
      <c r="J83" s="538" t="s">
        <v>572</v>
      </c>
      <c r="K83" s="546" t="s">
        <v>300</v>
      </c>
      <c r="L83" s="546">
        <v>1</v>
      </c>
      <c r="M83" s="547"/>
      <c r="N83" s="548" t="str">
        <f t="shared" si="8"/>
        <v>INCLUDED</v>
      </c>
      <c r="O83" s="634">
        <f t="shared" si="9"/>
        <v>0</v>
      </c>
      <c r="P83" s="634">
        <f t="shared" si="14"/>
        <v>0</v>
      </c>
      <c r="Q83" s="634">
        <f>Discount!$H$36</f>
        <v>0</v>
      </c>
      <c r="R83" s="639">
        <f t="shared" si="11"/>
        <v>0</v>
      </c>
      <c r="S83" s="639">
        <f t="shared" si="12"/>
        <v>0</v>
      </c>
      <c r="T83" s="749">
        <f t="shared" si="13"/>
        <v>0</v>
      </c>
    </row>
    <row r="84" spans="1:20" ht="31.5">
      <c r="A84" s="459">
        <v>68</v>
      </c>
      <c r="B84" s="546">
        <v>7000016714</v>
      </c>
      <c r="C84" s="546">
        <v>680</v>
      </c>
      <c r="D84" s="546" t="s">
        <v>504</v>
      </c>
      <c r="E84" s="546">
        <v>1000058313</v>
      </c>
      <c r="F84" s="546">
        <v>85359030</v>
      </c>
      <c r="G84" s="534"/>
      <c r="H84" s="546">
        <v>18</v>
      </c>
      <c r="I84" s="535"/>
      <c r="J84" s="538" t="s">
        <v>573</v>
      </c>
      <c r="K84" s="546" t="s">
        <v>300</v>
      </c>
      <c r="L84" s="546">
        <v>1</v>
      </c>
      <c r="M84" s="547"/>
      <c r="N84" s="548" t="str">
        <f t="shared" si="8"/>
        <v>INCLUDED</v>
      </c>
      <c r="O84" s="634">
        <f t="shared" si="9"/>
        <v>0</v>
      </c>
      <c r="P84" s="634">
        <f t="shared" si="14"/>
        <v>0</v>
      </c>
      <c r="Q84" s="634">
        <f>Discount!$H$36</f>
        <v>0</v>
      </c>
      <c r="R84" s="639">
        <f t="shared" si="11"/>
        <v>0</v>
      </c>
      <c r="S84" s="639">
        <f t="shared" si="12"/>
        <v>0</v>
      </c>
      <c r="T84" s="749">
        <f t="shared" si="13"/>
        <v>0</v>
      </c>
    </row>
    <row r="85" spans="1:20" ht="31.5">
      <c r="A85" s="536">
        <v>69</v>
      </c>
      <c r="B85" s="546">
        <v>7000016714</v>
      </c>
      <c r="C85" s="546">
        <v>690</v>
      </c>
      <c r="D85" s="546" t="s">
        <v>504</v>
      </c>
      <c r="E85" s="546">
        <v>1000058307</v>
      </c>
      <c r="F85" s="546">
        <v>85359030</v>
      </c>
      <c r="G85" s="534"/>
      <c r="H85" s="546">
        <v>18</v>
      </c>
      <c r="I85" s="535"/>
      <c r="J85" s="538" t="s">
        <v>574</v>
      </c>
      <c r="K85" s="546" t="s">
        <v>299</v>
      </c>
      <c r="L85" s="546">
        <v>1</v>
      </c>
      <c r="M85" s="547"/>
      <c r="N85" s="548" t="str">
        <f t="shared" si="8"/>
        <v>INCLUDED</v>
      </c>
      <c r="O85" s="634">
        <f t="shared" si="9"/>
        <v>0</v>
      </c>
      <c r="P85" s="634">
        <f t="shared" si="14"/>
        <v>0</v>
      </c>
      <c r="Q85" s="634">
        <f>Discount!$H$36</f>
        <v>0</v>
      </c>
      <c r="R85" s="639">
        <f t="shared" si="11"/>
        <v>0</v>
      </c>
      <c r="S85" s="639">
        <f t="shared" si="12"/>
        <v>0</v>
      </c>
      <c r="T85" s="749">
        <f t="shared" si="13"/>
        <v>0</v>
      </c>
    </row>
    <row r="86" spans="1:20" ht="31.5">
      <c r="A86" s="459">
        <v>70</v>
      </c>
      <c r="B86" s="546">
        <v>7000016714</v>
      </c>
      <c r="C86" s="546">
        <v>700</v>
      </c>
      <c r="D86" s="546" t="s">
        <v>504</v>
      </c>
      <c r="E86" s="546">
        <v>1000058315</v>
      </c>
      <c r="F86" s="546">
        <v>85359030</v>
      </c>
      <c r="G86" s="534"/>
      <c r="H86" s="546">
        <v>28</v>
      </c>
      <c r="I86" s="535"/>
      <c r="J86" s="538" t="s">
        <v>575</v>
      </c>
      <c r="K86" s="546" t="s">
        <v>299</v>
      </c>
      <c r="L86" s="546">
        <v>1</v>
      </c>
      <c r="M86" s="547"/>
      <c r="N86" s="548" t="str">
        <f t="shared" si="8"/>
        <v>INCLUDED</v>
      </c>
      <c r="O86" s="634">
        <f t="shared" si="9"/>
        <v>0</v>
      </c>
      <c r="P86" s="634">
        <f t="shared" si="14"/>
        <v>0</v>
      </c>
      <c r="Q86" s="634">
        <f>Discount!$H$36</f>
        <v>0</v>
      </c>
      <c r="R86" s="639">
        <f t="shared" si="11"/>
        <v>0</v>
      </c>
      <c r="S86" s="639">
        <f t="shared" si="12"/>
        <v>0</v>
      </c>
      <c r="T86" s="749">
        <f t="shared" si="13"/>
        <v>0</v>
      </c>
    </row>
    <row r="87" spans="1:20" ht="63">
      <c r="A87" s="536">
        <v>71</v>
      </c>
      <c r="B87" s="546">
        <v>7000016714</v>
      </c>
      <c r="C87" s="546">
        <v>710</v>
      </c>
      <c r="D87" s="546" t="s">
        <v>504</v>
      </c>
      <c r="E87" s="546">
        <v>1000058327</v>
      </c>
      <c r="F87" s="546">
        <v>85359030</v>
      </c>
      <c r="G87" s="534"/>
      <c r="H87" s="546">
        <v>28</v>
      </c>
      <c r="I87" s="535"/>
      <c r="J87" s="538" t="s">
        <v>576</v>
      </c>
      <c r="K87" s="546" t="s">
        <v>299</v>
      </c>
      <c r="L87" s="546">
        <v>1</v>
      </c>
      <c r="M87" s="547"/>
      <c r="N87" s="548" t="str">
        <f t="shared" si="8"/>
        <v>INCLUDED</v>
      </c>
      <c r="O87" s="634">
        <f t="shared" si="9"/>
        <v>0</v>
      </c>
      <c r="P87" s="634">
        <f t="shared" si="14"/>
        <v>0</v>
      </c>
      <c r="Q87" s="634">
        <f>Discount!$H$36</f>
        <v>0</v>
      </c>
      <c r="R87" s="639">
        <f t="shared" si="11"/>
        <v>0</v>
      </c>
      <c r="S87" s="639">
        <f t="shared" si="12"/>
        <v>0</v>
      </c>
      <c r="T87" s="749">
        <f t="shared" si="13"/>
        <v>0</v>
      </c>
    </row>
    <row r="88" spans="1:20" ht="63">
      <c r="A88" s="459">
        <v>72</v>
      </c>
      <c r="B88" s="546">
        <v>7000016714</v>
      </c>
      <c r="C88" s="546">
        <v>720</v>
      </c>
      <c r="D88" s="546" t="s">
        <v>504</v>
      </c>
      <c r="E88" s="546">
        <v>1000058326</v>
      </c>
      <c r="F88" s="546">
        <v>85359030</v>
      </c>
      <c r="G88" s="534"/>
      <c r="H88" s="546">
        <v>28</v>
      </c>
      <c r="I88" s="535"/>
      <c r="J88" s="538" t="s">
        <v>577</v>
      </c>
      <c r="K88" s="546" t="s">
        <v>299</v>
      </c>
      <c r="L88" s="546">
        <v>1</v>
      </c>
      <c r="M88" s="547"/>
      <c r="N88" s="548" t="str">
        <f t="shared" si="8"/>
        <v>INCLUDED</v>
      </c>
      <c r="O88" s="634">
        <f t="shared" si="9"/>
        <v>0</v>
      </c>
      <c r="P88" s="634">
        <f t="shared" si="14"/>
        <v>0</v>
      </c>
      <c r="Q88" s="634">
        <f>Discount!$H$36</f>
        <v>0</v>
      </c>
      <c r="R88" s="639">
        <f t="shared" si="11"/>
        <v>0</v>
      </c>
      <c r="S88" s="639">
        <f t="shared" si="12"/>
        <v>0</v>
      </c>
      <c r="T88" s="749">
        <f t="shared" si="13"/>
        <v>0</v>
      </c>
    </row>
    <row r="89" spans="1:20" ht="31.5">
      <c r="A89" s="536">
        <v>73</v>
      </c>
      <c r="B89" s="546">
        <v>7000016714</v>
      </c>
      <c r="C89" s="546">
        <v>730</v>
      </c>
      <c r="D89" s="546" t="s">
        <v>504</v>
      </c>
      <c r="E89" s="546">
        <v>1000058328</v>
      </c>
      <c r="F89" s="546">
        <v>85359030</v>
      </c>
      <c r="G89" s="534"/>
      <c r="H89" s="546">
        <v>18</v>
      </c>
      <c r="I89" s="535"/>
      <c r="J89" s="538" t="s">
        <v>578</v>
      </c>
      <c r="K89" s="546" t="s">
        <v>299</v>
      </c>
      <c r="L89" s="546">
        <v>1</v>
      </c>
      <c r="M89" s="547"/>
      <c r="N89" s="548" t="str">
        <f t="shared" si="8"/>
        <v>INCLUDED</v>
      </c>
      <c r="O89" s="634">
        <f t="shared" si="9"/>
        <v>0</v>
      </c>
      <c r="P89" s="634">
        <f t="shared" si="14"/>
        <v>0</v>
      </c>
      <c r="Q89" s="634">
        <f>Discount!$H$36</f>
        <v>0</v>
      </c>
      <c r="R89" s="639">
        <f t="shared" si="11"/>
        <v>0</v>
      </c>
      <c r="S89" s="639">
        <f t="shared" si="12"/>
        <v>0</v>
      </c>
      <c r="T89" s="749">
        <f t="shared" si="13"/>
        <v>0</v>
      </c>
    </row>
    <row r="90" spans="1:20">
      <c r="A90" s="459">
        <v>74</v>
      </c>
      <c r="B90" s="546">
        <v>7000016714</v>
      </c>
      <c r="C90" s="546">
        <v>740</v>
      </c>
      <c r="D90" s="546" t="s">
        <v>505</v>
      </c>
      <c r="E90" s="546">
        <v>1000019912</v>
      </c>
      <c r="F90" s="546">
        <v>85371000</v>
      </c>
      <c r="G90" s="534"/>
      <c r="H90" s="546">
        <v>18</v>
      </c>
      <c r="I90" s="535"/>
      <c r="J90" s="538" t="s">
        <v>579</v>
      </c>
      <c r="K90" s="546" t="s">
        <v>475</v>
      </c>
      <c r="L90" s="546">
        <v>1</v>
      </c>
      <c r="M90" s="547"/>
      <c r="N90" s="548" t="str">
        <f t="shared" si="8"/>
        <v>INCLUDED</v>
      </c>
      <c r="O90" s="634">
        <f t="shared" si="9"/>
        <v>0</v>
      </c>
      <c r="P90" s="634">
        <f t="shared" si="14"/>
        <v>0</v>
      </c>
      <c r="Q90" s="634">
        <f>Discount!$H$36</f>
        <v>0</v>
      </c>
      <c r="R90" s="639">
        <f t="shared" si="11"/>
        <v>0</v>
      </c>
      <c r="S90" s="639">
        <f t="shared" si="12"/>
        <v>0</v>
      </c>
      <c r="T90" s="749">
        <f t="shared" si="13"/>
        <v>0</v>
      </c>
    </row>
    <row r="91" spans="1:20">
      <c r="A91" s="536">
        <v>75</v>
      </c>
      <c r="B91" s="546">
        <v>7000016714</v>
      </c>
      <c r="C91" s="546">
        <v>750</v>
      </c>
      <c r="D91" s="546" t="s">
        <v>505</v>
      </c>
      <c r="E91" s="546">
        <v>1000019927</v>
      </c>
      <c r="F91" s="546">
        <v>85389000</v>
      </c>
      <c r="G91" s="534"/>
      <c r="H91" s="546">
        <v>18</v>
      </c>
      <c r="I91" s="535"/>
      <c r="J91" s="538" t="s">
        <v>580</v>
      </c>
      <c r="K91" s="546" t="s">
        <v>475</v>
      </c>
      <c r="L91" s="546">
        <v>1</v>
      </c>
      <c r="M91" s="547"/>
      <c r="N91" s="548" t="str">
        <f t="shared" si="8"/>
        <v>INCLUDED</v>
      </c>
      <c r="O91" s="634">
        <f t="shared" si="9"/>
        <v>0</v>
      </c>
      <c r="P91" s="634">
        <f t="shared" si="14"/>
        <v>0</v>
      </c>
      <c r="Q91" s="634">
        <f>Discount!$H$36</f>
        <v>0</v>
      </c>
      <c r="R91" s="639">
        <f t="shared" si="11"/>
        <v>0</v>
      </c>
      <c r="S91" s="639">
        <f t="shared" si="12"/>
        <v>0</v>
      </c>
      <c r="T91" s="749">
        <f t="shared" si="13"/>
        <v>0</v>
      </c>
    </row>
    <row r="92" spans="1:20" ht="31.5">
      <c r="A92" s="459">
        <v>76</v>
      </c>
      <c r="B92" s="546">
        <v>7000016714</v>
      </c>
      <c r="C92" s="546">
        <v>810</v>
      </c>
      <c r="D92" s="546" t="s">
        <v>506</v>
      </c>
      <c r="E92" s="546">
        <v>1000017567</v>
      </c>
      <c r="F92" s="546">
        <v>73045930</v>
      </c>
      <c r="G92" s="534"/>
      <c r="H92" s="546">
        <v>18</v>
      </c>
      <c r="I92" s="535"/>
      <c r="J92" s="538" t="s">
        <v>581</v>
      </c>
      <c r="K92" s="546" t="s">
        <v>299</v>
      </c>
      <c r="L92" s="546">
        <v>8</v>
      </c>
      <c r="M92" s="547"/>
      <c r="N92" s="548" t="str">
        <f t="shared" si="8"/>
        <v>INCLUDED</v>
      </c>
      <c r="O92" s="634">
        <f t="shared" si="9"/>
        <v>0</v>
      </c>
      <c r="P92" s="634">
        <f t="shared" ref="P92:P93" si="21">IF( I92="",H92*(IF(N92="Included",0,N92))/100,I92*(IF(N92="Included",0,N92)))</f>
        <v>0</v>
      </c>
      <c r="Q92" s="634">
        <f>Discount!$H$36</f>
        <v>0</v>
      </c>
      <c r="R92" s="639">
        <f t="shared" si="11"/>
        <v>0</v>
      </c>
      <c r="S92" s="639">
        <f t="shared" si="12"/>
        <v>0</v>
      </c>
      <c r="T92" s="749">
        <f t="shared" si="13"/>
        <v>0</v>
      </c>
    </row>
    <row r="93" spans="1:20" ht="47.25">
      <c r="A93" s="536">
        <v>77</v>
      </c>
      <c r="B93" s="546">
        <v>7000016714</v>
      </c>
      <c r="C93" s="546">
        <v>880</v>
      </c>
      <c r="D93" s="546" t="s">
        <v>507</v>
      </c>
      <c r="E93" s="546">
        <v>1000012366</v>
      </c>
      <c r="F93" s="546">
        <v>73082011</v>
      </c>
      <c r="G93" s="534"/>
      <c r="H93" s="546">
        <v>18</v>
      </c>
      <c r="I93" s="535"/>
      <c r="J93" s="538" t="s">
        <v>582</v>
      </c>
      <c r="K93" s="546" t="s">
        <v>299</v>
      </c>
      <c r="L93" s="546">
        <v>32</v>
      </c>
      <c r="M93" s="547"/>
      <c r="N93" s="548" t="str">
        <f t="shared" si="8"/>
        <v>INCLUDED</v>
      </c>
      <c r="O93" s="634">
        <f t="shared" si="9"/>
        <v>0</v>
      </c>
      <c r="P93" s="634">
        <f t="shared" si="21"/>
        <v>0</v>
      </c>
      <c r="Q93" s="634">
        <f>Discount!$H$36</f>
        <v>0</v>
      </c>
      <c r="R93" s="639">
        <f t="shared" si="11"/>
        <v>0</v>
      </c>
      <c r="S93" s="639">
        <f t="shared" si="12"/>
        <v>0</v>
      </c>
      <c r="T93" s="749">
        <f t="shared" si="13"/>
        <v>0</v>
      </c>
    </row>
    <row r="94" spans="1:20" ht="16.5">
      <c r="A94" s="828" t="s">
        <v>483</v>
      </c>
      <c r="B94" s="828"/>
      <c r="C94" s="828"/>
      <c r="D94" s="828"/>
      <c r="E94" s="828"/>
      <c r="F94" s="828"/>
      <c r="G94" s="828"/>
      <c r="H94" s="828"/>
      <c r="I94" s="828"/>
      <c r="J94" s="828"/>
      <c r="K94" s="828"/>
      <c r="L94" s="828"/>
      <c r="M94" s="828"/>
      <c r="N94" s="735">
        <f>SUM(N17:N93)</f>
        <v>0</v>
      </c>
      <c r="O94" s="635"/>
      <c r="P94" s="636">
        <f>SUM(P17:P93)</f>
        <v>0</v>
      </c>
      <c r="Q94" s="637"/>
      <c r="R94" s="737">
        <f>SUM(R17:R93)</f>
        <v>0</v>
      </c>
      <c r="S94" s="638">
        <f>SUM(S17:S93)</f>
        <v>0</v>
      </c>
      <c r="T94" s="749">
        <f>SUM(T17:T93)</f>
        <v>0</v>
      </c>
    </row>
    <row r="95" spans="1:20" ht="16.5">
      <c r="A95" s="828" t="s">
        <v>271</v>
      </c>
      <c r="B95" s="828"/>
      <c r="C95" s="828"/>
      <c r="D95" s="828"/>
      <c r="E95" s="828"/>
      <c r="F95" s="828"/>
      <c r="G95" s="828"/>
      <c r="H95" s="828"/>
      <c r="I95" s="828"/>
      <c r="J95" s="828"/>
      <c r="K95" s="828"/>
      <c r="L95" s="828"/>
      <c r="M95" s="828"/>
      <c r="N95" s="735">
        <f>'Sch-7'!M18</f>
        <v>0</v>
      </c>
      <c r="O95" s="541"/>
      <c r="P95" s="541"/>
      <c r="Q95" s="516"/>
      <c r="R95" s="516"/>
      <c r="S95" s="516"/>
    </row>
    <row r="96" spans="1:20" ht="16.5">
      <c r="A96" s="828" t="s">
        <v>473</v>
      </c>
      <c r="B96" s="828"/>
      <c r="C96" s="828"/>
      <c r="D96" s="828"/>
      <c r="E96" s="828"/>
      <c r="F96" s="828"/>
      <c r="G96" s="828"/>
      <c r="H96" s="828"/>
      <c r="I96" s="828"/>
      <c r="J96" s="828"/>
      <c r="K96" s="828"/>
      <c r="L96" s="828"/>
      <c r="M96" s="828"/>
      <c r="N96" s="735">
        <f>N94+N95</f>
        <v>0</v>
      </c>
      <c r="O96" s="541"/>
      <c r="P96" s="541"/>
      <c r="Q96" s="516"/>
      <c r="R96" s="516"/>
      <c r="S96" s="516"/>
    </row>
    <row r="97" spans="1:19" ht="16.5">
      <c r="A97" s="543"/>
      <c r="B97" s="830" t="s">
        <v>311</v>
      </c>
      <c r="C97" s="830"/>
      <c r="D97" s="830"/>
      <c r="E97" s="830"/>
      <c r="F97" s="830"/>
      <c r="G97" s="830"/>
      <c r="H97" s="830"/>
      <c r="I97" s="830"/>
      <c r="J97" s="830"/>
      <c r="K97" s="830"/>
      <c r="L97" s="830"/>
      <c r="M97" s="830"/>
      <c r="N97" s="830"/>
      <c r="O97" s="541"/>
      <c r="P97" s="541"/>
      <c r="Q97" s="516"/>
      <c r="R97" s="516"/>
      <c r="S97" s="516"/>
    </row>
    <row r="98" spans="1:19">
      <c r="A98" s="543"/>
      <c r="B98" s="543"/>
      <c r="C98" s="543"/>
      <c r="D98" s="545"/>
      <c r="E98" s="543"/>
      <c r="F98" s="543"/>
      <c r="G98" s="543"/>
      <c r="H98" s="543"/>
      <c r="I98" s="543"/>
      <c r="J98" s="545"/>
      <c r="K98" s="543"/>
      <c r="L98" s="543"/>
      <c r="M98" s="543"/>
      <c r="N98" s="543"/>
      <c r="O98" s="516"/>
      <c r="P98" s="516"/>
      <c r="Q98" s="516"/>
      <c r="R98" s="516"/>
      <c r="S98" s="516"/>
    </row>
    <row r="99" spans="1:19" ht="16.5">
      <c r="A99" s="543"/>
      <c r="B99" s="543" t="s">
        <v>315</v>
      </c>
      <c r="C99" s="832" t="str">
        <f>'Names of Bidder'!D27&amp;" "&amp;'Names of Bidder'!E27&amp;" "&amp;'Names of Bidder'!F27</f>
        <v xml:space="preserve">  </v>
      </c>
      <c r="D99" s="829"/>
      <c r="E99" s="543"/>
      <c r="F99" s="543"/>
      <c r="G99" s="543"/>
      <c r="H99" s="543"/>
      <c r="I99" s="544"/>
      <c r="J99" s="740" t="s">
        <v>317</v>
      </c>
      <c r="K99" s="831" t="str">
        <f>IF('Names of Bidder'!D24="","",'Names of Bidder'!D24)</f>
        <v/>
      </c>
      <c r="L99" s="831"/>
      <c r="M99" s="831"/>
      <c r="N99" s="831"/>
      <c r="O99" s="516"/>
      <c r="P99" s="516"/>
      <c r="Q99" s="516"/>
      <c r="R99" s="516"/>
      <c r="S99" s="516"/>
    </row>
    <row r="100" spans="1:19" ht="16.5">
      <c r="A100" s="543"/>
      <c r="B100" s="543" t="s">
        <v>316</v>
      </c>
      <c r="C100" s="829" t="str">
        <f>IF('Names of Bidder'!D28="","",'Names of Bidder'!D28)</f>
        <v/>
      </c>
      <c r="D100" s="829"/>
      <c r="E100" s="543"/>
      <c r="F100" s="543"/>
      <c r="G100" s="543"/>
      <c r="H100" s="543"/>
      <c r="I100" s="544"/>
      <c r="J100" s="740" t="s">
        <v>124</v>
      </c>
      <c r="K100" s="831" t="str">
        <f>IF('Names of Bidder'!D25="","",'Names of Bidder'!D25)</f>
        <v/>
      </c>
      <c r="L100" s="831"/>
      <c r="M100" s="831"/>
      <c r="N100" s="831"/>
      <c r="O100" s="516"/>
      <c r="P100" s="516"/>
      <c r="Q100" s="516"/>
      <c r="R100" s="516"/>
      <c r="S100" s="516"/>
    </row>
    <row r="101" spans="1:19">
      <c r="A101" s="543"/>
      <c r="B101" s="543"/>
      <c r="C101" s="543"/>
      <c r="D101" s="545"/>
      <c r="E101" s="543"/>
      <c r="F101" s="543"/>
      <c r="G101" s="543"/>
      <c r="H101" s="543"/>
      <c r="I101" s="543"/>
      <c r="J101" s="545"/>
      <c r="K101" s="543"/>
      <c r="L101" s="543"/>
      <c r="M101" s="543"/>
      <c r="N101" s="543"/>
      <c r="O101" s="516"/>
      <c r="P101" s="516"/>
      <c r="Q101" s="516"/>
      <c r="R101" s="516"/>
      <c r="S101" s="516"/>
    </row>
    <row r="102" spans="1:19">
      <c r="A102" s="543"/>
      <c r="B102" s="543"/>
      <c r="C102" s="543"/>
      <c r="D102" s="545"/>
      <c r="E102" s="543"/>
      <c r="F102" s="543"/>
      <c r="G102" s="545"/>
      <c r="H102" s="545"/>
      <c r="I102" s="545"/>
      <c r="J102" s="545"/>
      <c r="K102" s="543"/>
      <c r="L102" s="543"/>
      <c r="M102" s="543"/>
      <c r="N102" s="543"/>
    </row>
    <row r="103" spans="1:19">
      <c r="G103" s="728"/>
      <c r="H103" s="728"/>
      <c r="I103" s="728"/>
    </row>
    <row r="104" spans="1:19">
      <c r="G104" s="728"/>
      <c r="H104" s="728"/>
      <c r="I104" s="728"/>
    </row>
    <row r="105" spans="1:19">
      <c r="G105" s="728"/>
      <c r="H105" s="728"/>
      <c r="I105" s="728"/>
    </row>
    <row r="106" spans="1:19">
      <c r="G106" s="728"/>
      <c r="H106" s="728"/>
      <c r="I106" s="728"/>
    </row>
    <row r="107" spans="1:19">
      <c r="G107" s="728"/>
      <c r="H107" s="728"/>
      <c r="I107" s="728"/>
    </row>
    <row r="108" spans="1:19">
      <c r="G108" s="728"/>
      <c r="H108" s="728"/>
      <c r="I108" s="728"/>
    </row>
    <row r="109" spans="1:19">
      <c r="G109" s="728"/>
      <c r="H109" s="728"/>
      <c r="I109" s="728"/>
    </row>
    <row r="110" spans="1:19">
      <c r="G110" s="728"/>
      <c r="H110" s="728"/>
      <c r="I110" s="728"/>
    </row>
    <row r="111" spans="1:19">
      <c r="G111" s="728"/>
      <c r="H111" s="728"/>
      <c r="I111" s="728"/>
    </row>
    <row r="112" spans="1:19">
      <c r="G112" s="728"/>
      <c r="H112" s="728"/>
      <c r="I112" s="728"/>
    </row>
    <row r="113" spans="7:9">
      <c r="G113" s="728"/>
      <c r="H113" s="728"/>
      <c r="I113" s="728"/>
    </row>
    <row r="114" spans="7:9">
      <c r="G114" s="728"/>
      <c r="H114" s="728"/>
      <c r="I114" s="728"/>
    </row>
    <row r="115" spans="7:9">
      <c r="G115" s="728"/>
      <c r="H115" s="728"/>
      <c r="I115" s="728"/>
    </row>
    <row r="116" spans="7:9">
      <c r="G116" s="728"/>
      <c r="H116" s="728"/>
      <c r="I116" s="728"/>
    </row>
    <row r="117" spans="7:9">
      <c r="G117" s="728"/>
      <c r="H117" s="728"/>
      <c r="I117" s="728"/>
    </row>
    <row r="118" spans="7:9">
      <c r="G118" s="728"/>
      <c r="H118" s="728"/>
      <c r="I118" s="728"/>
    </row>
    <row r="119" spans="7:9">
      <c r="G119" s="728"/>
      <c r="H119" s="728"/>
      <c r="I119" s="728"/>
    </row>
    <row r="120" spans="7:9">
      <c r="G120" s="728"/>
      <c r="H120" s="728"/>
      <c r="I120" s="728"/>
    </row>
    <row r="121" spans="7:9">
      <c r="G121" s="728"/>
      <c r="H121" s="728"/>
      <c r="I121" s="728"/>
    </row>
    <row r="122" spans="7:9">
      <c r="G122" s="728"/>
      <c r="H122" s="728"/>
      <c r="I122" s="728"/>
    </row>
    <row r="123" spans="7:9">
      <c r="G123" s="728"/>
      <c r="H123" s="728"/>
      <c r="I123" s="728"/>
    </row>
    <row r="124" spans="7:9">
      <c r="G124" s="728"/>
      <c r="H124" s="728"/>
      <c r="I124" s="728"/>
    </row>
    <row r="125" spans="7:9">
      <c r="G125" s="728"/>
      <c r="H125" s="728"/>
      <c r="I125" s="728"/>
    </row>
    <row r="126" spans="7:9">
      <c r="G126" s="728"/>
      <c r="H126" s="728"/>
      <c r="I126" s="728"/>
    </row>
    <row r="127" spans="7:9">
      <c r="G127" s="728"/>
      <c r="H127" s="728"/>
      <c r="I127" s="728"/>
    </row>
    <row r="128" spans="7:9">
      <c r="G128" s="728"/>
      <c r="H128" s="728"/>
      <c r="I128" s="728"/>
    </row>
    <row r="129" spans="7:9">
      <c r="G129" s="728"/>
      <c r="H129" s="728"/>
      <c r="I129" s="728"/>
    </row>
    <row r="130" spans="7:9">
      <c r="G130" s="728"/>
      <c r="H130" s="728"/>
      <c r="I130" s="728"/>
    </row>
    <row r="131" spans="7:9">
      <c r="G131" s="728"/>
      <c r="H131" s="728"/>
      <c r="I131" s="728"/>
    </row>
    <row r="132" spans="7:9">
      <c r="G132" s="728"/>
      <c r="H132" s="728"/>
      <c r="I132" s="728"/>
    </row>
    <row r="133" spans="7:9">
      <c r="G133" s="728"/>
      <c r="H133" s="728"/>
      <c r="I133" s="728"/>
    </row>
  </sheetData>
  <sheetProtection algorithmName="SHA-512" hashValue="Nn1HnQWPz9ex26DMvm1gcQzzud0/puh+8l7t8uGlz2bD1n5PFDFly7tImh7Z2FujVfaqHw3s/FaOfr37Dbx7og==" saltValue="wVz7YAHKeUlMbqaWupWQCg==" spinCount="100000" sheet="1" formatColumns="0" formatRows="0" selectLockedCells="1"/>
  <customSheetViews>
    <customSheetView guid="{CCA37BAE-906F-43D5-9FD9-B13563E4B9D7}" scale="70" showPageBreaks="1" printArea="1" hiddenColumns="1" view="pageBreakPreview" topLeftCell="A85">
      <selection activeCell="M93" sqref="M93"/>
      <pageMargins left="0.25" right="0.25" top="0.75" bottom="0.5" header="0.3" footer="0.5"/>
      <printOptions horizontalCentered="1"/>
      <pageSetup paperSize="9" scale="57" orientation="landscape" r:id="rId1"/>
      <headerFooter>
        <oddHeader>&amp;RSchedule-1
Page &amp;P of &amp;N</oddHeader>
      </headerFooter>
    </customSheetView>
    <customSheetView guid="{CA9345C4-09FE-4F27-BFD9-3D9BCD2DED09}" scale="70" showPageBreaks="1" printArea="1" hiddenColumns="1" view="pageBreakPreview" topLeftCell="A281">
      <selection activeCell="G290" sqref="G290"/>
      <pageMargins left="0.25" right="0.25" top="0.75" bottom="0.5" header="0.3" footer="0.5"/>
      <printOptions horizontalCentered="1"/>
      <pageSetup paperSize="9" scale="57" orientation="landscape" r:id="rId2"/>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3"/>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8"/>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9"/>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10"/>
      <headerFooter>
        <oddHeader>&amp;RSchedule-1
Page &amp;P of &amp;N</oddHeader>
      </headerFooter>
    </customSheetView>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s>
  <mergeCells count="22">
    <mergeCell ref="Z10:AL10"/>
    <mergeCell ref="Z8:AL8"/>
    <mergeCell ref="Z9:AL9"/>
    <mergeCell ref="A94:M94"/>
    <mergeCell ref="C100:D100"/>
    <mergeCell ref="B97:N97"/>
    <mergeCell ref="K100:N100"/>
    <mergeCell ref="K99:N99"/>
    <mergeCell ref="A95:M95"/>
    <mergeCell ref="A96:M96"/>
    <mergeCell ref="C99:D99"/>
    <mergeCell ref="A3:N3"/>
    <mergeCell ref="A4:N4"/>
    <mergeCell ref="A6:B6"/>
    <mergeCell ref="A8:G8"/>
    <mergeCell ref="K14:N14"/>
    <mergeCell ref="C12:G12"/>
    <mergeCell ref="C10:G10"/>
    <mergeCell ref="C9:G9"/>
    <mergeCell ref="A7:I7"/>
    <mergeCell ref="A13:N13"/>
    <mergeCell ref="C11:G11"/>
  </mergeCells>
  <conditionalFormatting sqref="I17:I18 I64:I69 I71:I93">
    <cfRule type="expression" dxfId="12" priority="39" stopIfTrue="1">
      <formula>H17&gt;0</formula>
    </cfRule>
  </conditionalFormatting>
  <conditionalFormatting sqref="I19:I20">
    <cfRule type="expression" dxfId="11" priority="17" stopIfTrue="1">
      <formula>H19&gt;0</formula>
    </cfRule>
  </conditionalFormatting>
  <conditionalFormatting sqref="I21:I23">
    <cfRule type="expression" dxfId="10" priority="12" stopIfTrue="1">
      <formula>H21&gt;0</formula>
    </cfRule>
  </conditionalFormatting>
  <conditionalFormatting sqref="I24:I63">
    <cfRule type="expression" dxfId="9" priority="11" stopIfTrue="1">
      <formula>H24&gt;0</formula>
    </cfRule>
  </conditionalFormatting>
  <conditionalFormatting sqref="I70">
    <cfRule type="expression" dxfId="8" priority="1" stopIfTrue="1">
      <formula>H70&gt;0</formula>
    </cfRule>
  </conditionalFormatting>
  <dataValidations count="3">
    <dataValidation type="list" operator="greaterThan" allowBlank="1" showInputMessage="1" showErrorMessage="1" sqref="I17:I93" xr:uid="{00000000-0002-0000-0400-000000000000}">
      <formula1>"0%,5%,12%,18%,28%"</formula1>
    </dataValidation>
    <dataValidation type="whole" operator="greaterThan" allowBlank="1" showInputMessage="1" showErrorMessage="1" sqref="G17:G93" xr:uid="{00000000-0002-0000-0400-000001000000}">
      <formula1>0</formula1>
    </dataValidation>
    <dataValidation type="decimal" operator="greaterThanOrEqual" allowBlank="1" showInputMessage="1" showErrorMessage="1" sqref="M17:M93" xr:uid="{00000000-0002-0000-0400-000002000000}">
      <formula1>0</formula1>
    </dataValidation>
  </dataValidations>
  <printOptions horizontalCentered="1"/>
  <pageMargins left="0.25" right="0.25" top="0.75" bottom="0.5" header="0.3" footer="0.5"/>
  <pageSetup paperSize="9" scale="57" orientation="landscape" r:id="rId12"/>
  <headerFooter>
    <oddHeader>&amp;RSchedule-1
Page &amp;P of &amp;N</oddHeader>
  </headerFooter>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100"/>
  <sheetViews>
    <sheetView view="pageBreakPreview" topLeftCell="A85" zoomScale="80" zoomScaleNormal="100" zoomScaleSheetLayoutView="80" workbookViewId="0">
      <selection activeCell="I93" sqref="I93"/>
    </sheetView>
  </sheetViews>
  <sheetFormatPr defaultColWidth="9.140625"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5.85546875" style="428" customWidth="1"/>
    <col min="11" max="13" width="10.28515625" style="425" customWidth="1"/>
    <col min="14" max="14" width="9.140625" style="425" customWidth="1"/>
    <col min="15" max="17" width="9.140625" style="425"/>
    <col min="18" max="28" width="9.140625" style="416"/>
    <col min="29" max="16384" width="9.140625" style="424"/>
  </cols>
  <sheetData>
    <row r="1" spans="1:32" ht="36" customHeight="1">
      <c r="A1" s="1" t="str">
        <f>Basic!B5</f>
        <v>Spec. No.: 5002002223/GIS-EXCLUDING/DOM/A00 - CC CS -1</v>
      </c>
      <c r="B1" s="1"/>
      <c r="C1" s="1"/>
      <c r="D1" s="419"/>
      <c r="E1" s="419"/>
      <c r="F1" s="419"/>
      <c r="G1" s="422"/>
      <c r="H1" s="422"/>
      <c r="I1" s="423"/>
      <c r="J1" s="751" t="s">
        <v>489</v>
      </c>
    </row>
    <row r="2" spans="1:32" ht="21.75" customHeight="1">
      <c r="A2" s="418"/>
      <c r="B2" s="418"/>
      <c r="C2" s="418"/>
      <c r="D2" s="418"/>
      <c r="E2" s="418"/>
      <c r="F2" s="418"/>
      <c r="G2" s="352"/>
      <c r="H2" s="352"/>
      <c r="I2" s="426"/>
      <c r="J2" s="352"/>
    </row>
    <row r="3" spans="1:32" ht="92.25" customHeight="1">
      <c r="A3" s="818" t="str">
        <f>Cover!$B$2</f>
        <v xml:space="preserve">Substation Package SS-92 for Extension of 400/220kV GIS Indore S/S under Transmission System associated with Scheme to control fault level at Indore Substation in Western Region
</v>
      </c>
      <c r="B3" s="818"/>
      <c r="C3" s="818"/>
      <c r="D3" s="818"/>
      <c r="E3" s="818"/>
      <c r="F3" s="818"/>
      <c r="G3" s="818"/>
      <c r="H3" s="818"/>
      <c r="I3" s="818"/>
      <c r="J3" s="818"/>
      <c r="K3" s="427"/>
      <c r="N3" s="835"/>
      <c r="O3" s="835"/>
      <c r="R3" s="425"/>
      <c r="S3" s="425"/>
      <c r="T3" s="425"/>
      <c r="U3" s="425"/>
      <c r="V3" s="425"/>
      <c r="W3" s="425"/>
      <c r="X3" s="425"/>
      <c r="Y3" s="425"/>
      <c r="Z3" s="425"/>
      <c r="AA3" s="425"/>
      <c r="AC3" s="416"/>
      <c r="AD3" s="416"/>
      <c r="AE3" s="416"/>
      <c r="AF3" s="416"/>
    </row>
    <row r="4" spans="1:32" ht="21.95" customHeight="1">
      <c r="A4" s="836" t="s">
        <v>0</v>
      </c>
      <c r="B4" s="836"/>
      <c r="C4" s="836"/>
      <c r="D4" s="836"/>
      <c r="E4" s="836"/>
      <c r="F4" s="836"/>
      <c r="G4" s="836"/>
      <c r="H4" s="836"/>
      <c r="I4" s="836"/>
      <c r="J4" s="836"/>
    </row>
    <row r="5" spans="1:32" ht="15" customHeight="1">
      <c r="J5" s="352"/>
    </row>
    <row r="6" spans="1:32" ht="22.5" customHeight="1">
      <c r="A6" s="820" t="s">
        <v>350</v>
      </c>
      <c r="B6" s="820"/>
      <c r="C6" s="4"/>
      <c r="D6" s="352"/>
      <c r="E6" s="4"/>
      <c r="F6" s="4"/>
      <c r="G6" s="4"/>
      <c r="H6" s="4"/>
      <c r="I6" s="4"/>
      <c r="J6" s="352"/>
    </row>
    <row r="7" spans="1:32" ht="25.5" customHeight="1">
      <c r="A7" s="825" t="str">
        <f>'Sch-1'!A7</f>
        <v>JOINT VENTURE OF 0 &amp; X</v>
      </c>
      <c r="B7" s="825"/>
      <c r="C7" s="825"/>
      <c r="D7" s="825"/>
      <c r="E7" s="825"/>
      <c r="F7" s="825"/>
      <c r="G7" s="595"/>
      <c r="H7" s="456" t="s">
        <v>1</v>
      </c>
      <c r="I7" s="595"/>
      <c r="J7" s="352"/>
    </row>
    <row r="8" spans="1:32" ht="29.25" customHeight="1">
      <c r="A8" s="821" t="str">
        <f>"Bidder’s Name and Address  (" &amp; MID('Names of Bidder'!B9,9, 20) &amp; ") :"</f>
        <v>Bidder’s Name and Address  (Lead Partner) :</v>
      </c>
      <c r="B8" s="821"/>
      <c r="C8" s="821"/>
      <c r="D8" s="821"/>
      <c r="E8" s="821"/>
      <c r="F8" s="821"/>
      <c r="G8" s="821"/>
      <c r="H8" s="457" t="s">
        <v>2</v>
      </c>
      <c r="I8" s="549"/>
      <c r="J8" s="352"/>
    </row>
    <row r="9" spans="1:32" ht="26.25" customHeight="1">
      <c r="A9" s="462" t="s">
        <v>12</v>
      </c>
      <c r="B9" s="408"/>
      <c r="C9" s="824" t="str">
        <f>IF('Names of Bidder'!D9=0, "", 'Names of Bidder'!D9)</f>
        <v/>
      </c>
      <c r="D9" s="824"/>
      <c r="E9" s="824"/>
      <c r="F9" s="597"/>
      <c r="G9" s="597"/>
      <c r="H9" s="457" t="s">
        <v>3</v>
      </c>
      <c r="I9" s="409"/>
      <c r="J9" s="352"/>
    </row>
    <row r="10" spans="1:32" ht="17.25" customHeight="1">
      <c r="A10" s="462" t="s">
        <v>11</v>
      </c>
      <c r="B10" s="408"/>
      <c r="C10" s="823" t="str">
        <f>IF('Names of Bidder'!D10=0, "", 'Names of Bidder'!D10)</f>
        <v/>
      </c>
      <c r="D10" s="823"/>
      <c r="E10" s="823"/>
      <c r="F10" s="597"/>
      <c r="G10" s="597"/>
      <c r="H10" s="457" t="s">
        <v>4</v>
      </c>
      <c r="I10" s="409"/>
      <c r="J10" s="352"/>
    </row>
    <row r="11" spans="1:32" ht="18" customHeight="1">
      <c r="A11" s="409"/>
      <c r="B11" s="409"/>
      <c r="C11" s="823" t="str">
        <f>IF('Names of Bidder'!D11=0, "", 'Names of Bidder'!D11)</f>
        <v/>
      </c>
      <c r="D11" s="823"/>
      <c r="E11" s="823"/>
      <c r="F11" s="597"/>
      <c r="G11" s="597"/>
      <c r="H11" s="457" t="s">
        <v>5</v>
      </c>
      <c r="I11" s="409"/>
      <c r="J11" s="352"/>
    </row>
    <row r="12" spans="1:32" ht="18" customHeight="1">
      <c r="A12" s="409"/>
      <c r="B12" s="409"/>
      <c r="C12" s="823" t="str">
        <f>IF('Names of Bidder'!D12=0, "", 'Names of Bidder'!D12)</f>
        <v/>
      </c>
      <c r="D12" s="823"/>
      <c r="E12" s="823"/>
      <c r="F12" s="597"/>
      <c r="G12" s="597"/>
      <c r="H12" s="457" t="s">
        <v>6</v>
      </c>
      <c r="I12" s="409"/>
      <c r="J12" s="352"/>
    </row>
    <row r="13" spans="1:32" s="472" customFormat="1" ht="26.45" customHeight="1">
      <c r="A13" s="833" t="s">
        <v>364</v>
      </c>
      <c r="B13" s="833"/>
      <c r="C13" s="833"/>
      <c r="D13" s="833"/>
      <c r="E13" s="833"/>
      <c r="F13" s="833"/>
      <c r="G13" s="833"/>
      <c r="H13" s="833"/>
      <c r="I13" s="833"/>
      <c r="J13" s="833"/>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39" t="s">
        <v>355</v>
      </c>
      <c r="J14" s="839"/>
    </row>
    <row r="15" spans="1:32" ht="102" customHeight="1">
      <c r="A15" s="13" t="s">
        <v>7</v>
      </c>
      <c r="B15" s="17" t="s">
        <v>266</v>
      </c>
      <c r="C15" s="17" t="s">
        <v>278</v>
      </c>
      <c r="D15" s="17" t="s">
        <v>280</v>
      </c>
      <c r="E15" s="17" t="s">
        <v>13</v>
      </c>
      <c r="F15" s="14" t="s">
        <v>14</v>
      </c>
      <c r="G15" s="14" t="s">
        <v>9</v>
      </c>
      <c r="H15" s="14" t="s">
        <v>15</v>
      </c>
      <c r="I15" s="14" t="s">
        <v>363</v>
      </c>
      <c r="J15" s="15" t="s">
        <v>362</v>
      </c>
    </row>
    <row r="16" spans="1:32" s="610" customFormat="1">
      <c r="A16" s="604">
        <v>1</v>
      </c>
      <c r="B16" s="604">
        <v>2</v>
      </c>
      <c r="C16" s="604">
        <v>3</v>
      </c>
      <c r="D16" s="604">
        <v>4</v>
      </c>
      <c r="E16" s="604">
        <v>5</v>
      </c>
      <c r="F16" s="604">
        <v>6</v>
      </c>
      <c r="G16" s="604">
        <v>7</v>
      </c>
      <c r="H16" s="604">
        <v>8</v>
      </c>
      <c r="I16" s="604">
        <v>9</v>
      </c>
      <c r="J16" s="604" t="s">
        <v>356</v>
      </c>
      <c r="K16" s="608"/>
      <c r="L16" s="608"/>
      <c r="M16" s="608"/>
      <c r="N16" s="608"/>
      <c r="O16" s="608"/>
      <c r="P16" s="608"/>
      <c r="Q16" s="608"/>
      <c r="R16" s="609"/>
      <c r="S16" s="609"/>
      <c r="T16" s="609"/>
      <c r="U16" s="609"/>
      <c r="V16" s="609"/>
      <c r="W16" s="609"/>
      <c r="X16" s="609"/>
      <c r="Y16" s="609"/>
      <c r="Z16" s="609"/>
      <c r="AA16" s="609"/>
      <c r="AB16" s="609"/>
    </row>
    <row r="17" spans="1:10" ht="31.5">
      <c r="A17" s="734">
        <f>'Sch-1'!A17</f>
        <v>1</v>
      </c>
      <c r="B17" s="546">
        <f>'Sch-1'!B17</f>
        <v>7000016714</v>
      </c>
      <c r="C17" s="546">
        <f>'Sch-1'!C17</f>
        <v>10</v>
      </c>
      <c r="D17" s="546" t="str">
        <f>'Sch-1'!D17</f>
        <v xml:space="preserve">400kV GIS Equipments                    </v>
      </c>
      <c r="E17" s="546">
        <f>'Sch-1'!E17</f>
        <v>1000004654</v>
      </c>
      <c r="F17" s="538" t="str">
        <f>'Sch-1'!J17</f>
        <v>420kV, 4000 A, 63 kA, SF6 GIS Bussectionaliser module as perSection-Project, Technicalspecification</v>
      </c>
      <c r="G17" s="546" t="str">
        <f>'Sch-1'!K17</f>
        <v>SET</v>
      </c>
      <c r="H17" s="546">
        <f>'Sch-1'!L17</f>
        <v>2</v>
      </c>
      <c r="I17" s="547"/>
      <c r="J17" s="548" t="str">
        <f t="shared" ref="J17:J93" si="0">IF(I17=0, "INCLUDED", IF(ISERROR(I17*H17), I17, I17*H17))</f>
        <v>INCLUDED</v>
      </c>
    </row>
    <row r="18" spans="1:10" ht="47.25">
      <c r="A18" s="734">
        <f>'Sch-1'!A18</f>
        <v>2</v>
      </c>
      <c r="B18" s="546">
        <f>'Sch-1'!B18</f>
        <v>7000016714</v>
      </c>
      <c r="C18" s="546">
        <f>'Sch-1'!C18</f>
        <v>20</v>
      </c>
      <c r="D18" s="546" t="str">
        <f>'Sch-1'!D18</f>
        <v xml:space="preserve">400kV GIS Equipments                    </v>
      </c>
      <c r="E18" s="546">
        <f>'Sch-1'!E18</f>
        <v>1000004295</v>
      </c>
      <c r="F18" s="538" t="str">
        <f>'Sch-1'!J18</f>
        <v>420kV, 4000A,63kA, Single phase SF6 GasInsulated Bus Duct (GIB) outside GISHall alongwith associated supportstructure</v>
      </c>
      <c r="G18" s="546" t="str">
        <f>'Sch-1'!K18</f>
        <v xml:space="preserve">M  </v>
      </c>
      <c r="H18" s="546">
        <f>'Sch-1'!L18</f>
        <v>300</v>
      </c>
      <c r="I18" s="547"/>
      <c r="J18" s="548" t="str">
        <f t="shared" si="0"/>
        <v>INCLUDED</v>
      </c>
    </row>
    <row r="19" spans="1:10" ht="31.5">
      <c r="A19" s="734">
        <f>'Sch-1'!A19</f>
        <v>3</v>
      </c>
      <c r="B19" s="546">
        <f>'Sch-1'!B19</f>
        <v>7000016714</v>
      </c>
      <c r="C19" s="546">
        <f>'Sch-1'!C19</f>
        <v>30</v>
      </c>
      <c r="D19" s="546" t="str">
        <f>'Sch-1'!D19</f>
        <v xml:space="preserve">400kV GIS Equipments                    </v>
      </c>
      <c r="E19" s="546">
        <f>'Sch-1'!E19</f>
        <v>1000032799</v>
      </c>
      <c r="F19" s="538" t="str">
        <f>'Sch-1'!J19</f>
        <v>420KV, 4000A, 63KA SF6 TO AIR BUSHING</v>
      </c>
      <c r="G19" s="546" t="str">
        <f>'Sch-1'!K19</f>
        <v>SET</v>
      </c>
      <c r="H19" s="546">
        <f>'Sch-1'!L19</f>
        <v>12</v>
      </c>
      <c r="I19" s="547"/>
      <c r="J19" s="548" t="str">
        <f t="shared" si="0"/>
        <v>INCLUDED</v>
      </c>
    </row>
    <row r="20" spans="1:10" ht="31.5">
      <c r="A20" s="734">
        <f>'Sch-1'!A20</f>
        <v>4</v>
      </c>
      <c r="B20" s="546">
        <f>'Sch-1'!B20</f>
        <v>7000016714</v>
      </c>
      <c r="C20" s="546">
        <f>'Sch-1'!C20</f>
        <v>40</v>
      </c>
      <c r="D20" s="546" t="str">
        <f>'Sch-1'!D20</f>
        <v xml:space="preserve">Control &amp; Relay Panels                  </v>
      </c>
      <c r="E20" s="546">
        <f>'Sch-1'!E20</f>
        <v>1000002163</v>
      </c>
      <c r="F20" s="538" t="str">
        <f>'Sch-1'!J20</f>
        <v>400kV Circuit Breaker Relay Panel without Auto Reclose (withAutomation)</v>
      </c>
      <c r="G20" s="546" t="str">
        <f>'Sch-1'!K20</f>
        <v xml:space="preserve">EA </v>
      </c>
      <c r="H20" s="546">
        <f>'Sch-1'!L20</f>
        <v>2</v>
      </c>
      <c r="I20" s="547"/>
      <c r="J20" s="548" t="str">
        <f t="shared" si="0"/>
        <v>INCLUDED</v>
      </c>
    </row>
    <row r="21" spans="1:10" ht="31.5">
      <c r="A21" s="734">
        <f>'Sch-1'!A21</f>
        <v>5</v>
      </c>
      <c r="B21" s="546">
        <f>'Sch-1'!B21</f>
        <v>7000016714</v>
      </c>
      <c r="C21" s="546">
        <f>'Sch-1'!C21</f>
        <v>60</v>
      </c>
      <c r="D21" s="546" t="str">
        <f>'Sch-1'!D21</f>
        <v xml:space="preserve">Control &amp; Relay Panels                  </v>
      </c>
      <c r="E21" s="546">
        <f>'Sch-1'!E21</f>
        <v>1000002145</v>
      </c>
      <c r="F21" s="538" t="str">
        <f>'Sch-1'!J21</f>
        <v>400kV Bus Bar Protection Panel (Duplicate)-(with Automation)</v>
      </c>
      <c r="G21" s="546" t="str">
        <f>'Sch-1'!K21</f>
        <v>SET</v>
      </c>
      <c r="H21" s="546">
        <f>'Sch-1'!L21</f>
        <v>1</v>
      </c>
      <c r="I21" s="547"/>
      <c r="J21" s="548" t="str">
        <f t="shared" si="0"/>
        <v>INCLUDED</v>
      </c>
    </row>
    <row r="22" spans="1:10" ht="31.5">
      <c r="A22" s="734">
        <f>'Sch-1'!A22</f>
        <v>6</v>
      </c>
      <c r="B22" s="546">
        <f>'Sch-1'!B22</f>
        <v>7000016714</v>
      </c>
      <c r="C22" s="546">
        <f>'Sch-1'!C22</f>
        <v>50</v>
      </c>
      <c r="D22" s="546" t="str">
        <f>'Sch-1'!D22</f>
        <v xml:space="preserve">Control &amp; Relay Panels                  </v>
      </c>
      <c r="E22" s="546">
        <f>'Sch-1'!E22</f>
        <v>1000025391</v>
      </c>
      <c r="F22" s="538" t="str">
        <f>'Sch-1'!J22</f>
        <v>Relay Test kit</v>
      </c>
      <c r="G22" s="546" t="str">
        <f>'Sch-1'!K22</f>
        <v xml:space="preserve">EA </v>
      </c>
      <c r="H22" s="546">
        <f>'Sch-1'!L22</f>
        <v>1</v>
      </c>
      <c r="I22" s="547"/>
      <c r="J22" s="548" t="str">
        <f t="shared" si="0"/>
        <v>INCLUDED</v>
      </c>
    </row>
    <row r="23" spans="1:10" ht="47.25">
      <c r="A23" s="734">
        <f>'Sch-1'!A23</f>
        <v>7</v>
      </c>
      <c r="B23" s="546">
        <f>'Sch-1'!B23</f>
        <v>7000016714</v>
      </c>
      <c r="C23" s="546">
        <f>'Sch-1'!C23</f>
        <v>70</v>
      </c>
      <c r="D23" s="546" t="str">
        <f>'Sch-1'!D23</f>
        <v xml:space="preserve">SAS Equipments                          </v>
      </c>
      <c r="E23" s="546">
        <f>'Sch-1'!E23</f>
        <v>1000057621</v>
      </c>
      <c r="F23" s="538" t="str">
        <f>'Sch-1'!J23</f>
        <v>AUGMENTATION OF SUBSTATION AUTOMATION SYSTEM FOR 400KV BUSSECTIONALIZER BAY AS PER TECHNICAL SPECIFICATION</v>
      </c>
      <c r="G23" s="546" t="str">
        <f>'Sch-1'!K23</f>
        <v xml:space="preserve">EA </v>
      </c>
      <c r="H23" s="546">
        <f>'Sch-1'!L23</f>
        <v>2</v>
      </c>
      <c r="I23" s="547"/>
      <c r="J23" s="548" t="str">
        <f t="shared" si="0"/>
        <v>INCLUDED</v>
      </c>
    </row>
    <row r="24" spans="1:10" ht="47.25">
      <c r="A24" s="734">
        <f>'Sch-1'!A24</f>
        <v>8</v>
      </c>
      <c r="B24" s="546">
        <f>'Sch-1'!B24</f>
        <v>7000016714</v>
      </c>
      <c r="C24" s="546">
        <f>'Sch-1'!C24</f>
        <v>80</v>
      </c>
      <c r="D24" s="546" t="str">
        <f>'Sch-1'!D24</f>
        <v xml:space="preserve">Erection Hardware                       </v>
      </c>
      <c r="E24" s="546">
        <f>'Sch-1'!E24</f>
        <v>1000049683</v>
      </c>
      <c r="F24" s="538" t="str">
        <f>'Sch-1'!J24</f>
        <v>ERECTION HARDWARE FOR 400KV LAYOUT (ONE AND HALF BREAKER SCHEME)-BUSSECTION BAY AS PER TECHNICAL SPECIFICATION</v>
      </c>
      <c r="G24" s="546" t="str">
        <f>'Sch-1'!K24</f>
        <v>SET</v>
      </c>
      <c r="H24" s="546">
        <f>'Sch-1'!L24</f>
        <v>1</v>
      </c>
      <c r="I24" s="547"/>
      <c r="J24" s="548" t="str">
        <f t="shared" si="0"/>
        <v>INCLUDED</v>
      </c>
    </row>
    <row r="25" spans="1:10" ht="47.25">
      <c r="A25" s="734">
        <f>'Sch-1'!A25</f>
        <v>9</v>
      </c>
      <c r="B25" s="546">
        <f>'Sch-1'!B25</f>
        <v>7000016714</v>
      </c>
      <c r="C25" s="546">
        <f>'Sch-1'!C25</f>
        <v>90</v>
      </c>
      <c r="D25" s="546" t="str">
        <f>'Sch-1'!D25</f>
        <v xml:space="preserve">Testing &amp; Maintenance Equipments-GIS    </v>
      </c>
      <c r="E25" s="546">
        <f>'Sch-1'!E25</f>
        <v>1000025436</v>
      </c>
      <c r="F25" s="538" t="str">
        <f>'Sch-1'!J25</f>
        <v>SF6 Gas Leakage Detector</v>
      </c>
      <c r="G25" s="546" t="str">
        <f>'Sch-1'!K25</f>
        <v xml:space="preserve">EA </v>
      </c>
      <c r="H25" s="546">
        <f>'Sch-1'!L25</f>
        <v>1</v>
      </c>
      <c r="I25" s="547"/>
      <c r="J25" s="548" t="str">
        <f t="shared" si="0"/>
        <v>INCLUDED</v>
      </c>
    </row>
    <row r="26" spans="1:10" ht="47.25">
      <c r="A26" s="734">
        <f>'Sch-1'!A26</f>
        <v>10</v>
      </c>
      <c r="B26" s="546">
        <f>'Sch-1'!B26</f>
        <v>7000016714</v>
      </c>
      <c r="C26" s="546">
        <f>'Sch-1'!C26</f>
        <v>100</v>
      </c>
      <c r="D26" s="546" t="str">
        <f>'Sch-1'!D26</f>
        <v xml:space="preserve">Testing &amp; Maintenance Equipments-GIS    </v>
      </c>
      <c r="E26" s="546">
        <f>'Sch-1'!E26</f>
        <v>1000025440</v>
      </c>
      <c r="F26" s="538" t="str">
        <f>'Sch-1'!J26</f>
        <v>SF6 Gas processing Unit for 400kV GIS station</v>
      </c>
      <c r="G26" s="546" t="str">
        <f>'Sch-1'!K26</f>
        <v>SET</v>
      </c>
      <c r="H26" s="546">
        <f>'Sch-1'!L26</f>
        <v>1</v>
      </c>
      <c r="I26" s="547"/>
      <c r="J26" s="548" t="str">
        <f t="shared" si="0"/>
        <v>INCLUDED</v>
      </c>
    </row>
    <row r="27" spans="1:10" ht="47.25">
      <c r="A27" s="734">
        <f>'Sch-1'!A27</f>
        <v>11</v>
      </c>
      <c r="B27" s="546">
        <f>'Sch-1'!B27</f>
        <v>7000016714</v>
      </c>
      <c r="C27" s="546">
        <f>'Sch-1'!C27</f>
        <v>110</v>
      </c>
      <c r="D27" s="546" t="str">
        <f>'Sch-1'!D27</f>
        <v xml:space="preserve">Testing &amp; Maintenance Equipments-GIS    </v>
      </c>
      <c r="E27" s="546">
        <f>'Sch-1'!E27</f>
        <v>1000032132</v>
      </c>
      <c r="F27" s="538" t="str">
        <f>'Sch-1'!J27</f>
        <v>SF6 GAS ANALYZER</v>
      </c>
      <c r="G27" s="546" t="str">
        <f>'Sch-1'!K27</f>
        <v xml:space="preserve">EA </v>
      </c>
      <c r="H27" s="546">
        <f>'Sch-1'!L27</f>
        <v>1</v>
      </c>
      <c r="I27" s="547"/>
      <c r="J27" s="548" t="str">
        <f t="shared" si="0"/>
        <v>INCLUDED</v>
      </c>
    </row>
    <row r="28" spans="1:10" ht="47.25">
      <c r="A28" s="734">
        <f>'Sch-1'!A28</f>
        <v>12</v>
      </c>
      <c r="B28" s="546">
        <f>'Sch-1'!B28</f>
        <v>7000016714</v>
      </c>
      <c r="C28" s="546">
        <f>'Sch-1'!C28</f>
        <v>120</v>
      </c>
      <c r="D28" s="546" t="str">
        <f>'Sch-1'!D28</f>
        <v xml:space="preserve">Testing &amp; Maintenance Equipments-GIS    </v>
      </c>
      <c r="E28" s="546">
        <f>'Sch-1'!E28</f>
        <v>1000025329</v>
      </c>
      <c r="F28" s="538" t="str">
        <f>'Sch-1'!J28</f>
        <v>Portable Partial Discharge measurement test kitwith all necessary accessories,Industrial Grade Laptop and licensedsoftware as per Technicalspecification.</v>
      </c>
      <c r="G28" s="546" t="str">
        <f>'Sch-1'!K28</f>
        <v xml:space="preserve">EA </v>
      </c>
      <c r="H28" s="546">
        <f>'Sch-1'!L28</f>
        <v>1</v>
      </c>
      <c r="I28" s="547"/>
      <c r="J28" s="548" t="str">
        <f t="shared" si="0"/>
        <v>INCLUDED</v>
      </c>
    </row>
    <row r="29" spans="1:10" ht="31.5">
      <c r="A29" s="734">
        <f>'Sch-1'!A29</f>
        <v>13</v>
      </c>
      <c r="B29" s="546">
        <f>'Sch-1'!B29</f>
        <v>7000016714</v>
      </c>
      <c r="C29" s="546">
        <f>'Sch-1'!C29</f>
        <v>130</v>
      </c>
      <c r="D29" s="546" t="str">
        <f>'Sch-1'!D29</f>
        <v xml:space="preserve">400kV AIS Equipments                    </v>
      </c>
      <c r="E29" s="546">
        <f>'Sch-1'!E29</f>
        <v>1000004401</v>
      </c>
      <c r="F29" s="538" t="str">
        <f>'Sch-1'!J29</f>
        <v>420 kV, 1 phase Bus Post Insulator (except for Line Traps)</v>
      </c>
      <c r="G29" s="546" t="str">
        <f>'Sch-1'!K29</f>
        <v xml:space="preserve">EA </v>
      </c>
      <c r="H29" s="546">
        <f>'Sch-1'!L29</f>
        <v>8</v>
      </c>
      <c r="I29" s="547"/>
      <c r="J29" s="548" t="str">
        <f t="shared" si="0"/>
        <v>INCLUDED</v>
      </c>
    </row>
    <row r="30" spans="1:10">
      <c r="A30" s="734">
        <f>'Sch-1'!A30</f>
        <v>14</v>
      </c>
      <c r="B30" s="546">
        <f>'Sch-1'!B30</f>
        <v>7000016714</v>
      </c>
      <c r="C30" s="546">
        <f>'Sch-1'!C30</f>
        <v>140</v>
      </c>
      <c r="D30" s="546" t="str">
        <f>'Sch-1'!D30</f>
        <v xml:space="preserve">Control Cables                          </v>
      </c>
      <c r="E30" s="546">
        <f>'Sch-1'!E30</f>
        <v>1000031964</v>
      </c>
      <c r="F30" s="538" t="str">
        <f>'Sch-1'!J30</f>
        <v>1.1KV GRADE 3CX2.5 SQMM CONTROL CABLE</v>
      </c>
      <c r="G30" s="546" t="str">
        <f>'Sch-1'!K30</f>
        <v xml:space="preserve">KM </v>
      </c>
      <c r="H30" s="546">
        <f>'Sch-1'!L30</f>
        <v>2.9</v>
      </c>
      <c r="I30" s="547"/>
      <c r="J30" s="548" t="str">
        <f t="shared" si="0"/>
        <v>INCLUDED</v>
      </c>
    </row>
    <row r="31" spans="1:10">
      <c r="A31" s="734">
        <f>'Sch-1'!A31</f>
        <v>15</v>
      </c>
      <c r="B31" s="546">
        <f>'Sch-1'!B31</f>
        <v>7000016714</v>
      </c>
      <c r="C31" s="546">
        <f>'Sch-1'!C31</f>
        <v>150</v>
      </c>
      <c r="D31" s="546" t="str">
        <f>'Sch-1'!D31</f>
        <v xml:space="preserve">Control Cables                          </v>
      </c>
      <c r="E31" s="546">
        <f>'Sch-1'!E31</f>
        <v>1000031987</v>
      </c>
      <c r="F31" s="538" t="str">
        <f>'Sch-1'!J31</f>
        <v>1.1KV GRADE 5CX2.5 SQMM CONTROL CABLE</v>
      </c>
      <c r="G31" s="546" t="str">
        <f>'Sch-1'!K31</f>
        <v xml:space="preserve">KM </v>
      </c>
      <c r="H31" s="546">
        <f>'Sch-1'!L31</f>
        <v>1.8</v>
      </c>
      <c r="I31" s="547"/>
      <c r="J31" s="548" t="str">
        <f t="shared" si="0"/>
        <v>INCLUDED</v>
      </c>
    </row>
    <row r="32" spans="1:10">
      <c r="A32" s="734">
        <f>'Sch-1'!A32</f>
        <v>16</v>
      </c>
      <c r="B32" s="546">
        <f>'Sch-1'!B32</f>
        <v>7000016714</v>
      </c>
      <c r="C32" s="546">
        <f>'Sch-1'!C32</f>
        <v>160</v>
      </c>
      <c r="D32" s="546" t="str">
        <f>'Sch-1'!D32</f>
        <v xml:space="preserve">Control Cables                          </v>
      </c>
      <c r="E32" s="546">
        <f>'Sch-1'!E32</f>
        <v>1000031887</v>
      </c>
      <c r="F32" s="538" t="str">
        <f>'Sch-1'!J32</f>
        <v>1.1KV GRADE 10CX2.5 SQMM CONTROL CABLE</v>
      </c>
      <c r="G32" s="546" t="str">
        <f>'Sch-1'!K32</f>
        <v xml:space="preserve">KM </v>
      </c>
      <c r="H32" s="546">
        <f>'Sch-1'!L32</f>
        <v>1.3</v>
      </c>
      <c r="I32" s="547"/>
      <c r="J32" s="548" t="str">
        <f t="shared" si="0"/>
        <v>INCLUDED</v>
      </c>
    </row>
    <row r="33" spans="1:10">
      <c r="A33" s="734">
        <f>'Sch-1'!A33</f>
        <v>17</v>
      </c>
      <c r="B33" s="546">
        <f>'Sch-1'!B33</f>
        <v>7000016714</v>
      </c>
      <c r="C33" s="546">
        <f>'Sch-1'!C33</f>
        <v>170</v>
      </c>
      <c r="D33" s="546" t="str">
        <f>'Sch-1'!D33</f>
        <v xml:space="preserve">Control Cables                          </v>
      </c>
      <c r="E33" s="546">
        <f>'Sch-1'!E33</f>
        <v>1000056264</v>
      </c>
      <c r="F33" s="538" t="str">
        <f>'Sch-1'!J33</f>
        <v>1.1KV GRADE 19CX1.5 SQMM CONTROL CABLE</v>
      </c>
      <c r="G33" s="546" t="str">
        <f>'Sch-1'!K33</f>
        <v xml:space="preserve">KM </v>
      </c>
      <c r="H33" s="546">
        <f>'Sch-1'!L33</f>
        <v>1.5</v>
      </c>
      <c r="I33" s="547"/>
      <c r="J33" s="548" t="str">
        <f t="shared" si="0"/>
        <v>INCLUDED</v>
      </c>
    </row>
    <row r="34" spans="1:10">
      <c r="A34" s="734">
        <f>'Sch-1'!A34</f>
        <v>18</v>
      </c>
      <c r="B34" s="546">
        <f>'Sch-1'!B34</f>
        <v>7000016714</v>
      </c>
      <c r="C34" s="546">
        <f>'Sch-1'!C34</f>
        <v>180</v>
      </c>
      <c r="D34" s="546" t="str">
        <f>'Sch-1'!D34</f>
        <v xml:space="preserve">Power Cables                            </v>
      </c>
      <c r="E34" s="546">
        <f>'Sch-1'!E34</f>
        <v>1000031957</v>
      </c>
      <c r="F34" s="538" t="str">
        <f>'Sch-1'!J34</f>
        <v>1.1KV GRADE 3.5CX70 SQMM (PVC) POWER CABLE</v>
      </c>
      <c r="G34" s="546" t="str">
        <f>'Sch-1'!K34</f>
        <v xml:space="preserve">KM </v>
      </c>
      <c r="H34" s="546">
        <f>'Sch-1'!L34</f>
        <v>2</v>
      </c>
      <c r="I34" s="547"/>
      <c r="J34" s="548" t="str">
        <f t="shared" si="0"/>
        <v>INCLUDED</v>
      </c>
    </row>
    <row r="35" spans="1:10">
      <c r="A35" s="734">
        <f>'Sch-1'!A35</f>
        <v>19</v>
      </c>
      <c r="B35" s="546">
        <f>'Sch-1'!B35</f>
        <v>7000016714</v>
      </c>
      <c r="C35" s="546">
        <f>'Sch-1'!C35</f>
        <v>190</v>
      </c>
      <c r="D35" s="546" t="str">
        <f>'Sch-1'!D35</f>
        <v xml:space="preserve">Power Cables                            </v>
      </c>
      <c r="E35" s="546">
        <f>'Sch-1'!E35</f>
        <v>1000031953</v>
      </c>
      <c r="F35" s="538" t="str">
        <f>'Sch-1'!J35</f>
        <v>1.1KV GRADE 3.5CX35 SQMM (PVC) POWER CABLE</v>
      </c>
      <c r="G35" s="546" t="str">
        <f>'Sch-1'!K35</f>
        <v xml:space="preserve">KM </v>
      </c>
      <c r="H35" s="546">
        <f>'Sch-1'!L35</f>
        <v>2</v>
      </c>
      <c r="I35" s="547"/>
      <c r="J35" s="548" t="str">
        <f t="shared" si="0"/>
        <v>INCLUDED</v>
      </c>
    </row>
    <row r="36" spans="1:10">
      <c r="A36" s="734">
        <f>'Sch-1'!A36</f>
        <v>20</v>
      </c>
      <c r="B36" s="546">
        <f>'Sch-1'!B36</f>
        <v>7000016714</v>
      </c>
      <c r="C36" s="546">
        <f>'Sch-1'!C36</f>
        <v>200</v>
      </c>
      <c r="D36" s="546" t="str">
        <f>'Sch-1'!D36</f>
        <v xml:space="preserve">Power Cables                            </v>
      </c>
      <c r="E36" s="546">
        <f>'Sch-1'!E36</f>
        <v>1000031976</v>
      </c>
      <c r="F36" s="538" t="str">
        <f>'Sch-1'!J36</f>
        <v>1.1KV GRADE 4CX16 SQMM (PVC) POWER CABLE</v>
      </c>
      <c r="G36" s="546" t="str">
        <f>'Sch-1'!K36</f>
        <v xml:space="preserve">KM </v>
      </c>
      <c r="H36" s="546">
        <f>'Sch-1'!L36</f>
        <v>2</v>
      </c>
      <c r="I36" s="547"/>
      <c r="J36" s="548" t="str">
        <f t="shared" si="0"/>
        <v>INCLUDED</v>
      </c>
    </row>
    <row r="37" spans="1:10">
      <c r="A37" s="734">
        <f>'Sch-1'!A37</f>
        <v>21</v>
      </c>
      <c r="B37" s="546">
        <f>'Sch-1'!B37</f>
        <v>7000016714</v>
      </c>
      <c r="C37" s="546">
        <f>'Sch-1'!C37</f>
        <v>210</v>
      </c>
      <c r="D37" s="546" t="str">
        <f>'Sch-1'!D37</f>
        <v xml:space="preserve">Power Cables                            </v>
      </c>
      <c r="E37" s="546">
        <f>'Sch-1'!E37</f>
        <v>1000031985</v>
      </c>
      <c r="F37" s="538" t="str">
        <f>'Sch-1'!J37</f>
        <v>1.1KV GRADE 4CX6 SQMM (PVC) POWER CABLE</v>
      </c>
      <c r="G37" s="546" t="str">
        <f>'Sch-1'!K37</f>
        <v xml:space="preserve">KM </v>
      </c>
      <c r="H37" s="546">
        <f>'Sch-1'!L37</f>
        <v>4</v>
      </c>
      <c r="I37" s="547"/>
      <c r="J37" s="548" t="str">
        <f t="shared" si="0"/>
        <v>INCLUDED</v>
      </c>
    </row>
    <row r="38" spans="1:10">
      <c r="A38" s="734">
        <f>'Sch-1'!A38</f>
        <v>22</v>
      </c>
      <c r="B38" s="546">
        <f>'Sch-1'!B38</f>
        <v>7000016714</v>
      </c>
      <c r="C38" s="546">
        <f>'Sch-1'!C38</f>
        <v>220</v>
      </c>
      <c r="D38" s="546" t="str">
        <f>'Sch-1'!D38</f>
        <v xml:space="preserve">Power Cables                            </v>
      </c>
      <c r="E38" s="546">
        <f>'Sch-1'!E38</f>
        <v>1000031943</v>
      </c>
      <c r="F38" s="538" t="str">
        <f>'Sch-1'!J38</f>
        <v>1.1KV GRADE 2CX6 SQMM (PVC) POWER CABLE</v>
      </c>
      <c r="G38" s="546" t="str">
        <f>'Sch-1'!K38</f>
        <v xml:space="preserve">KM </v>
      </c>
      <c r="H38" s="546">
        <f>'Sch-1'!L38</f>
        <v>0.5</v>
      </c>
      <c r="I38" s="547"/>
      <c r="J38" s="548" t="str">
        <f t="shared" si="0"/>
        <v>INCLUDED</v>
      </c>
    </row>
    <row r="39" spans="1:10">
      <c r="A39" s="734">
        <f>'Sch-1'!A39</f>
        <v>23</v>
      </c>
      <c r="B39" s="546">
        <f>'Sch-1'!B39</f>
        <v>7000016714</v>
      </c>
      <c r="C39" s="546">
        <f>'Sch-1'!C39</f>
        <v>230</v>
      </c>
      <c r="D39" s="546" t="str">
        <f>'Sch-1'!D39</f>
        <v xml:space="preserve">illumination                            </v>
      </c>
      <c r="E39" s="546">
        <f>'Sch-1'!E39</f>
        <v>1000014547</v>
      </c>
      <c r="F39" s="538" t="str">
        <f>'Sch-1'!J39</f>
        <v>Lighting Panel type ACP-2 as per technical specification</v>
      </c>
      <c r="G39" s="546" t="str">
        <f>'Sch-1'!K39</f>
        <v xml:space="preserve">EA </v>
      </c>
      <c r="H39" s="546">
        <f>'Sch-1'!L39</f>
        <v>1</v>
      </c>
      <c r="I39" s="547"/>
      <c r="J39" s="548" t="str">
        <f t="shared" si="0"/>
        <v>INCLUDED</v>
      </c>
    </row>
    <row r="40" spans="1:10" ht="31.5">
      <c r="A40" s="734">
        <f>'Sch-1'!A40</f>
        <v>24</v>
      </c>
      <c r="B40" s="546">
        <f>'Sch-1'!B40</f>
        <v>7000016714</v>
      </c>
      <c r="C40" s="546">
        <f>'Sch-1'!C40</f>
        <v>240</v>
      </c>
      <c r="D40" s="546" t="str">
        <f>'Sch-1'!D40</f>
        <v xml:space="preserve">illumination                            </v>
      </c>
      <c r="E40" s="546">
        <f>'Sch-1'!E40</f>
        <v>1000020262</v>
      </c>
      <c r="F40" s="538" t="str">
        <f>'Sch-1'!J40</f>
        <v>Sub Lighting panel (outdoor) type SLP (Switchyard and Street Lighting)</v>
      </c>
      <c r="G40" s="546" t="str">
        <f>'Sch-1'!K40</f>
        <v xml:space="preserve">EA </v>
      </c>
      <c r="H40" s="546">
        <f>'Sch-1'!L40</f>
        <v>2</v>
      </c>
      <c r="I40" s="547"/>
      <c r="J40" s="548" t="str">
        <f t="shared" si="0"/>
        <v>INCLUDED</v>
      </c>
    </row>
    <row r="41" spans="1:10" ht="31.5">
      <c r="A41" s="734">
        <f>'Sch-1'!A41</f>
        <v>25</v>
      </c>
      <c r="B41" s="546">
        <f>'Sch-1'!B41</f>
        <v>7000016714</v>
      </c>
      <c r="C41" s="546">
        <f>'Sch-1'!C41</f>
        <v>250</v>
      </c>
      <c r="D41" s="546" t="str">
        <f>'Sch-1'!D41</f>
        <v xml:space="preserve">illumination                            </v>
      </c>
      <c r="E41" s="546">
        <f>'Sch-1'!E41</f>
        <v>1000038039</v>
      </c>
      <c r="F41" s="538" t="str">
        <f>'Sch-1'!J41</f>
        <v>LIGHTING FIXTURE LED LUMINAIRES TYPE FL-1 AS PER TECH. SPECIFICATIONS</v>
      </c>
      <c r="G41" s="546" t="str">
        <f>'Sch-1'!K41</f>
        <v xml:space="preserve">EA </v>
      </c>
      <c r="H41" s="546">
        <f>'Sch-1'!L41</f>
        <v>4</v>
      </c>
      <c r="I41" s="547"/>
      <c r="J41" s="548" t="str">
        <f t="shared" si="0"/>
        <v>INCLUDED</v>
      </c>
    </row>
    <row r="42" spans="1:10" ht="31.5">
      <c r="A42" s="734">
        <f>'Sch-1'!A42</f>
        <v>26</v>
      </c>
      <c r="B42" s="546">
        <f>'Sch-1'!B42</f>
        <v>7000016714</v>
      </c>
      <c r="C42" s="546">
        <f>'Sch-1'!C42</f>
        <v>260</v>
      </c>
      <c r="D42" s="546" t="str">
        <f>'Sch-1'!D42</f>
        <v xml:space="preserve">illumination                            </v>
      </c>
      <c r="E42" s="546">
        <f>'Sch-1'!E42</f>
        <v>1000038325</v>
      </c>
      <c r="F42" s="538" t="str">
        <f>'Sch-1'!J42</f>
        <v>LIGHTING FIXTURE LED LUMINAIRES TYPE FL2 AS PER TECH. SPECIFICATIONS</v>
      </c>
      <c r="G42" s="546" t="str">
        <f>'Sch-1'!K42</f>
        <v xml:space="preserve">EA </v>
      </c>
      <c r="H42" s="546">
        <f>'Sch-1'!L42</f>
        <v>4</v>
      </c>
      <c r="I42" s="547"/>
      <c r="J42" s="548" t="str">
        <f t="shared" si="0"/>
        <v>INCLUDED</v>
      </c>
    </row>
    <row r="43" spans="1:10" ht="31.5">
      <c r="A43" s="734">
        <f>'Sch-1'!A43</f>
        <v>27</v>
      </c>
      <c r="B43" s="546">
        <f>'Sch-1'!B43</f>
        <v>7000016714</v>
      </c>
      <c r="C43" s="546">
        <f>'Sch-1'!C43</f>
        <v>270</v>
      </c>
      <c r="D43" s="546" t="str">
        <f>'Sch-1'!D43</f>
        <v xml:space="preserve">Spare: GIS Equipments                   </v>
      </c>
      <c r="E43" s="546">
        <f>'Sch-1'!E43</f>
        <v>1000058332</v>
      </c>
      <c r="F43" s="538" t="str">
        <f>'Sch-1'!J43</f>
        <v>400KV GIS-SF6 GAS PRESSURE RELIEF DEVICE ASSEMBLY OF EACH TYPE</v>
      </c>
      <c r="G43" s="546" t="str">
        <f>'Sch-1'!K43</f>
        <v xml:space="preserve">EA </v>
      </c>
      <c r="H43" s="546">
        <f>'Sch-1'!L43</f>
        <v>1</v>
      </c>
      <c r="I43" s="547"/>
      <c r="J43" s="548" t="str">
        <f t="shared" si="0"/>
        <v>INCLUDED</v>
      </c>
    </row>
    <row r="44" spans="1:10" ht="47.25">
      <c r="A44" s="734">
        <f>'Sch-1'!A44</f>
        <v>28</v>
      </c>
      <c r="B44" s="546">
        <f>'Sch-1'!B44</f>
        <v>7000016714</v>
      </c>
      <c r="C44" s="546">
        <f>'Sch-1'!C44</f>
        <v>280</v>
      </c>
      <c r="D44" s="546" t="str">
        <f>'Sch-1'!D44</f>
        <v xml:space="preserve">Spare: GIS Equipments                   </v>
      </c>
      <c r="E44" s="546">
        <f>'Sch-1'!E44</f>
        <v>1000049817</v>
      </c>
      <c r="F44" s="538" t="str">
        <f>'Sch-1'!J44</f>
        <v>SF6  PRESSURE  GAUGE  CUM  SWITCH  /DENSITY MONITORS  AND  PRESSURESWITCH AS APPLICABLE, OF EACH TYPE-400KV GIS</v>
      </c>
      <c r="G44" s="546" t="str">
        <f>'Sch-1'!K44</f>
        <v>SET</v>
      </c>
      <c r="H44" s="546">
        <f>'Sch-1'!L44</f>
        <v>2</v>
      </c>
      <c r="I44" s="547"/>
      <c r="J44" s="548" t="str">
        <f t="shared" si="0"/>
        <v>INCLUDED</v>
      </c>
    </row>
    <row r="45" spans="1:10" ht="47.25">
      <c r="A45" s="734">
        <f>'Sch-1'!A45</f>
        <v>29</v>
      </c>
      <c r="B45" s="546">
        <f>'Sch-1'!B45</f>
        <v>7000016714</v>
      </c>
      <c r="C45" s="546">
        <f>'Sch-1'!C45</f>
        <v>290</v>
      </c>
      <c r="D45" s="546" t="str">
        <f>'Sch-1'!D45</f>
        <v xml:space="preserve">Spare: GIS Equipments                   </v>
      </c>
      <c r="E45" s="546">
        <f>'Sch-1'!E45</f>
        <v>1000049753</v>
      </c>
      <c r="F45" s="538" t="str">
        <f>'Sch-1'!J45</f>
        <v>COUPLING  DEVICE  FOR  PRESSURE  GAUGE  CUM  SWITCH  FOR  CONNECTINGGAS HANDLING PLANT OF EACH TYPE-400KV GIS</v>
      </c>
      <c r="G45" s="546" t="str">
        <f>'Sch-1'!K45</f>
        <v>SET</v>
      </c>
      <c r="H45" s="546">
        <f>'Sch-1'!L45</f>
        <v>1</v>
      </c>
      <c r="I45" s="547"/>
      <c r="J45" s="548" t="str">
        <f t="shared" si="0"/>
        <v>INCLUDED</v>
      </c>
    </row>
    <row r="46" spans="1:10" ht="47.25">
      <c r="A46" s="734">
        <f>'Sch-1'!A46</f>
        <v>30</v>
      </c>
      <c r="B46" s="546">
        <f>'Sch-1'!B46</f>
        <v>7000016714</v>
      </c>
      <c r="C46" s="546">
        <f>'Sch-1'!C46</f>
        <v>300</v>
      </c>
      <c r="D46" s="546" t="str">
        <f>'Sch-1'!D46</f>
        <v xml:space="preserve">Spare: GIS Equipments                   </v>
      </c>
      <c r="E46" s="546">
        <f>'Sch-1'!E46</f>
        <v>1000049762</v>
      </c>
      <c r="F46" s="538" t="str">
        <f>'Sch-1'!J46</f>
        <v>RUBBER  GASKETS,  Ã‚â‚¬Å’OÃ‚â‚¬Â  RINGS  AND  SEALS  FOR  SF6  GAS  FOR  GISENCLOSURE OF EACH TYPE-400KV GIS</v>
      </c>
      <c r="G46" s="546" t="str">
        <f>'Sch-1'!K46</f>
        <v>SET</v>
      </c>
      <c r="H46" s="546">
        <f>'Sch-1'!L46</f>
        <v>2</v>
      </c>
      <c r="I46" s="547"/>
      <c r="J46" s="548" t="str">
        <f t="shared" si="0"/>
        <v>INCLUDED</v>
      </c>
    </row>
    <row r="47" spans="1:10" ht="31.5">
      <c r="A47" s="734">
        <f>'Sch-1'!A47</f>
        <v>31</v>
      </c>
      <c r="B47" s="546">
        <f>'Sch-1'!B47</f>
        <v>7000016714</v>
      </c>
      <c r="C47" s="546">
        <f>'Sch-1'!C47</f>
        <v>310</v>
      </c>
      <c r="D47" s="546" t="str">
        <f>'Sch-1'!D47</f>
        <v xml:space="preserve">Spare: GIS Equipments                   </v>
      </c>
      <c r="E47" s="546">
        <f>'Sch-1'!E47</f>
        <v>1000058330</v>
      </c>
      <c r="F47" s="538" t="str">
        <f>'Sch-1'!J47</f>
        <v>400KV GIS-MOLECULAR FILTER FOR SF6 GAS WITH FILTER BAGS (5 % OF TOTALWEIGHT)</v>
      </c>
      <c r="G47" s="546" t="str">
        <f>'Sch-1'!K47</f>
        <v>SET</v>
      </c>
      <c r="H47" s="546">
        <f>'Sch-1'!L47</f>
        <v>1</v>
      </c>
      <c r="I47" s="547"/>
      <c r="J47" s="548" t="str">
        <f t="shared" si="0"/>
        <v>INCLUDED</v>
      </c>
    </row>
    <row r="48" spans="1:10" ht="31.5">
      <c r="A48" s="734">
        <f>'Sch-1'!A48</f>
        <v>32</v>
      </c>
      <c r="B48" s="546">
        <f>'Sch-1'!B48</f>
        <v>7000016714</v>
      </c>
      <c r="C48" s="546">
        <f>'Sch-1'!C48</f>
        <v>320</v>
      </c>
      <c r="D48" s="546" t="str">
        <f>'Sch-1'!D48</f>
        <v xml:space="preserve">Spare: GIS Equipments                   </v>
      </c>
      <c r="E48" s="546">
        <f>'Sch-1'!E48</f>
        <v>1000049750</v>
      </c>
      <c r="F48" s="538" t="str">
        <f>'Sch-1'!J48</f>
        <v>CONTROL VALVES FOR SF6 GAS OF EACH TYPE-400KV GIS</v>
      </c>
      <c r="G48" s="546" t="str">
        <f>'Sch-1'!K48</f>
        <v>SET</v>
      </c>
      <c r="H48" s="546">
        <f>'Sch-1'!L48</f>
        <v>2</v>
      </c>
      <c r="I48" s="547"/>
      <c r="J48" s="548" t="str">
        <f t="shared" si="0"/>
        <v>INCLUDED</v>
      </c>
    </row>
    <row r="49" spans="1:28" ht="31.5">
      <c r="A49" s="734">
        <f>'Sch-1'!A49</f>
        <v>33</v>
      </c>
      <c r="B49" s="546">
        <f>'Sch-1'!B49</f>
        <v>7000016714</v>
      </c>
      <c r="C49" s="546">
        <f>'Sch-1'!C49</f>
        <v>330</v>
      </c>
      <c r="D49" s="546" t="str">
        <f>'Sch-1'!D49</f>
        <v xml:space="preserve">Spare: GIS Equipments                   </v>
      </c>
      <c r="E49" s="546">
        <f>'Sch-1'!E49</f>
        <v>1000058331</v>
      </c>
      <c r="F49" s="538" t="str">
        <f>'Sch-1'!J49</f>
        <v>400KV GIS-SF6 GAS (5 % OF TOTAL GAS QUANTITY)</v>
      </c>
      <c r="G49" s="546" t="str">
        <f>'Sch-1'!K49</f>
        <v>LOT</v>
      </c>
      <c r="H49" s="546">
        <f>'Sch-1'!L49</f>
        <v>1</v>
      </c>
      <c r="I49" s="547"/>
      <c r="J49" s="548" t="str">
        <f t="shared" si="0"/>
        <v>INCLUDED</v>
      </c>
    </row>
    <row r="50" spans="1:28" ht="78.75">
      <c r="A50" s="734">
        <f>'Sch-1'!A50</f>
        <v>34</v>
      </c>
      <c r="B50" s="546">
        <f>'Sch-1'!B50</f>
        <v>7000016714</v>
      </c>
      <c r="C50" s="546">
        <f>'Sch-1'!C50</f>
        <v>340</v>
      </c>
      <c r="D50" s="546" t="str">
        <f>'Sch-1'!D50</f>
        <v xml:space="preserve">Spare: GIS Equipments                   </v>
      </c>
      <c r="E50" s="546">
        <f>'Sch-1'!E50</f>
        <v>1000049783</v>
      </c>
      <c r="F50" s="538" t="str">
        <f>'Sch-1'!J50</f>
        <v>LOCKING   DEVICE   TO   KEEP   THE   DIS-CONNECTORS   (ISOLATORS)AND EARTHING/FAST EARTHING SWITCHES IN CLOSE OR OPEN POSITION IN CASEOF REMOVAL OF THE DRIVING MECHANISM-400KV GIS</v>
      </c>
      <c r="G50" s="546" t="str">
        <f>'Sch-1'!K50</f>
        <v>SET</v>
      </c>
      <c r="H50" s="546">
        <f>'Sch-1'!L50</f>
        <v>2</v>
      </c>
      <c r="I50" s="547"/>
      <c r="J50" s="548" t="str">
        <f t="shared" si="0"/>
        <v>INCLUDED</v>
      </c>
    </row>
    <row r="51" spans="1:28" ht="31.5">
      <c r="A51" s="734">
        <f>'Sch-1'!A51</f>
        <v>35</v>
      </c>
      <c r="B51" s="546">
        <f>'Sch-1'!B51</f>
        <v>7000016714</v>
      </c>
      <c r="C51" s="546">
        <f>'Sch-1'!C51</f>
        <v>350</v>
      </c>
      <c r="D51" s="546" t="str">
        <f>'Sch-1'!D51</f>
        <v xml:space="preserve">Spare: GIS Equipments                   </v>
      </c>
      <c r="E51" s="546">
        <f>'Sch-1'!E51</f>
        <v>1000049505</v>
      </c>
      <c r="F51" s="538" t="str">
        <f>'Sch-1'!J51</f>
        <v>UHF PD SENSORS OF EACH TYPE ALONG WITH BNC CONNECTOR FOR 420KV GIS</v>
      </c>
      <c r="G51" s="546" t="str">
        <f>'Sch-1'!K51</f>
        <v xml:space="preserve">EA </v>
      </c>
      <c r="H51" s="546">
        <f>'Sch-1'!L51</f>
        <v>3</v>
      </c>
      <c r="I51" s="547"/>
      <c r="J51" s="548" t="str">
        <f t="shared" si="0"/>
        <v>INCLUDED</v>
      </c>
    </row>
    <row r="52" spans="1:28" s="763" customFormat="1" ht="63">
      <c r="A52" s="734">
        <f>'Sch-1'!A52</f>
        <v>36</v>
      </c>
      <c r="B52" s="546">
        <f>'Sch-1'!B52</f>
        <v>7000016714</v>
      </c>
      <c r="C52" s="546">
        <f>'Sch-1'!C52</f>
        <v>360</v>
      </c>
      <c r="D52" s="546" t="str">
        <f>'Sch-1'!D52</f>
        <v xml:space="preserve">Spare: GIS Equipments                   </v>
      </c>
      <c r="E52" s="546">
        <f>'Sch-1'!E52</f>
        <v>1000058334</v>
      </c>
      <c r="F52" s="538" t="str">
        <f>'Sch-1'!J52</f>
        <v>400KV GIS-SUPPORT INSULATORS (GAS THROUGH) OF EACH TYPE (COMPLETE WITHMETAL RING ETC.) ALONG WITH ASSOCIATED CONTACTS AND SHIELDS</v>
      </c>
      <c r="G52" s="546" t="str">
        <f>'Sch-1'!K52</f>
        <v xml:space="preserve">EA </v>
      </c>
      <c r="H52" s="546">
        <f>'Sch-1'!L52</f>
        <v>3</v>
      </c>
      <c r="I52" s="547"/>
      <c r="J52" s="760" t="str">
        <f t="shared" si="0"/>
        <v>INCLUDED</v>
      </c>
      <c r="K52" s="761" t="s">
        <v>485</v>
      </c>
      <c r="L52" s="761"/>
      <c r="M52" s="761"/>
      <c r="N52" s="761"/>
      <c r="O52" s="761"/>
      <c r="P52" s="761"/>
      <c r="Q52" s="761"/>
      <c r="R52" s="762"/>
      <c r="S52" s="762"/>
      <c r="T52" s="762"/>
      <c r="U52" s="762"/>
      <c r="V52" s="762"/>
      <c r="W52" s="762"/>
      <c r="X52" s="762"/>
      <c r="Y52" s="762"/>
      <c r="Z52" s="762"/>
      <c r="AA52" s="762"/>
      <c r="AB52" s="762"/>
    </row>
    <row r="53" spans="1:28" ht="47.25">
      <c r="A53" s="734">
        <f>'Sch-1'!A53</f>
        <v>37</v>
      </c>
      <c r="B53" s="546">
        <f>'Sch-1'!B53</f>
        <v>7000016714</v>
      </c>
      <c r="C53" s="546">
        <f>'Sch-1'!C53</f>
        <v>370</v>
      </c>
      <c r="D53" s="546" t="str">
        <f>'Sch-1'!D53</f>
        <v xml:space="preserve">Spare: GIS Equipments                   </v>
      </c>
      <c r="E53" s="546">
        <f>'Sch-1'!E53</f>
        <v>1000058329</v>
      </c>
      <c r="F53" s="538" t="str">
        <f>'Sch-1'!J53</f>
        <v>400KV GIS-GAS BARRIERS OF EACH TYPE (COMPLETE WITH METAL RING ETC.)ALONG WITH ASSOCIATED CONTACTS AND SHIELDS</v>
      </c>
      <c r="G53" s="546" t="str">
        <f>'Sch-1'!K53</f>
        <v xml:space="preserve">EA </v>
      </c>
      <c r="H53" s="546">
        <f>'Sch-1'!L53</f>
        <v>3</v>
      </c>
      <c r="I53" s="547"/>
      <c r="J53" s="548" t="str">
        <f t="shared" si="0"/>
        <v>INCLUDED</v>
      </c>
    </row>
    <row r="54" spans="1:28" ht="31.5">
      <c r="A54" s="734">
        <f>'Sch-1'!A54</f>
        <v>38</v>
      </c>
      <c r="B54" s="546">
        <f>'Sch-1'!B54</f>
        <v>7000016714</v>
      </c>
      <c r="C54" s="546">
        <f>'Sch-1'!C54</f>
        <v>380</v>
      </c>
      <c r="D54" s="546" t="str">
        <f>'Sch-1'!D54</f>
        <v xml:space="preserve">Spare: GIS Equipments                   </v>
      </c>
      <c r="E54" s="546">
        <f>'Sch-1'!E54</f>
        <v>1000058333</v>
      </c>
      <c r="F54" s="538" t="str">
        <f>'Sch-1'!J54</f>
        <v>400KV GIS- 3150A SF6 TO AIR BUSHING COMPLETE IN ALL RESPECT</v>
      </c>
      <c r="G54" s="546" t="str">
        <f>'Sch-1'!K54</f>
        <v xml:space="preserve">EA </v>
      </c>
      <c r="H54" s="546">
        <f>'Sch-1'!L54</f>
        <v>1</v>
      </c>
      <c r="I54" s="547"/>
      <c r="J54" s="548" t="str">
        <f t="shared" si="0"/>
        <v>INCLUDED</v>
      </c>
    </row>
    <row r="55" spans="1:28" ht="63">
      <c r="A55" s="734">
        <f>'Sch-1'!A55</f>
        <v>39</v>
      </c>
      <c r="B55" s="546">
        <f>'Sch-1'!B55</f>
        <v>7000016714</v>
      </c>
      <c r="C55" s="546">
        <f>'Sch-1'!C55</f>
        <v>390</v>
      </c>
      <c r="D55" s="546" t="str">
        <f>'Sch-1'!D55</f>
        <v xml:space="preserve">Spare: GIS Equipments                   </v>
      </c>
      <c r="E55" s="546">
        <f>'Sch-1'!E55</f>
        <v>1000049498</v>
      </c>
      <c r="F55" s="538" t="str">
        <f>'Sch-1'!J55</f>
        <v>LCC SPARES  - AUX. RELAYS, CONTACTORS,PUSH BUTTONS, SWITCHES,LAMPS,ANNUNCIATION WINDOWS, MCB, FUSES,TIMERS, TERMINAL BLOCKS ETC. OF EACHTYPE &amp; RATING-400kV GIS</v>
      </c>
      <c r="G55" s="546" t="str">
        <f>'Sch-1'!K55</f>
        <v>SET</v>
      </c>
      <c r="H55" s="546">
        <f>'Sch-1'!L55</f>
        <v>1</v>
      </c>
      <c r="I55" s="547"/>
      <c r="J55" s="548" t="str">
        <f t="shared" si="0"/>
        <v>INCLUDED</v>
      </c>
    </row>
    <row r="56" spans="1:28" ht="63">
      <c r="A56" s="734">
        <f>'Sch-1'!A56</f>
        <v>40</v>
      </c>
      <c r="B56" s="546">
        <f>'Sch-1'!B56</f>
        <v>7000016714</v>
      </c>
      <c r="C56" s="546">
        <f>'Sch-1'!C56</f>
        <v>400</v>
      </c>
      <c r="D56" s="546" t="str">
        <f>'Sch-1'!D56</f>
        <v xml:space="preserve">Spare: GIS Equipments                   </v>
      </c>
      <c r="E56" s="546">
        <f>'Sch-1'!E56</f>
        <v>1000058317</v>
      </c>
      <c r="F56" s="538" t="str">
        <f>'Sch-1'!J56</f>
        <v>400KV GIS-ONE POLE OF 3150A CIRCUIT BREAKER WITHOUT PIR WITHINTERRUPTER, MAIN CIRCUIT, ENCLOSURE AND OPERATING MECHANISM COMPLETEIN ALL RESPECT</v>
      </c>
      <c r="G56" s="546" t="str">
        <f>'Sch-1'!K56</f>
        <v>SET</v>
      </c>
      <c r="H56" s="546">
        <f>'Sch-1'!L56</f>
        <v>1</v>
      </c>
      <c r="I56" s="547"/>
      <c r="J56" s="548" t="str">
        <f t="shared" si="0"/>
        <v>INCLUDED</v>
      </c>
    </row>
    <row r="57" spans="1:28" ht="31.5">
      <c r="A57" s="734">
        <f>'Sch-1'!A57</f>
        <v>41</v>
      </c>
      <c r="B57" s="546">
        <f>'Sch-1'!B57</f>
        <v>7000016714</v>
      </c>
      <c r="C57" s="546">
        <f>'Sch-1'!C57</f>
        <v>410</v>
      </c>
      <c r="D57" s="546" t="str">
        <f>'Sch-1'!D57</f>
        <v xml:space="preserve">Spare: GIS Equipments                   </v>
      </c>
      <c r="E57" s="546">
        <f>'Sch-1'!E57</f>
        <v>1000021873</v>
      </c>
      <c r="F57" s="538" t="str">
        <f>'Sch-1'!J57</f>
        <v>Trip coil assembly with resistor for420kV GIS Circuit Breaker (asapplicable)</v>
      </c>
      <c r="G57" s="546" t="str">
        <f>'Sch-1'!K57</f>
        <v>SET</v>
      </c>
      <c r="H57" s="546">
        <f>'Sch-1'!L57</f>
        <v>3</v>
      </c>
      <c r="I57" s="547"/>
      <c r="J57" s="548" t="str">
        <f t="shared" si="0"/>
        <v>INCLUDED</v>
      </c>
    </row>
    <row r="58" spans="1:28" ht="31.5">
      <c r="A58" s="734">
        <f>'Sch-1'!A58</f>
        <v>42</v>
      </c>
      <c r="B58" s="546">
        <f>'Sch-1'!B58</f>
        <v>7000016714</v>
      </c>
      <c r="C58" s="546">
        <f>'Sch-1'!C58</f>
        <v>420</v>
      </c>
      <c r="D58" s="546" t="str">
        <f>'Sch-1'!D58</f>
        <v xml:space="preserve">Spare: GIS Equipments                   </v>
      </c>
      <c r="E58" s="546">
        <f>'Sch-1'!E58</f>
        <v>1000009208</v>
      </c>
      <c r="F58" s="538" t="str">
        <f>'Sch-1'!J58</f>
        <v>Closing coil assembly with resistor for420kV GIS Circuit Breaker (asapplicable)</v>
      </c>
      <c r="G58" s="546" t="str">
        <f>'Sch-1'!K58</f>
        <v>SET</v>
      </c>
      <c r="H58" s="546">
        <f>'Sch-1'!L58</f>
        <v>3</v>
      </c>
      <c r="I58" s="547"/>
      <c r="J58" s="548" t="str">
        <f t="shared" si="0"/>
        <v>INCLUDED</v>
      </c>
    </row>
    <row r="59" spans="1:28" ht="47.25">
      <c r="A59" s="734">
        <f>'Sch-1'!A59</f>
        <v>43</v>
      </c>
      <c r="B59" s="546">
        <f>'Sch-1'!B59</f>
        <v>7000016714</v>
      </c>
      <c r="C59" s="546">
        <f>'Sch-1'!C59</f>
        <v>430</v>
      </c>
      <c r="D59" s="546" t="str">
        <f>'Sch-1'!D59</f>
        <v xml:space="preserve">Spare: GIS Equipments                   </v>
      </c>
      <c r="E59" s="546">
        <f>'Sch-1'!E59</f>
        <v>1000058324</v>
      </c>
      <c r="F59" s="538" t="str">
        <f>'Sch-1'!J59</f>
        <v>RELAYS, POWER CONTACTORS, PUSH BUTTONS, TIMERS &amp; MCBS ETC. (ASAPPLICABLE) OF EACH TYPE FOR 400KV GIS CIRCUIT BREAKER</v>
      </c>
      <c r="G59" s="546" t="str">
        <f>'Sch-1'!K59</f>
        <v>SET</v>
      </c>
      <c r="H59" s="546">
        <f>'Sch-1'!L59</f>
        <v>1</v>
      </c>
      <c r="I59" s="547"/>
      <c r="J59" s="548" t="str">
        <f t="shared" si="0"/>
        <v>INCLUDED</v>
      </c>
    </row>
    <row r="60" spans="1:28" ht="31.5">
      <c r="A60" s="734">
        <f>'Sch-1'!A60</f>
        <v>44</v>
      </c>
      <c r="B60" s="546">
        <f>'Sch-1'!B60</f>
        <v>7000016714</v>
      </c>
      <c r="C60" s="546">
        <f>'Sch-1'!C60</f>
        <v>440</v>
      </c>
      <c r="D60" s="546" t="str">
        <f>'Sch-1'!D60</f>
        <v xml:space="preserve">Spare: GIS Equipments                   </v>
      </c>
      <c r="E60" s="546">
        <f>'Sch-1'!E60</f>
        <v>1000007067</v>
      </c>
      <c r="F60" s="538" t="str">
        <f>'Sch-1'!J60</f>
        <v>Auxiliary switch assembly of each type for 420kV GIS Circuit Breaker</v>
      </c>
      <c r="G60" s="546" t="str">
        <f>'Sch-1'!K60</f>
        <v>SET</v>
      </c>
      <c r="H60" s="546">
        <f>'Sch-1'!L60</f>
        <v>1</v>
      </c>
      <c r="I60" s="547"/>
      <c r="J60" s="548" t="str">
        <f t="shared" si="0"/>
        <v>INCLUDED</v>
      </c>
    </row>
    <row r="61" spans="1:28" ht="31.5">
      <c r="A61" s="734">
        <f>'Sch-1'!A61</f>
        <v>45</v>
      </c>
      <c r="B61" s="546">
        <f>'Sch-1'!B61</f>
        <v>7000016714</v>
      </c>
      <c r="C61" s="546">
        <f>'Sch-1'!C61</f>
        <v>450</v>
      </c>
      <c r="D61" s="546" t="str">
        <f>'Sch-1'!D61</f>
        <v xml:space="preserve">Spare: GIS Equipments                   </v>
      </c>
      <c r="E61" s="546">
        <f>'Sch-1'!E61</f>
        <v>1000058323</v>
      </c>
      <c r="F61" s="538" t="str">
        <f>'Sch-1'!J61</f>
        <v>400KV GIS CIRCUIT BREAKER-OPERATION COUNTER</v>
      </c>
      <c r="G61" s="546" t="str">
        <f>'Sch-1'!K61</f>
        <v xml:space="preserve">EA </v>
      </c>
      <c r="H61" s="546">
        <f>'Sch-1'!L61</f>
        <v>1</v>
      </c>
      <c r="I61" s="547"/>
      <c r="J61" s="548" t="str">
        <f t="shared" si="0"/>
        <v>INCLUDED</v>
      </c>
    </row>
    <row r="62" spans="1:28" ht="63">
      <c r="A62" s="734">
        <f>'Sch-1'!A62</f>
        <v>46</v>
      </c>
      <c r="B62" s="546">
        <f>'Sch-1'!B62</f>
        <v>7000016714</v>
      </c>
      <c r="C62" s="546">
        <f>'Sch-1'!C62</f>
        <v>460</v>
      </c>
      <c r="D62" s="546" t="str">
        <f>'Sch-1'!D62</f>
        <v xml:space="preserve">Spare: GIS Equipments                   </v>
      </c>
      <c r="E62" s="546">
        <f>'Sch-1'!E62</f>
        <v>1000058320</v>
      </c>
      <c r="F62" s="538" t="str">
        <f>'Sch-1'!J62</f>
        <v>400KV GIS CIRCUIT BREAKER-HYDRAULIC OPERATING MECHANISM WITH DRIVEMOTOR (FOR HYDRAULIC OPERATED MECHANISM, IF APPLICABLE)</v>
      </c>
      <c r="G62" s="546" t="str">
        <f>'Sch-1'!K62</f>
        <v>SET</v>
      </c>
      <c r="H62" s="546">
        <f>'Sch-1'!L62</f>
        <v>1</v>
      </c>
      <c r="I62" s="547"/>
      <c r="J62" s="548" t="str">
        <f t="shared" si="0"/>
        <v>INCLUDED</v>
      </c>
    </row>
    <row r="63" spans="1:28" ht="47.25">
      <c r="A63" s="734">
        <f>'Sch-1'!A63</f>
        <v>47</v>
      </c>
      <c r="B63" s="546">
        <f>'Sch-1'!B63</f>
        <v>7000016714</v>
      </c>
      <c r="C63" s="546">
        <f>'Sch-1'!C63</f>
        <v>470</v>
      </c>
      <c r="D63" s="546" t="str">
        <f>'Sch-1'!D63</f>
        <v xml:space="preserve">Spare: GIS Equipments                   </v>
      </c>
      <c r="E63" s="546">
        <f>'Sch-1'!E63</f>
        <v>1000049759</v>
      </c>
      <c r="F63" s="538" t="str">
        <f>'Sch-1'!J63</f>
        <v>HYDRAULIC FILTER OF EACH TYPE (FOR HYDRAULIC OPERATED MECHANISM, IFPPLICABLE)-400KV GIS CIRCUIT BREKAER</v>
      </c>
      <c r="G63" s="546" t="str">
        <f>'Sch-1'!K63</f>
        <v>SET</v>
      </c>
      <c r="H63" s="546">
        <f>'Sch-1'!L63</f>
        <v>1</v>
      </c>
      <c r="I63" s="547"/>
      <c r="J63" s="548" t="str">
        <f t="shared" si="0"/>
        <v>INCLUDED</v>
      </c>
    </row>
    <row r="64" spans="1:28" ht="47.25">
      <c r="A64" s="734">
        <f>'Sch-1'!A64</f>
        <v>48</v>
      </c>
      <c r="B64" s="546">
        <f>'Sch-1'!B64</f>
        <v>7000016714</v>
      </c>
      <c r="C64" s="546">
        <f>'Sch-1'!C64</f>
        <v>480</v>
      </c>
      <c r="D64" s="546" t="str">
        <f>'Sch-1'!D64</f>
        <v xml:space="preserve">Spare: GIS Equipments                   </v>
      </c>
      <c r="E64" s="546">
        <f>'Sch-1'!E64</f>
        <v>1000058319</v>
      </c>
      <c r="F64" s="538" t="str">
        <f>'Sch-1'!J64</f>
        <v>400KV GIS CIRCUIT BREAKER- HOSE PIPE OF EACH TYPE (AS APPLICABLE) (FORHYDRAULIC OPERATED MECHANISM, IF APPLICABLE)</v>
      </c>
      <c r="G64" s="546" t="str">
        <f>'Sch-1'!K64</f>
        <v>SET</v>
      </c>
      <c r="H64" s="546">
        <f>'Sch-1'!L64</f>
        <v>1</v>
      </c>
      <c r="I64" s="547"/>
      <c r="J64" s="548" t="str">
        <f t="shared" si="0"/>
        <v>INCLUDED</v>
      </c>
    </row>
    <row r="65" spans="1:10" ht="47.25">
      <c r="A65" s="734">
        <f>'Sch-1'!A65</f>
        <v>49</v>
      </c>
      <c r="B65" s="546">
        <f>'Sch-1'!B65</f>
        <v>7000016714</v>
      </c>
      <c r="C65" s="546">
        <f>'Sch-1'!C65</f>
        <v>490</v>
      </c>
      <c r="D65" s="546" t="str">
        <f>'Sch-1'!D65</f>
        <v xml:space="preserve">Spare: GIS Equipments                   </v>
      </c>
      <c r="E65" s="546">
        <f>'Sch-1'!E65</f>
        <v>1000058322</v>
      </c>
      <c r="F65" s="538" t="str">
        <f>'Sch-1'!J65</f>
        <v>400KV GIS CIRCUIT BREAKER - N2 ACCUMULATOR (FOR HYDRAULIC OPERATEDMECHANISM, IF APPLICABLE)</v>
      </c>
      <c r="G65" s="546" t="str">
        <f>'Sch-1'!K65</f>
        <v>SET</v>
      </c>
      <c r="H65" s="546">
        <f>'Sch-1'!L65</f>
        <v>1</v>
      </c>
      <c r="I65" s="547"/>
      <c r="J65" s="548" t="str">
        <f t="shared" si="0"/>
        <v>INCLUDED</v>
      </c>
    </row>
    <row r="66" spans="1:10" ht="47.25">
      <c r="A66" s="734">
        <f>'Sch-1'!A66</f>
        <v>50</v>
      </c>
      <c r="B66" s="546">
        <f>'Sch-1'!B66</f>
        <v>7000016714</v>
      </c>
      <c r="C66" s="546">
        <f>'Sch-1'!C66</f>
        <v>500</v>
      </c>
      <c r="D66" s="546" t="str">
        <f>'Sch-1'!D66</f>
        <v xml:space="preserve">Spare: GIS Equipments                   </v>
      </c>
      <c r="E66" s="546">
        <f>'Sch-1'!E66</f>
        <v>1000049835</v>
      </c>
      <c r="F66" s="538" t="str">
        <f>'Sch-1'!J66</f>
        <v>VALVES OF EACH TYPE (FOR HYDRAULIC OPERATED MECHANISM, IFAPPLICABLE)-400KV GIS CIRCUIT BREKAER</v>
      </c>
      <c r="G66" s="546" t="str">
        <f>'Sch-1'!K66</f>
        <v>SET</v>
      </c>
      <c r="H66" s="546">
        <f>'Sch-1'!L66</f>
        <v>1</v>
      </c>
      <c r="I66" s="547"/>
      <c r="J66" s="548" t="str">
        <f t="shared" si="0"/>
        <v>INCLUDED</v>
      </c>
    </row>
    <row r="67" spans="1:10" ht="47.25">
      <c r="A67" s="734">
        <f>'Sch-1'!A67</f>
        <v>51</v>
      </c>
      <c r="B67" s="546">
        <f>'Sch-1'!B67</f>
        <v>7000016714</v>
      </c>
      <c r="C67" s="546">
        <f>'Sch-1'!C67</f>
        <v>510</v>
      </c>
      <c r="D67" s="546" t="str">
        <f>'Sch-1'!D67</f>
        <v xml:space="preserve">Spare: GIS Equipments                   </v>
      </c>
      <c r="E67" s="546">
        <f>'Sch-1'!E67</f>
        <v>1000049795</v>
      </c>
      <c r="F67" s="538" t="str">
        <f>'Sch-1'!J67</f>
        <v>PIPE LENGTH (COPPER &amp; STEEL) OF EACH SIZE &amp; TYPE (FOR HYDRAULICOPERATED MECHANISM, IF APPLICABLE)-400KV GIS CIRCUIT BREKAER</v>
      </c>
      <c r="G67" s="546" t="str">
        <f>'Sch-1'!K67</f>
        <v>SET</v>
      </c>
      <c r="H67" s="546">
        <f>'Sch-1'!L67</f>
        <v>1</v>
      </c>
      <c r="I67" s="547"/>
      <c r="J67" s="548" t="str">
        <f t="shared" si="0"/>
        <v>INCLUDED</v>
      </c>
    </row>
    <row r="68" spans="1:10" ht="47.25">
      <c r="A68" s="734">
        <f>'Sch-1'!A68</f>
        <v>52</v>
      </c>
      <c r="B68" s="546">
        <f>'Sch-1'!B68</f>
        <v>7000016714</v>
      </c>
      <c r="C68" s="546">
        <f>'Sch-1'!C68</f>
        <v>520</v>
      </c>
      <c r="D68" s="546" t="str">
        <f>'Sch-1'!D68</f>
        <v xml:space="preserve">Spare: GIS Equipments                   </v>
      </c>
      <c r="E68" s="546">
        <f>'Sch-1'!E68</f>
        <v>1000049808</v>
      </c>
      <c r="F68" s="538" t="str">
        <f>'Sch-1'!J68</f>
        <v>PRESSURE SWITCHES OF EACH TYPE (FOR HYDRAULIC OPERATED MECHANISM, IFAPPLICABLE)-400KV GIS CIRCUIT BREKAER</v>
      </c>
      <c r="G68" s="546" t="str">
        <f>'Sch-1'!K68</f>
        <v>SET</v>
      </c>
      <c r="H68" s="546">
        <f>'Sch-1'!L68</f>
        <v>1</v>
      </c>
      <c r="I68" s="547"/>
      <c r="J68" s="548" t="str">
        <f t="shared" si="0"/>
        <v>INCLUDED</v>
      </c>
    </row>
    <row r="69" spans="1:10" ht="63">
      <c r="A69" s="734">
        <f>'Sch-1'!A69</f>
        <v>53</v>
      </c>
      <c r="B69" s="546">
        <f>'Sch-1'!B69</f>
        <v>7000016714</v>
      </c>
      <c r="C69" s="546">
        <f>'Sch-1'!C69</f>
        <v>530</v>
      </c>
      <c r="D69" s="546" t="str">
        <f>'Sch-1'!D69</f>
        <v xml:space="preserve">Spare: GIS Equipments                   </v>
      </c>
      <c r="E69" s="546">
        <f>'Sch-1'!E69</f>
        <v>1000049805</v>
      </c>
      <c r="F69" s="538" t="str">
        <f>'Sch-1'!J69</f>
        <v>PRESSURE GAUGE WITH COUPLING DEVICE OF EACH TYPE (FOR HYDRAULICOPERATED MECHANISM, IF APPLICABLE)-400KV GIS CIRCUIT BREKAER</v>
      </c>
      <c r="G69" s="546" t="str">
        <f>'Sch-1'!K69</f>
        <v>SET</v>
      </c>
      <c r="H69" s="546">
        <f>'Sch-1'!L69</f>
        <v>1</v>
      </c>
      <c r="I69" s="547"/>
      <c r="J69" s="548" t="str">
        <f t="shared" si="0"/>
        <v>INCLUDED</v>
      </c>
    </row>
    <row r="70" spans="1:10" ht="47.25">
      <c r="A70" s="734">
        <f>'Sch-1'!A70</f>
        <v>54</v>
      </c>
      <c r="B70" s="546">
        <f>'Sch-1'!B70</f>
        <v>7000016714</v>
      </c>
      <c r="C70" s="546">
        <f>'Sch-1'!C70</f>
        <v>540</v>
      </c>
      <c r="D70" s="546" t="str">
        <f>'Sch-1'!D70</f>
        <v xml:space="preserve">Spare: GIS Equipments                   </v>
      </c>
      <c r="E70" s="546">
        <f>'Sch-1'!E70</f>
        <v>1000058321</v>
      </c>
      <c r="F70" s="538" t="str">
        <f>'Sch-1'!J70</f>
        <v>400KV GIS CIRCUIT BREAKER-HYDRAULIC OIL (5% OF TOTAL OIL QUANTITY)(FOR HYDRAULIC OPERATED MECHANISM, IF APPLICABLE)</v>
      </c>
      <c r="G70" s="546" t="str">
        <f>'Sch-1'!K70</f>
        <v>SET</v>
      </c>
      <c r="H70" s="546">
        <f>'Sch-1'!L70</f>
        <v>1</v>
      </c>
      <c r="I70" s="547"/>
      <c r="J70" s="548" t="str">
        <f t="shared" ref="J70" si="1">IF(I70=0, "INCLUDED", IF(ISERROR(I70*H70), I70, I70*H70))</f>
        <v>INCLUDED</v>
      </c>
    </row>
    <row r="71" spans="1:10" ht="47.25">
      <c r="A71" s="734">
        <f>'Sch-1'!A71</f>
        <v>55</v>
      </c>
      <c r="B71" s="546">
        <f>'Sch-1'!B71</f>
        <v>7000016714</v>
      </c>
      <c r="C71" s="546">
        <f>'Sch-1'!C71</f>
        <v>550</v>
      </c>
      <c r="D71" s="546" t="str">
        <f>'Sch-1'!D71</f>
        <v xml:space="preserve">Spare: GIS Equipments                   </v>
      </c>
      <c r="E71" s="546">
        <f>'Sch-1'!E71</f>
        <v>1000049799</v>
      </c>
      <c r="F71" s="538" t="str">
        <f>'Sch-1'!J71</f>
        <v>PRESSURE RELIEF DEVICE OF EACH TYPE (FOR HYDRAULIC OPERATED MECHANISM,IF APPLICABLE)-400KV GIS CIRCUIT BREKAER</v>
      </c>
      <c r="G71" s="546" t="str">
        <f>'Sch-1'!K71</f>
        <v>SET</v>
      </c>
      <c r="H71" s="546">
        <f>'Sch-1'!L71</f>
        <v>1</v>
      </c>
      <c r="I71" s="547"/>
      <c r="J71" s="548" t="str">
        <f t="shared" si="0"/>
        <v>INCLUDED</v>
      </c>
    </row>
    <row r="72" spans="1:10" ht="63">
      <c r="A72" s="734">
        <f>'Sch-1'!A72</f>
        <v>56</v>
      </c>
      <c r="B72" s="546">
        <f>'Sch-1'!B72</f>
        <v>7000016714</v>
      </c>
      <c r="C72" s="546">
        <f>'Sch-1'!C72</f>
        <v>560</v>
      </c>
      <c r="D72" s="546" t="str">
        <f>'Sch-1'!D72</f>
        <v xml:space="preserve">Spare: GIS Equipments                   </v>
      </c>
      <c r="E72" s="546">
        <f>'Sch-1'!E72</f>
        <v>1000058325</v>
      </c>
      <c r="F72" s="538" t="str">
        <f>'Sch-1'!J72</f>
        <v>400KV GIS CIRCUIT BREAKER-COMPLETE SPRING OPERATING MECHANISMINCLUDING CHARGING MECHANISM ETC. (FOR SPRING OPERATED MECHANISM, IFAPPLICABLE)</v>
      </c>
      <c r="G72" s="546" t="str">
        <f>'Sch-1'!K72</f>
        <v>SET</v>
      </c>
      <c r="H72" s="546">
        <f>'Sch-1'!L72</f>
        <v>1</v>
      </c>
      <c r="I72" s="547"/>
      <c r="J72" s="548" t="str">
        <f t="shared" si="0"/>
        <v>INCLUDED</v>
      </c>
    </row>
    <row r="73" spans="1:10" ht="78.75">
      <c r="A73" s="734">
        <f>'Sch-1'!A73</f>
        <v>57</v>
      </c>
      <c r="B73" s="546">
        <f>'Sch-1'!B73</f>
        <v>7000016714</v>
      </c>
      <c r="C73" s="546">
        <f>'Sch-1'!C73</f>
        <v>570</v>
      </c>
      <c r="D73" s="546" t="str">
        <f>'Sch-1'!D73</f>
        <v xml:space="preserve">Spare: GIS Equipments                   </v>
      </c>
      <c r="E73" s="546">
        <f>'Sch-1'!E73</f>
        <v>1000058318</v>
      </c>
      <c r="F73" s="538" t="str">
        <f>'Sch-1'!J73</f>
        <v>400KV GIS CIRCUIT BREAKER- COMPLETE HYDRAULIC-SPRING OPERATINGMECHANISM INCLUDING CHARGING MECHANISM ETC. (FOR HYDRAULIC-SPRINGOPERATED MECHANISM, IF APPLICABLE)</v>
      </c>
      <c r="G73" s="546" t="str">
        <f>'Sch-1'!K73</f>
        <v>SET</v>
      </c>
      <c r="H73" s="546">
        <f>'Sch-1'!L73</f>
        <v>1</v>
      </c>
      <c r="I73" s="547"/>
      <c r="J73" s="548" t="str">
        <f t="shared" si="0"/>
        <v>INCLUDED</v>
      </c>
    </row>
    <row r="74" spans="1:10" ht="47.25">
      <c r="A74" s="734">
        <f>'Sch-1'!A74</f>
        <v>58</v>
      </c>
      <c r="B74" s="546">
        <f>'Sch-1'!B74</f>
        <v>7000016714</v>
      </c>
      <c r="C74" s="546">
        <f>'Sch-1'!C74</f>
        <v>580</v>
      </c>
      <c r="D74" s="546" t="str">
        <f>'Sch-1'!D74</f>
        <v xml:space="preserve">Spare: GIS Equipments                   </v>
      </c>
      <c r="E74" s="546">
        <f>'Sch-1'!E74</f>
        <v>1000049495</v>
      </c>
      <c r="F74" s="538" t="str">
        <f>'Sch-1'!J74</f>
        <v>PRESSURE SWITCHES OF EACH TYPE FOR420KV GIS  CIRCUIT BREAKER (ForHydraulic-Spring Operated Mechanism, ifapplicable)</v>
      </c>
      <c r="G74" s="546" t="str">
        <f>'Sch-1'!K74</f>
        <v>SET</v>
      </c>
      <c r="H74" s="546">
        <f>'Sch-1'!L74</f>
        <v>1</v>
      </c>
      <c r="I74" s="547"/>
      <c r="J74" s="548" t="str">
        <f t="shared" si="0"/>
        <v>INCLUDED</v>
      </c>
    </row>
    <row r="75" spans="1:10" ht="63">
      <c r="A75" s="734">
        <f>'Sch-1'!A75</f>
        <v>59</v>
      </c>
      <c r="B75" s="546">
        <f>'Sch-1'!B75</f>
        <v>7000016714</v>
      </c>
      <c r="C75" s="546">
        <f>'Sch-1'!C75</f>
        <v>590</v>
      </c>
      <c r="D75" s="546" t="str">
        <f>'Sch-1'!D75</f>
        <v xml:space="preserve">Spare: GIS Equipments                   </v>
      </c>
      <c r="E75" s="546">
        <f>'Sch-1'!E75</f>
        <v>1000049802</v>
      </c>
      <c r="F75" s="538" t="str">
        <f>'Sch-1'!J75</f>
        <v>PRESSURE GAUGE WITH COUPLING DEVICE OF EACH TYPE (FOR HYDRAULIC-SPRINGOPERATED MECHANISM, IF APPLICABLE)-400KV GIS CIRCUIT BREKAER</v>
      </c>
      <c r="G75" s="546" t="str">
        <f>'Sch-1'!K75</f>
        <v>SET</v>
      </c>
      <c r="H75" s="546">
        <f>'Sch-1'!L75</f>
        <v>1</v>
      </c>
      <c r="I75" s="547"/>
      <c r="J75" s="548" t="str">
        <f t="shared" si="0"/>
        <v>INCLUDED</v>
      </c>
    </row>
    <row r="76" spans="1:10" ht="409.5">
      <c r="A76" s="734">
        <f>'Sch-1'!A76</f>
        <v>60</v>
      </c>
      <c r="B76" s="546">
        <f>'Sch-1'!B76</f>
        <v>7000016714</v>
      </c>
      <c r="C76" s="546">
        <f>'Sch-1'!C76</f>
        <v>600</v>
      </c>
      <c r="D76" s="546" t="str">
        <f>'Sch-1'!D76</f>
        <v xml:space="preserve">Spare: GIS Equipments                   </v>
      </c>
      <c r="E76" s="546">
        <f>'Sch-1'!E76</f>
        <v>1000058374</v>
      </c>
      <c r="F76" s="538" t="str">
        <f>'Sch-1'!J76</f>
        <v>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76" s="546" t="str">
        <f>'Sch-1'!K76</f>
        <v xml:space="preserve">EA </v>
      </c>
      <c r="H76" s="546">
        <f>'Sch-1'!L76</f>
        <v>2</v>
      </c>
      <c r="I76" s="547"/>
      <c r="J76" s="548" t="str">
        <f t="shared" si="0"/>
        <v>INCLUDED</v>
      </c>
    </row>
    <row r="77" spans="1:10" ht="315">
      <c r="A77" s="734">
        <f>'Sch-1'!A77</f>
        <v>61</v>
      </c>
      <c r="B77" s="546">
        <f>'Sch-1'!B77</f>
        <v>7000016714</v>
      </c>
      <c r="C77" s="546">
        <f>'Sch-1'!C77</f>
        <v>610</v>
      </c>
      <c r="D77" s="546" t="str">
        <f>'Sch-1'!D77</f>
        <v xml:space="preserve">Spare: GIS Equipments                   </v>
      </c>
      <c r="E77" s="546">
        <f>'Sch-1'!E77</f>
        <v>1000058314</v>
      </c>
      <c r="F77" s="538" t="str">
        <f>'Sch-1'!J77</f>
        <v>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77" s="546" t="str">
        <f>'Sch-1'!K77</f>
        <v xml:space="preserve">EA </v>
      </c>
      <c r="H77" s="546">
        <f>'Sch-1'!L77</f>
        <v>1</v>
      </c>
      <c r="I77" s="547"/>
      <c r="J77" s="548" t="str">
        <f t="shared" si="0"/>
        <v>INCLUDED</v>
      </c>
    </row>
    <row r="78" spans="1:10" ht="110.25">
      <c r="A78" s="734">
        <f>'Sch-1'!A78</f>
        <v>62</v>
      </c>
      <c r="B78" s="546">
        <f>'Sch-1'!B78</f>
        <v>7000016714</v>
      </c>
      <c r="C78" s="546">
        <f>'Sch-1'!C78</f>
        <v>620</v>
      </c>
      <c r="D78" s="546" t="str">
        <f>'Sch-1'!D78</f>
        <v xml:space="preserve">Spare: GIS Equipments                   </v>
      </c>
      <c r="E78" s="546">
        <f>'Sch-1'!E78</f>
        <v>1000058305</v>
      </c>
      <c r="F78" s="538" t="str">
        <f>'Sch-1'!J78</f>
        <v>OPEN/CLOSE CONTACTOR ASSEMBLY, TIMERS, KEY INTERLOCK, INTERLOCKINGCOILS, RELAYS, PUSH BUTTONS, INDICATING LAMPS, POWER CONTACTORS,RESISTORS, FUSES, MCBS &amp; DRIVE CONTROL CARDS ETC. (AS APPLICABLE) ONEOF EACH TYPE FOR ONE COMPLETE MOM BOX FOR 400KV GIS DISCONNECTORSWITCH</v>
      </c>
      <c r="G78" s="546" t="str">
        <f>'Sch-1'!K78</f>
        <v>SET</v>
      </c>
      <c r="H78" s="546">
        <f>'Sch-1'!L78</f>
        <v>1</v>
      </c>
      <c r="I78" s="547"/>
      <c r="J78" s="548" t="str">
        <f t="shared" si="0"/>
        <v>INCLUDED</v>
      </c>
    </row>
    <row r="79" spans="1:10" ht="110.25">
      <c r="A79" s="734">
        <f>'Sch-1'!A79</f>
        <v>63</v>
      </c>
      <c r="B79" s="546">
        <f>'Sch-1'!B79</f>
        <v>7000016714</v>
      </c>
      <c r="C79" s="546">
        <f>'Sch-1'!C79</f>
        <v>630</v>
      </c>
      <c r="D79" s="546" t="str">
        <f>'Sch-1'!D79</f>
        <v xml:space="preserve">Spare: GIS Equipments                   </v>
      </c>
      <c r="E79" s="546">
        <f>'Sch-1'!E79</f>
        <v>1000058312</v>
      </c>
      <c r="F79" s="538" t="str">
        <f>'Sch-1'!J79</f>
        <v>OPEN/CLOSE CONTACTOR ASSEMBLY, TIMERS, KEY INTERLOCK, INTERLOCKINGCOILS, RELAYS, PUSH BUTTONS, INDICATING LAMPS, POWER CONTACTORS,RESISTORS, FUSES, MCBS &amp; DRIVE CONTROL CARDS ETC. (AS APPLICABLE) ONEOF EACH TYPE FOR ONE COMPLETE MOM BOX FOR 400KV GIS MAINTENANCE EARTHSWITCH</v>
      </c>
      <c r="G79" s="546" t="str">
        <f>'Sch-1'!K79</f>
        <v>SET</v>
      </c>
      <c r="H79" s="546">
        <f>'Sch-1'!L79</f>
        <v>1</v>
      </c>
      <c r="I79" s="547"/>
      <c r="J79" s="548" t="str">
        <f t="shared" si="0"/>
        <v>INCLUDED</v>
      </c>
    </row>
    <row r="80" spans="1:10" ht="110.25">
      <c r="A80" s="734">
        <f>'Sch-1'!A80</f>
        <v>64</v>
      </c>
      <c r="B80" s="546">
        <f>'Sch-1'!B80</f>
        <v>7000016714</v>
      </c>
      <c r="C80" s="546">
        <f>'Sch-1'!C80</f>
        <v>640</v>
      </c>
      <c r="D80" s="546" t="str">
        <f>'Sch-1'!D80</f>
        <v xml:space="preserve">Spare: GIS Equipments                   </v>
      </c>
      <c r="E80" s="546">
        <f>'Sch-1'!E80</f>
        <v>1000058308</v>
      </c>
      <c r="F80" s="538" t="str">
        <f>'Sch-1'!J80</f>
        <v>OPEN/CLOSE CONTACTOR ASSEMBLY, TIMERS, KEY INTERLOCK, INTERLOCKINGCOILS, RELAYS, PUSH BUTTONS, INDICATING LAMPS, POWER CONTACTORS,RESISTORS, FUSES, MCBS &amp; DRIVE CONTROL CARDS ETC. (AS APPLICABLE) ONEOF EACH TYPE FOR ONE COMPLETE MOM BOX FOR 400KV GIS FAST EARTHINGSWITCH</v>
      </c>
      <c r="G80" s="546" t="str">
        <f>'Sch-1'!K80</f>
        <v>SET</v>
      </c>
      <c r="H80" s="546">
        <f>'Sch-1'!L80</f>
        <v>1</v>
      </c>
      <c r="I80" s="547"/>
      <c r="J80" s="548" t="str">
        <f t="shared" si="0"/>
        <v>INCLUDED</v>
      </c>
    </row>
    <row r="81" spans="1:11" ht="47.25">
      <c r="A81" s="734">
        <f>'Sch-1'!A81</f>
        <v>65</v>
      </c>
      <c r="B81" s="546">
        <f>'Sch-1'!B81</f>
        <v>7000016714</v>
      </c>
      <c r="C81" s="546">
        <f>'Sch-1'!C81</f>
        <v>650</v>
      </c>
      <c r="D81" s="546" t="str">
        <f>'Sch-1'!D81</f>
        <v xml:space="preserve">Spare: GIS Equipments                   </v>
      </c>
      <c r="E81" s="546">
        <f>'Sch-1'!E81</f>
        <v>1000049776</v>
      </c>
      <c r="F81" s="538" t="str">
        <f>'Sch-1'!J81</f>
        <v>LIMIT SWITCHES AND AUX. SWITCHES FOR ONE COMPLETE MOM BOX FORDISCONNECTOR-400KV GIS</v>
      </c>
      <c r="G81" s="546" t="str">
        <f>'Sch-1'!K81</f>
        <v>SET</v>
      </c>
      <c r="H81" s="546">
        <f>'Sch-1'!L81</f>
        <v>1</v>
      </c>
      <c r="I81" s="547"/>
      <c r="J81" s="548" t="str">
        <f t="shared" si="0"/>
        <v>INCLUDED</v>
      </c>
    </row>
    <row r="82" spans="1:11" ht="47.25">
      <c r="A82" s="734">
        <f>'Sch-1'!A82</f>
        <v>66</v>
      </c>
      <c r="B82" s="546">
        <f>'Sch-1'!B82</f>
        <v>7000016714</v>
      </c>
      <c r="C82" s="546">
        <f>'Sch-1'!C82</f>
        <v>660</v>
      </c>
      <c r="D82" s="546" t="str">
        <f>'Sch-1'!D82</f>
        <v xml:space="preserve">Spare: GIS Equipments                   </v>
      </c>
      <c r="E82" s="546">
        <f>'Sch-1'!E82</f>
        <v>1000049778</v>
      </c>
      <c r="F82" s="538" t="str">
        <f>'Sch-1'!J82</f>
        <v>LIMIT SWITCHES AND AUX. SWITCHES FOR ONE COMPLETE MOM BOX FORMAINTENANCE EARTHING SWITCH-400KV GIS</v>
      </c>
      <c r="G82" s="546" t="str">
        <f>'Sch-1'!K82</f>
        <v>SET</v>
      </c>
      <c r="H82" s="546">
        <f>'Sch-1'!L82</f>
        <v>1</v>
      </c>
      <c r="I82" s="547"/>
      <c r="J82" s="548" t="str">
        <f t="shared" si="0"/>
        <v>INCLUDED</v>
      </c>
    </row>
    <row r="83" spans="1:11" ht="31.5">
      <c r="A83" s="734">
        <f>'Sch-1'!A83</f>
        <v>67</v>
      </c>
      <c r="B83" s="546">
        <f>'Sch-1'!B83</f>
        <v>7000016714</v>
      </c>
      <c r="C83" s="546">
        <f>'Sch-1'!C83</f>
        <v>670</v>
      </c>
      <c r="D83" s="546" t="str">
        <f>'Sch-1'!D83</f>
        <v xml:space="preserve">Spare: GIS Equipments                   </v>
      </c>
      <c r="E83" s="546">
        <f>'Sch-1'!E83</f>
        <v>1000058306</v>
      </c>
      <c r="F83" s="538" t="str">
        <f>'Sch-1'!J83</f>
        <v>DRIVE MECHANISM FOR 400KV GIS DISCONNECTOR SWITCH</v>
      </c>
      <c r="G83" s="546" t="str">
        <f>'Sch-1'!K83</f>
        <v>SET</v>
      </c>
      <c r="H83" s="546">
        <f>'Sch-1'!L83</f>
        <v>1</v>
      </c>
      <c r="I83" s="547"/>
      <c r="J83" s="548" t="str">
        <f t="shared" si="0"/>
        <v>INCLUDED</v>
      </c>
    </row>
    <row r="84" spans="1:11" ht="31.5">
      <c r="A84" s="734">
        <f>'Sch-1'!A84</f>
        <v>68</v>
      </c>
      <c r="B84" s="546">
        <f>'Sch-1'!B84</f>
        <v>7000016714</v>
      </c>
      <c r="C84" s="546">
        <f>'Sch-1'!C84</f>
        <v>680</v>
      </c>
      <c r="D84" s="546" t="str">
        <f>'Sch-1'!D84</f>
        <v xml:space="preserve">Spare: GIS Equipments                   </v>
      </c>
      <c r="E84" s="546">
        <f>'Sch-1'!E84</f>
        <v>1000058313</v>
      </c>
      <c r="F84" s="538" t="str">
        <f>'Sch-1'!J84</f>
        <v>DRIVE MECHANISM FOR 400KV GIS MAINTENANCE EARTH SWITCH</v>
      </c>
      <c r="G84" s="546" t="str">
        <f>'Sch-1'!K84</f>
        <v>SET</v>
      </c>
      <c r="H84" s="546">
        <f>'Sch-1'!L84</f>
        <v>1</v>
      </c>
      <c r="I84" s="547"/>
      <c r="J84" s="548" t="str">
        <f t="shared" si="0"/>
        <v>INCLUDED</v>
      </c>
    </row>
    <row r="85" spans="1:11" ht="31.5">
      <c r="A85" s="734">
        <f>'Sch-1'!A85</f>
        <v>69</v>
      </c>
      <c r="B85" s="546">
        <f>'Sch-1'!B85</f>
        <v>7000016714</v>
      </c>
      <c r="C85" s="546">
        <f>'Sch-1'!C85</f>
        <v>690</v>
      </c>
      <c r="D85" s="546" t="str">
        <f>'Sch-1'!D85</f>
        <v xml:space="preserve">Spare: GIS Equipments                   </v>
      </c>
      <c r="E85" s="546">
        <f>'Sch-1'!E85</f>
        <v>1000058307</v>
      </c>
      <c r="F85" s="538" t="str">
        <f>'Sch-1'!J85</f>
        <v>MOTOR FOR DRIVE MECHANISM FOR 400KV GIS DISCONNECTOR SWITCH</v>
      </c>
      <c r="G85" s="546" t="str">
        <f>'Sch-1'!K85</f>
        <v xml:space="preserve">EA </v>
      </c>
      <c r="H85" s="546">
        <f>'Sch-1'!L85</f>
        <v>1</v>
      </c>
      <c r="I85" s="547"/>
      <c r="J85" s="548" t="str">
        <f t="shared" si="0"/>
        <v>INCLUDED</v>
      </c>
    </row>
    <row r="86" spans="1:11" ht="31.5">
      <c r="A86" s="734">
        <f>'Sch-1'!A86</f>
        <v>70</v>
      </c>
      <c r="B86" s="546">
        <f>'Sch-1'!B86</f>
        <v>7000016714</v>
      </c>
      <c r="C86" s="546">
        <f>'Sch-1'!C86</f>
        <v>700</v>
      </c>
      <c r="D86" s="546" t="str">
        <f>'Sch-1'!D86</f>
        <v xml:space="preserve">Spare: GIS Equipments                   </v>
      </c>
      <c r="E86" s="546">
        <f>'Sch-1'!E86</f>
        <v>1000058315</v>
      </c>
      <c r="F86" s="538" t="str">
        <f>'Sch-1'!J86</f>
        <v>MOTOR FOR DRIVE MECHANISM FOR 400KVGIS MAINTENANCE EARTH SWITCH</v>
      </c>
      <c r="G86" s="546" t="str">
        <f>'Sch-1'!K86</f>
        <v xml:space="preserve">EA </v>
      </c>
      <c r="H86" s="546">
        <f>'Sch-1'!L86</f>
        <v>1</v>
      </c>
      <c r="I86" s="547"/>
      <c r="J86" s="548" t="str">
        <f t="shared" si="0"/>
        <v>INCLUDED</v>
      </c>
    </row>
    <row r="87" spans="1:11" ht="63">
      <c r="A87" s="734">
        <f>'Sch-1'!A87</f>
        <v>71</v>
      </c>
      <c r="B87" s="546">
        <f>'Sch-1'!B87</f>
        <v>7000016714</v>
      </c>
      <c r="C87" s="546">
        <f>'Sch-1'!C87</f>
        <v>710</v>
      </c>
      <c r="D87" s="546" t="str">
        <f>'Sch-1'!D87</f>
        <v xml:space="preserve">Spare: GIS Equipments                   </v>
      </c>
      <c r="E87" s="546">
        <f>'Sch-1'!E87</f>
        <v>1000058327</v>
      </c>
      <c r="F87" s="538" t="str">
        <f>'Sch-1'!J87</f>
        <v>400KV GIS- SINGLE PHASE OF CURRENT TRANSFORMER (3 CORES, TYPE-CTA)WITH ASSOCIATED ENCLOSURE AND PRIMARY CONDUCTOR COMPLETE IN ALLRESPECT</v>
      </c>
      <c r="G87" s="546" t="str">
        <f>'Sch-1'!K87</f>
        <v xml:space="preserve">EA </v>
      </c>
      <c r="H87" s="546">
        <f>'Sch-1'!L87</f>
        <v>1</v>
      </c>
      <c r="I87" s="547"/>
      <c r="J87" s="548" t="str">
        <f t="shared" si="0"/>
        <v>INCLUDED</v>
      </c>
    </row>
    <row r="88" spans="1:11" ht="63">
      <c r="A88" s="734">
        <f>'Sch-1'!A88</f>
        <v>72</v>
      </c>
      <c r="B88" s="546">
        <f>'Sch-1'!B88</f>
        <v>7000016714</v>
      </c>
      <c r="C88" s="546">
        <f>'Sch-1'!C88</f>
        <v>720</v>
      </c>
      <c r="D88" s="546" t="str">
        <f>'Sch-1'!D88</f>
        <v xml:space="preserve">Spare: GIS Equipments                   </v>
      </c>
      <c r="E88" s="546">
        <f>'Sch-1'!E88</f>
        <v>1000058326</v>
      </c>
      <c r="F88" s="538" t="str">
        <f>'Sch-1'!J88</f>
        <v>400KV GIS- SINGLE PHASE OF CURRENT TRANSFORMER (2 CORES, TYPE-CTB)WITH ASSOCIATED ENCLOSURE AND PRIMARY CONDUCTOR COMPLETE IN ALLRESPECT</v>
      </c>
      <c r="G88" s="546" t="str">
        <f>'Sch-1'!K88</f>
        <v xml:space="preserve">EA </v>
      </c>
      <c r="H88" s="546">
        <f>'Sch-1'!L88</f>
        <v>1</v>
      </c>
      <c r="I88" s="547"/>
      <c r="J88" s="548" t="str">
        <f t="shared" si="0"/>
        <v>INCLUDED</v>
      </c>
    </row>
    <row r="89" spans="1:11" ht="31.5">
      <c r="A89" s="734">
        <f>'Sch-1'!A89</f>
        <v>73</v>
      </c>
      <c r="B89" s="546">
        <f>'Sch-1'!B89</f>
        <v>7000016714</v>
      </c>
      <c r="C89" s="546">
        <f>'Sch-1'!C89</f>
        <v>730</v>
      </c>
      <c r="D89" s="546" t="str">
        <f>'Sch-1'!D89</f>
        <v xml:space="preserve">Spare: GIS Equipments                   </v>
      </c>
      <c r="E89" s="546">
        <f>'Sch-1'!E89</f>
        <v>1000058328</v>
      </c>
      <c r="F89" s="538" t="str">
        <f>'Sch-1'!J89</f>
        <v>400KV GIS- SINGLE PHASE VT WITH ASSOCIATED ENCLOSURE COMPLETE IN ALLRESPECT</v>
      </c>
      <c r="G89" s="546" t="str">
        <f>'Sch-1'!K89</f>
        <v xml:space="preserve">EA </v>
      </c>
      <c r="H89" s="546">
        <f>'Sch-1'!L89</f>
        <v>1</v>
      </c>
      <c r="I89" s="547"/>
      <c r="J89" s="548" t="str">
        <f t="shared" si="0"/>
        <v>INCLUDED</v>
      </c>
    </row>
    <row r="90" spans="1:11">
      <c r="A90" s="734">
        <f>'Sch-1'!A90</f>
        <v>74</v>
      </c>
      <c r="B90" s="546">
        <f>'Sch-1'!B90</f>
        <v>7000016714</v>
      </c>
      <c r="C90" s="546">
        <f>'Sch-1'!C90</f>
        <v>740</v>
      </c>
      <c r="D90" s="546" t="str">
        <f>'Sch-1'!D90</f>
        <v xml:space="preserve">Spare: CRP &amp; SAS                        </v>
      </c>
      <c r="E90" s="546">
        <f>'Sch-1'!E90</f>
        <v>1000019912</v>
      </c>
      <c r="F90" s="538" t="str">
        <f>'Sch-1'!J90</f>
        <v>Relay &amp; protection Panels (with automation)</v>
      </c>
      <c r="G90" s="546" t="str">
        <f>'Sch-1'!K90</f>
        <v xml:space="preserve">LS </v>
      </c>
      <c r="H90" s="546">
        <f>'Sch-1'!L90</f>
        <v>1</v>
      </c>
      <c r="I90" s="547"/>
      <c r="J90" s="548" t="str">
        <f t="shared" si="0"/>
        <v>INCLUDED</v>
      </c>
    </row>
    <row r="91" spans="1:11">
      <c r="A91" s="734">
        <f>'Sch-1'!A91</f>
        <v>75</v>
      </c>
      <c r="B91" s="546">
        <f>'Sch-1'!B91</f>
        <v>7000016714</v>
      </c>
      <c r="C91" s="546">
        <f>'Sch-1'!C91</f>
        <v>750</v>
      </c>
      <c r="D91" s="546" t="str">
        <f>'Sch-1'!D91</f>
        <v xml:space="preserve">Spare: CRP &amp; SAS                        </v>
      </c>
      <c r="E91" s="546">
        <f>'Sch-1'!E91</f>
        <v>1000019927</v>
      </c>
      <c r="F91" s="538" t="str">
        <f>'Sch-1'!J91</f>
        <v>Spares-Substation Automation System</v>
      </c>
      <c r="G91" s="546" t="str">
        <f>'Sch-1'!K91</f>
        <v xml:space="preserve">LS </v>
      </c>
      <c r="H91" s="546">
        <f>'Sch-1'!L91</f>
        <v>1</v>
      </c>
      <c r="I91" s="547"/>
      <c r="J91" s="548" t="str">
        <f t="shared" si="0"/>
        <v>INCLUDED</v>
      </c>
    </row>
    <row r="92" spans="1:11" ht="31.5">
      <c r="A92" s="734">
        <f>'Sch-1'!A92</f>
        <v>76</v>
      </c>
      <c r="B92" s="546">
        <f>'Sch-1'!B92</f>
        <v>7000016714</v>
      </c>
      <c r="C92" s="546">
        <f>'Sch-1'!C92</f>
        <v>810</v>
      </c>
      <c r="D92" s="546" t="str">
        <f>'Sch-1'!D92</f>
        <v xml:space="preserve"> Structures-400kV AIS Equipments        </v>
      </c>
      <c r="E92" s="546">
        <f>'Sch-1'!E92</f>
        <v>1000017567</v>
      </c>
      <c r="F92" s="538" t="str">
        <f>'Sch-1'!J92</f>
        <v>Standard Pipe Structure for 400kV BPI (excluding wave trap)</v>
      </c>
      <c r="G92" s="546" t="str">
        <f>'Sch-1'!K92</f>
        <v xml:space="preserve">EA </v>
      </c>
      <c r="H92" s="546">
        <f>'Sch-1'!L92</f>
        <v>8</v>
      </c>
      <c r="I92" s="547"/>
      <c r="J92" s="548" t="str">
        <f t="shared" si="0"/>
        <v>INCLUDED</v>
      </c>
    </row>
    <row r="93" spans="1:11" ht="47.25">
      <c r="A93" s="734">
        <f>'Sch-1'!A93</f>
        <v>77</v>
      </c>
      <c r="B93" s="546">
        <f>'Sch-1'!B93</f>
        <v>7000016714</v>
      </c>
      <c r="C93" s="546">
        <f>'Sch-1'!C93</f>
        <v>880</v>
      </c>
      <c r="D93" s="546" t="str">
        <f>'Sch-1'!D93</f>
        <v xml:space="preserve">Foundation Bolts Supply                 </v>
      </c>
      <c r="E93" s="546">
        <f>'Sch-1'!E93</f>
        <v>1000012366</v>
      </c>
      <c r="F93" s="538" t="str">
        <f>'Sch-1'!J93</f>
        <v>Fabrication, galvanising and supply of 28mm dia foundation boltsincluding nuts, checknuts, washers and packplates.</v>
      </c>
      <c r="G93" s="546" t="str">
        <f>'Sch-1'!K93</f>
        <v xml:space="preserve">EA </v>
      </c>
      <c r="H93" s="546">
        <f>'Sch-1'!L93</f>
        <v>32</v>
      </c>
      <c r="I93" s="547"/>
      <c r="J93" s="548" t="str">
        <f t="shared" si="0"/>
        <v>INCLUDED</v>
      </c>
    </row>
    <row r="94" spans="1:11" ht="33" customHeight="1">
      <c r="A94" s="432"/>
      <c r="B94" s="837" t="s">
        <v>314</v>
      </c>
      <c r="C94" s="837"/>
      <c r="D94" s="837"/>
      <c r="E94" s="473"/>
      <c r="F94" s="474"/>
      <c r="G94" s="475"/>
      <c r="H94" s="475"/>
      <c r="I94" s="473"/>
      <c r="J94" s="743">
        <f>SUM(J17:J93)</f>
        <v>0</v>
      </c>
      <c r="K94" s="476"/>
    </row>
    <row r="95" spans="1:11" ht="57.75" customHeight="1">
      <c r="A95" s="431"/>
      <c r="B95" s="838" t="s">
        <v>349</v>
      </c>
      <c r="C95" s="838"/>
      <c r="D95" s="838"/>
      <c r="E95" s="838"/>
      <c r="F95" s="838"/>
      <c r="G95" s="838"/>
      <c r="H95" s="838"/>
      <c r="I95" s="838"/>
      <c r="J95" s="838"/>
      <c r="K95" s="476"/>
    </row>
    <row r="96" spans="1:11" ht="24.75" customHeight="1">
      <c r="B96" s="418"/>
      <c r="C96" s="418"/>
      <c r="D96" s="418"/>
      <c r="E96" s="418"/>
      <c r="F96" s="418"/>
      <c r="G96" s="418"/>
      <c r="H96" s="352"/>
      <c r="I96" s="418"/>
      <c r="J96" s="352"/>
      <c r="K96" s="476"/>
    </row>
    <row r="97" spans="1:11" s="477" customFormat="1" ht="16.5">
      <c r="A97" s="543"/>
      <c r="B97" s="550" t="s">
        <v>315</v>
      </c>
      <c r="C97" s="832" t="str">
        <f>'Sch-1'!C99:D99</f>
        <v xml:space="preserve">  </v>
      </c>
      <c r="D97" s="829"/>
      <c r="E97" s="543"/>
      <c r="F97" s="543"/>
      <c r="G97" s="834" t="s">
        <v>317</v>
      </c>
      <c r="H97" s="834"/>
      <c r="I97" s="831" t="str">
        <f>'Sch-1'!K99</f>
        <v/>
      </c>
      <c r="J97" s="831"/>
    </row>
    <row r="98" spans="1:11" s="477" customFormat="1" ht="16.5">
      <c r="A98" s="543"/>
      <c r="B98" s="550" t="s">
        <v>316</v>
      </c>
      <c r="C98" s="829" t="str">
        <f>'Sch-1'!C100:D100</f>
        <v/>
      </c>
      <c r="D98" s="829"/>
      <c r="E98" s="543"/>
      <c r="F98" s="543"/>
      <c r="G98" s="834" t="s">
        <v>124</v>
      </c>
      <c r="H98" s="834"/>
      <c r="I98" s="831" t="str">
        <f>'Sch-1'!K100</f>
        <v/>
      </c>
      <c r="J98" s="831"/>
    </row>
    <row r="99" spans="1:11" ht="16.5">
      <c r="B99" s="551"/>
      <c r="C99" s="552"/>
      <c r="D99" s="352"/>
      <c r="E99" s="553"/>
      <c r="F99" s="554"/>
      <c r="G99" s="352"/>
      <c r="H99" s="545"/>
      <c r="I99" s="555"/>
      <c r="J99" s="545"/>
      <c r="K99" s="476"/>
    </row>
    <row r="100" spans="1:11" ht="16.5">
      <c r="B100" s="556"/>
      <c r="C100" s="557"/>
      <c r="D100" s="556"/>
      <c r="E100" s="553"/>
      <c r="F100" s="554"/>
      <c r="G100" s="556"/>
      <c r="H100" s="545"/>
      <c r="I100" s="555"/>
      <c r="J100" s="545"/>
      <c r="K100" s="476"/>
    </row>
  </sheetData>
  <sheetProtection algorithmName="SHA-512" hashValue="WGYH0WQo3yY4zYOPOFVM8Ge8DSB0GM87lOwLUjeDOzXhQg2z8miWC/FXXh9yWCSx5u/iwKUqmpueWdTWT9TPGg==" saltValue="TFc2hLIqrZDvZqavnsfXBA==" spinCount="100000" sheet="1" formatColumns="0" formatRows="0" selectLockedCells="1"/>
  <customSheetViews>
    <customSheetView guid="{CCA37BAE-906F-43D5-9FD9-B13563E4B9D7}" scale="80" showPageBreaks="1" printArea="1" view="pageBreakPreview" topLeftCell="A85">
      <selection activeCell="I93" sqref="I93"/>
      <pageMargins left="0.45" right="0.45" top="0.75" bottom="0.5" header="0.3" footer="0.3"/>
      <printOptions horizontalCentered="1"/>
      <pageSetup paperSize="9" scale="62" orientation="landscape" r:id="rId1"/>
      <headerFooter>
        <oddHeader>&amp;RSchedule-2
Page &amp;P of &amp;N</oddHeader>
      </headerFooter>
    </customSheetView>
    <customSheetView guid="{CA9345C4-09FE-4F27-BFD9-3D9BCD2DED09}" scale="80" showPageBreaks="1" printArea="1" view="pageBreakPreview" topLeftCell="A278">
      <selection activeCell="I287" sqref="I287"/>
      <pageMargins left="0.45" right="0.45" top="0.75" bottom="0.5" header="0.3" footer="0.3"/>
      <printOptions horizontalCentered="1"/>
      <pageSetup paperSize="9" scale="62" orientation="landscape" r:id="rId2"/>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3"/>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10"/>
      <headerFooter>
        <oddHeader>&amp;RSchedule-2
Page &amp;P of &amp;N</oddHeader>
      </headerFooter>
    </customSheetView>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s>
  <mergeCells count="20">
    <mergeCell ref="N3:O3"/>
    <mergeCell ref="A4:J4"/>
    <mergeCell ref="A3:J3"/>
    <mergeCell ref="C98:D98"/>
    <mergeCell ref="B94:D94"/>
    <mergeCell ref="B95:J95"/>
    <mergeCell ref="C97:D97"/>
    <mergeCell ref="I97:J97"/>
    <mergeCell ref="A6:B6"/>
    <mergeCell ref="I14:J14"/>
    <mergeCell ref="A7:F7"/>
    <mergeCell ref="A8:G8"/>
    <mergeCell ref="C10:E10"/>
    <mergeCell ref="C9:E9"/>
    <mergeCell ref="C12:E12"/>
    <mergeCell ref="C11:E11"/>
    <mergeCell ref="A13:J13"/>
    <mergeCell ref="G98:H98"/>
    <mergeCell ref="G97:H97"/>
    <mergeCell ref="I98:J98"/>
  </mergeCells>
  <dataValidations count="2">
    <dataValidation type="decimal" operator="greaterThan" allowBlank="1" showInputMessage="1" showErrorMessage="1" error="Enter only Numeric value greater than zero or leave the cell blank !" sqref="I64677:I64678" xr:uid="{00000000-0002-0000-0500-000000000000}">
      <formula1>0</formula1>
    </dataValidation>
    <dataValidation type="decimal" operator="greaterThanOrEqual" allowBlank="1" showInputMessage="1" showErrorMessage="1" sqref="I17:I93" xr:uid="{022775CE-8023-498E-9BC1-62C0D048982C}">
      <formula1>0</formula1>
    </dataValidation>
  </dataValidations>
  <printOptions horizontalCentered="1"/>
  <pageMargins left="0.45" right="0.45" top="0.75" bottom="0.5" header="0.3" footer="0.3"/>
  <pageSetup paperSize="9" scale="62" orientation="landscape" r:id="rId12"/>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54"/>
  <sheetViews>
    <sheetView view="pageBreakPreview" topLeftCell="A25" zoomScale="70" zoomScaleNormal="80" zoomScaleSheetLayoutView="70" workbookViewId="0">
      <selection activeCell="AA44" sqref="AA44"/>
    </sheetView>
  </sheetViews>
  <sheetFormatPr defaultColWidth="9.1406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3" customWidth="1"/>
    <col min="7" max="7" width="19.85546875" style="413" bestFit="1" customWidth="1"/>
    <col min="8" max="8" width="13.85546875" style="413" customWidth="1"/>
    <col min="9" max="9" width="20.42578125" style="413" customWidth="1"/>
    <col min="10" max="10" width="13.85546875" style="413" customWidth="1"/>
    <col min="11" max="11" width="21.42578125" style="413" customWidth="1"/>
    <col min="12" max="12" width="68.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26.85546875" style="8" hidden="1" customWidth="1"/>
    <col min="20" max="20" width="16.42578125" style="451" hidden="1" customWidth="1"/>
    <col min="21" max="21" width="16.85546875" style="8" hidden="1" customWidth="1"/>
    <col min="22" max="22" width="18.140625" style="7" hidden="1" customWidth="1"/>
    <col min="23"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9.140625" style="8"/>
  </cols>
  <sheetData>
    <row r="1" spans="1:31" ht="24.75" customHeight="1">
      <c r="A1" s="18" t="str">
        <f>Cover!B3</f>
        <v>Spec. No.: 5002002223/GIS-EXCLUDING/DOM/A00 - CC CS -1</v>
      </c>
      <c r="B1" s="18"/>
      <c r="C1" s="18"/>
      <c r="D1" s="18"/>
      <c r="E1" s="18"/>
      <c r="F1" s="411"/>
      <c r="G1" s="411"/>
      <c r="H1" s="411"/>
      <c r="I1" s="411"/>
      <c r="J1" s="411"/>
      <c r="K1" s="411"/>
      <c r="L1" s="392"/>
      <c r="M1" s="6"/>
      <c r="N1" s="6"/>
      <c r="O1" s="1"/>
      <c r="P1" s="2" t="s">
        <v>16</v>
      </c>
    </row>
    <row r="2" spans="1:31">
      <c r="A2" s="19"/>
      <c r="B2" s="19"/>
      <c r="C2" s="19"/>
      <c r="D2" s="19"/>
      <c r="E2" s="19"/>
      <c r="F2" s="412"/>
      <c r="G2" s="412"/>
      <c r="H2" s="412"/>
      <c r="I2" s="412"/>
      <c r="J2" s="412"/>
      <c r="K2" s="412"/>
      <c r="L2" s="386"/>
      <c r="M2" s="4"/>
      <c r="N2" s="4"/>
      <c r="O2" s="3"/>
      <c r="P2" s="3"/>
    </row>
    <row r="3" spans="1:31" ht="45" customHeight="1">
      <c r="A3" s="818" t="str">
        <f>Cover!$B$2</f>
        <v xml:space="preserve">Substation Package SS-92 for Extension of 400/220kV GIS Indore S/S under Transmission System associated with Scheme to control fault level at Indore Substation in Western Region
</v>
      </c>
      <c r="B3" s="818"/>
      <c r="C3" s="818"/>
      <c r="D3" s="818"/>
      <c r="E3" s="818"/>
      <c r="F3" s="818"/>
      <c r="G3" s="818"/>
      <c r="H3" s="818"/>
      <c r="I3" s="818"/>
      <c r="J3" s="818"/>
      <c r="K3" s="818"/>
      <c r="L3" s="818"/>
      <c r="M3" s="818"/>
      <c r="N3" s="818"/>
      <c r="O3" s="818"/>
      <c r="P3" s="818"/>
    </row>
    <row r="4" spans="1:31" ht="16.5">
      <c r="A4" s="819" t="s">
        <v>18</v>
      </c>
      <c r="B4" s="819"/>
      <c r="C4" s="819"/>
      <c r="D4" s="819"/>
      <c r="E4" s="819"/>
      <c r="F4" s="819"/>
      <c r="G4" s="819"/>
      <c r="H4" s="819"/>
      <c r="I4" s="819"/>
      <c r="J4" s="819"/>
      <c r="K4" s="819"/>
      <c r="L4" s="819"/>
      <c r="M4" s="819"/>
      <c r="N4" s="819"/>
      <c r="O4" s="819"/>
      <c r="P4" s="819"/>
    </row>
    <row r="6" spans="1:31" ht="21.75" customHeight="1">
      <c r="A6" s="820" t="s">
        <v>350</v>
      </c>
      <c r="B6" s="820"/>
      <c r="C6" s="4"/>
      <c r="D6" s="352"/>
      <c r="E6" s="4"/>
      <c r="F6" s="4"/>
      <c r="G6" s="4"/>
      <c r="H6" s="4"/>
      <c r="I6" s="4"/>
    </row>
    <row r="7" spans="1:31" ht="21" customHeight="1">
      <c r="A7" s="825" t="str">
        <f>'Sch-1'!A7</f>
        <v>JOINT VENTURE OF 0 &amp; X</v>
      </c>
      <c r="B7" s="825"/>
      <c r="C7" s="825"/>
      <c r="D7" s="825"/>
      <c r="E7" s="825"/>
      <c r="F7" s="825"/>
      <c r="G7" s="825"/>
      <c r="H7" s="825"/>
      <c r="I7" s="825"/>
      <c r="J7" s="414"/>
      <c r="K7" s="414"/>
      <c r="L7" s="393"/>
      <c r="M7" s="11" t="s">
        <v>1</v>
      </c>
      <c r="N7" s="461"/>
      <c r="O7" s="8"/>
      <c r="P7" s="3"/>
    </row>
    <row r="8" spans="1:31" ht="22.5" customHeight="1">
      <c r="A8" s="821" t="str">
        <f>"Bidder’s Name and Address  (" &amp; MID('Names of Bidder'!B9,9, 20) &amp; ") :"</f>
        <v>Bidder’s Name and Address  (Lead Partner) :</v>
      </c>
      <c r="B8" s="821"/>
      <c r="C8" s="821"/>
      <c r="D8" s="821"/>
      <c r="E8" s="821"/>
      <c r="F8" s="821"/>
      <c r="G8" s="821"/>
      <c r="H8" s="549"/>
      <c r="I8" s="549"/>
      <c r="J8" s="518"/>
      <c r="K8" s="518"/>
      <c r="L8" s="518"/>
      <c r="M8" s="12" t="str">
        <f>'Sch-1'!K8</f>
        <v>Contract Services</v>
      </c>
      <c r="N8" s="518"/>
      <c r="O8" s="8"/>
      <c r="P8" s="3"/>
    </row>
    <row r="9" spans="1:31" ht="24.75" customHeight="1">
      <c r="A9" s="462" t="s">
        <v>12</v>
      </c>
      <c r="B9" s="408"/>
      <c r="C9" s="824" t="str">
        <f>IF('Names of Bidder'!D9=0, "", 'Names of Bidder'!D9)</f>
        <v/>
      </c>
      <c r="D9" s="824"/>
      <c r="E9" s="824"/>
      <c r="F9" s="824"/>
      <c r="G9" s="824"/>
      <c r="H9" s="445"/>
      <c r="I9" s="409"/>
      <c r="J9" s="394"/>
      <c r="K9" s="394"/>
      <c r="L9" s="394"/>
      <c r="M9" s="12" t="str">
        <f>'Sch-1'!K9</f>
        <v>Power Grid Corporation of India Ltd.,</v>
      </c>
      <c r="N9" s="451"/>
      <c r="O9" s="8"/>
      <c r="P9" s="3"/>
    </row>
    <row r="10" spans="1:31" ht="21" customHeight="1">
      <c r="A10" s="462" t="s">
        <v>11</v>
      </c>
      <c r="B10" s="408"/>
      <c r="C10" s="823" t="str">
        <f>IF('Names of Bidder'!D10=0, "", 'Names of Bidder'!D10)</f>
        <v/>
      </c>
      <c r="D10" s="823"/>
      <c r="E10" s="823"/>
      <c r="F10" s="823"/>
      <c r="G10" s="823"/>
      <c r="H10" s="445"/>
      <c r="I10" s="409"/>
      <c r="J10" s="394"/>
      <c r="K10" s="394"/>
      <c r="L10" s="394"/>
      <c r="M10" s="12" t="str">
        <f>'Sch-1'!K10</f>
        <v>"Saudamini", Plot No.-2</v>
      </c>
      <c r="N10" s="451"/>
      <c r="O10" s="8"/>
      <c r="P10" s="3"/>
    </row>
    <row r="11" spans="1:31" ht="20.25" customHeight="1">
      <c r="A11" s="409"/>
      <c r="B11" s="409"/>
      <c r="C11" s="823" t="str">
        <f>IF('Names of Bidder'!D11=0, "", 'Names of Bidder'!D11)</f>
        <v/>
      </c>
      <c r="D11" s="823"/>
      <c r="E11" s="823"/>
      <c r="F11" s="823"/>
      <c r="G11" s="823"/>
      <c r="H11" s="445"/>
      <c r="I11" s="409"/>
      <c r="J11" s="394"/>
      <c r="K11" s="394"/>
      <c r="L11" s="394"/>
      <c r="M11" s="12" t="str">
        <f>'Sch-1'!K11</f>
        <v xml:space="preserve">Sector-29, </v>
      </c>
      <c r="N11" s="451"/>
      <c r="O11" s="8"/>
      <c r="P11" s="3"/>
    </row>
    <row r="12" spans="1:31" ht="21" customHeight="1">
      <c r="A12" s="409"/>
      <c r="B12" s="409"/>
      <c r="C12" s="823" t="str">
        <f>IF('Names of Bidder'!D12=0, "", 'Names of Bidder'!D12)</f>
        <v/>
      </c>
      <c r="D12" s="823"/>
      <c r="E12" s="823"/>
      <c r="F12" s="823"/>
      <c r="G12" s="823"/>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c r="A14" s="845" t="s">
        <v>20</v>
      </c>
      <c r="B14" s="845"/>
      <c r="C14" s="845"/>
      <c r="D14" s="845"/>
      <c r="E14" s="845"/>
      <c r="F14" s="845"/>
      <c r="G14" s="845"/>
      <c r="H14" s="845"/>
      <c r="I14" s="845"/>
      <c r="J14" s="845"/>
      <c r="K14" s="845"/>
      <c r="L14" s="845"/>
      <c r="M14" s="845"/>
      <c r="N14" s="845"/>
      <c r="O14" s="845"/>
      <c r="P14" s="845"/>
    </row>
    <row r="15" spans="1:31" s="434" customFormat="1" ht="125.25" customHeight="1">
      <c r="A15" s="482" t="s">
        <v>7</v>
      </c>
      <c r="B15" s="483" t="s">
        <v>266</v>
      </c>
      <c r="C15" s="483" t="s">
        <v>278</v>
      </c>
      <c r="D15" s="483" t="s">
        <v>277</v>
      </c>
      <c r="E15" s="483" t="s">
        <v>279</v>
      </c>
      <c r="F15" s="483" t="s">
        <v>280</v>
      </c>
      <c r="G15" s="482" t="s">
        <v>24</v>
      </c>
      <c r="H15" s="484" t="s">
        <v>319</v>
      </c>
      <c r="I15" s="485" t="s">
        <v>478</v>
      </c>
      <c r="J15" s="485" t="s">
        <v>310</v>
      </c>
      <c r="K15" s="485" t="s">
        <v>479</v>
      </c>
      <c r="L15" s="486" t="s">
        <v>14</v>
      </c>
      <c r="M15" s="487" t="s">
        <v>9</v>
      </c>
      <c r="N15" s="487" t="s">
        <v>15</v>
      </c>
      <c r="O15" s="486" t="s">
        <v>22</v>
      </c>
      <c r="P15" s="486" t="s">
        <v>23</v>
      </c>
      <c r="Q15" s="433"/>
      <c r="R15" s="641" t="s">
        <v>345</v>
      </c>
      <c r="S15" s="644" t="s">
        <v>346</v>
      </c>
      <c r="T15" s="641" t="s">
        <v>343</v>
      </c>
      <c r="U15" s="641" t="s">
        <v>344</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4">
        <v>8</v>
      </c>
      <c r="I16" s="484">
        <v>9</v>
      </c>
      <c r="J16" s="484">
        <v>10</v>
      </c>
      <c r="K16" s="484">
        <v>11</v>
      </c>
      <c r="L16" s="391">
        <v>12</v>
      </c>
      <c r="M16" s="16">
        <v>13</v>
      </c>
      <c r="N16" s="16">
        <v>14</v>
      </c>
      <c r="O16" s="16">
        <v>15</v>
      </c>
      <c r="P16" s="16" t="s">
        <v>320</v>
      </c>
      <c r="Q16" s="433"/>
      <c r="V16" s="433"/>
      <c r="W16" s="433"/>
      <c r="X16" s="433"/>
      <c r="Y16" s="433"/>
      <c r="Z16" s="433"/>
      <c r="AA16" s="433"/>
      <c r="AB16" s="433"/>
      <c r="AC16" s="433"/>
      <c r="AD16" s="433"/>
      <c r="AE16" s="433"/>
    </row>
    <row r="17" spans="1:27" ht="31.5">
      <c r="A17" s="744">
        <v>1</v>
      </c>
      <c r="B17" s="753">
        <v>7000016714</v>
      </c>
      <c r="C17" s="753">
        <v>760</v>
      </c>
      <c r="D17" s="753">
        <v>160</v>
      </c>
      <c r="E17" s="753">
        <v>10</v>
      </c>
      <c r="F17" s="753" t="s">
        <v>583</v>
      </c>
      <c r="G17" s="753">
        <v>100000240</v>
      </c>
      <c r="H17" s="753">
        <v>998736</v>
      </c>
      <c r="I17" s="561"/>
      <c r="J17" s="560">
        <v>18</v>
      </c>
      <c r="K17" s="559"/>
      <c r="L17" s="755" t="s">
        <v>594</v>
      </c>
      <c r="M17" s="753" t="s">
        <v>300</v>
      </c>
      <c r="N17" s="753">
        <v>2</v>
      </c>
      <c r="O17" s="547"/>
      <c r="P17" s="558" t="str">
        <f t="shared" ref="P17" si="0">IF(O17=0, "INCLUDED", IF(ISERROR(N17*O17), O17, N17*O17))</f>
        <v>INCLUDED</v>
      </c>
      <c r="Q17" s="516">
        <f t="shared" ref="Q17" si="1">IF(P17="Included",0,P17)</f>
        <v>0</v>
      </c>
      <c r="R17" s="452">
        <f>IF( K17="",J17*(IF(P17="Included",0,P17))/100,K17*(IF(P17="Included",0,P17)))</f>
        <v>0</v>
      </c>
      <c r="S17" s="640">
        <f>Discount!$J$36</f>
        <v>0</v>
      </c>
      <c r="T17" s="452">
        <f>S17*Q17</f>
        <v>0</v>
      </c>
      <c r="U17" s="453">
        <f>IF(K17="",J17*T17/100,K17*T17)</f>
        <v>0</v>
      </c>
      <c r="V17" s="750">
        <f>O17*N17</f>
        <v>0</v>
      </c>
      <c r="W17" s="264"/>
      <c r="X17" s="264"/>
      <c r="Y17" s="264"/>
      <c r="Z17" s="264"/>
      <c r="AA17" s="264"/>
    </row>
    <row r="18" spans="1:27" ht="31.5">
      <c r="A18" s="744">
        <v>2</v>
      </c>
      <c r="B18" s="753">
        <v>7000016714</v>
      </c>
      <c r="C18" s="753">
        <v>760</v>
      </c>
      <c r="D18" s="753">
        <v>160</v>
      </c>
      <c r="E18" s="753">
        <v>20</v>
      </c>
      <c r="F18" s="753" t="s">
        <v>583</v>
      </c>
      <c r="G18" s="753">
        <v>100002142</v>
      </c>
      <c r="H18" s="753">
        <v>998736</v>
      </c>
      <c r="I18" s="561"/>
      <c r="J18" s="560">
        <v>18</v>
      </c>
      <c r="K18" s="559"/>
      <c r="L18" s="755" t="s">
        <v>509</v>
      </c>
      <c r="M18" s="753" t="s">
        <v>474</v>
      </c>
      <c r="N18" s="753">
        <v>300</v>
      </c>
      <c r="O18" s="547"/>
      <c r="P18" s="558" t="str">
        <f t="shared" ref="P18:P29" si="2">IF(O18=0, "INCLUDED", IF(ISERROR(N18*O18), O18, N18*O18))</f>
        <v>INCLUDED</v>
      </c>
      <c r="Q18" s="516">
        <f t="shared" ref="Q18:Q29" si="3">IF(P18="Included",0,P18)</f>
        <v>0</v>
      </c>
      <c r="R18" s="452">
        <f t="shared" ref="R18:R29" si="4">IF( K18="",J18*(IF(P18="Included",0,P18))/100,K18*(IF(P18="Included",0,P18)))</f>
        <v>0</v>
      </c>
      <c r="S18" s="640">
        <f>Discount!$J$36</f>
        <v>0</v>
      </c>
      <c r="T18" s="452">
        <f t="shared" ref="T18:T29" si="5">S18*Q18</f>
        <v>0</v>
      </c>
      <c r="U18" s="453">
        <f t="shared" ref="U18:U29" si="6">IF(K18="",J18*T18/100,K18*T18)</f>
        <v>0</v>
      </c>
      <c r="V18" s="750">
        <f t="shared" ref="V18:V29" si="7">O18*N18</f>
        <v>0</v>
      </c>
      <c r="W18" s="264"/>
      <c r="X18" s="264"/>
      <c r="Y18" s="264"/>
      <c r="Z18" s="264"/>
      <c r="AA18" s="264"/>
    </row>
    <row r="19" spans="1:27" ht="31.5">
      <c r="A19" s="744">
        <v>3</v>
      </c>
      <c r="B19" s="753">
        <v>7000016714</v>
      </c>
      <c r="C19" s="753">
        <v>760</v>
      </c>
      <c r="D19" s="753">
        <v>160</v>
      </c>
      <c r="E19" s="753">
        <v>30</v>
      </c>
      <c r="F19" s="753" t="s">
        <v>583</v>
      </c>
      <c r="G19" s="753">
        <v>100003564</v>
      </c>
      <c r="H19" s="753">
        <v>998736</v>
      </c>
      <c r="I19" s="561"/>
      <c r="J19" s="560">
        <v>18</v>
      </c>
      <c r="K19" s="559"/>
      <c r="L19" s="755" t="s">
        <v>595</v>
      </c>
      <c r="M19" s="753" t="s">
        <v>300</v>
      </c>
      <c r="N19" s="753">
        <v>12</v>
      </c>
      <c r="O19" s="547"/>
      <c r="P19" s="558" t="str">
        <f t="shared" si="2"/>
        <v>INCLUDED</v>
      </c>
      <c r="Q19" s="516">
        <f t="shared" si="3"/>
        <v>0</v>
      </c>
      <c r="R19" s="452">
        <f t="shared" si="4"/>
        <v>0</v>
      </c>
      <c r="S19" s="640">
        <f>Discount!$J$36</f>
        <v>0</v>
      </c>
      <c r="T19" s="452">
        <f t="shared" si="5"/>
        <v>0</v>
      </c>
      <c r="U19" s="453">
        <f t="shared" si="6"/>
        <v>0</v>
      </c>
      <c r="V19" s="750">
        <f t="shared" si="7"/>
        <v>0</v>
      </c>
      <c r="W19" s="264"/>
      <c r="X19" s="264"/>
      <c r="Y19" s="264"/>
      <c r="Z19" s="264"/>
      <c r="AA19" s="264"/>
    </row>
    <row r="20" spans="1:27" ht="31.5">
      <c r="A20" s="744">
        <v>4</v>
      </c>
      <c r="B20" s="753">
        <v>7000016714</v>
      </c>
      <c r="C20" s="753">
        <v>770</v>
      </c>
      <c r="D20" s="753">
        <v>170</v>
      </c>
      <c r="E20" s="753">
        <v>10</v>
      </c>
      <c r="F20" s="753" t="s">
        <v>584</v>
      </c>
      <c r="G20" s="753">
        <v>100000729</v>
      </c>
      <c r="H20" s="753">
        <v>998736</v>
      </c>
      <c r="I20" s="561"/>
      <c r="J20" s="560">
        <v>18</v>
      </c>
      <c r="K20" s="559"/>
      <c r="L20" s="755" t="s">
        <v>596</v>
      </c>
      <c r="M20" s="753" t="s">
        <v>299</v>
      </c>
      <c r="N20" s="753">
        <v>2</v>
      </c>
      <c r="O20" s="547"/>
      <c r="P20" s="558" t="str">
        <f t="shared" si="2"/>
        <v>INCLUDED</v>
      </c>
      <c r="Q20" s="516">
        <f t="shared" si="3"/>
        <v>0</v>
      </c>
      <c r="R20" s="452">
        <f t="shared" si="4"/>
        <v>0</v>
      </c>
      <c r="S20" s="640">
        <f>Discount!$J$36</f>
        <v>0</v>
      </c>
      <c r="T20" s="452">
        <f t="shared" si="5"/>
        <v>0</v>
      </c>
      <c r="U20" s="453">
        <f t="shared" si="6"/>
        <v>0</v>
      </c>
      <c r="V20" s="750">
        <f t="shared" si="7"/>
        <v>0</v>
      </c>
      <c r="W20" s="264"/>
      <c r="X20" s="264"/>
      <c r="Y20" s="264"/>
      <c r="Z20" s="264"/>
      <c r="AA20" s="264"/>
    </row>
    <row r="21" spans="1:27" ht="31.5">
      <c r="A21" s="744">
        <v>5</v>
      </c>
      <c r="B21" s="753">
        <v>7000016714</v>
      </c>
      <c r="C21" s="753">
        <v>770</v>
      </c>
      <c r="D21" s="753">
        <v>170</v>
      </c>
      <c r="E21" s="753">
        <v>20</v>
      </c>
      <c r="F21" s="753" t="s">
        <v>584</v>
      </c>
      <c r="G21" s="753">
        <v>100000733</v>
      </c>
      <c r="H21" s="753">
        <v>998736</v>
      </c>
      <c r="I21" s="561"/>
      <c r="J21" s="560">
        <v>18</v>
      </c>
      <c r="K21" s="559"/>
      <c r="L21" s="755" t="s">
        <v>512</v>
      </c>
      <c r="M21" s="753" t="s">
        <v>300</v>
      </c>
      <c r="N21" s="753">
        <v>1</v>
      </c>
      <c r="O21" s="547"/>
      <c r="P21" s="558" t="str">
        <f t="shared" si="2"/>
        <v>INCLUDED</v>
      </c>
      <c r="Q21" s="516">
        <f t="shared" si="3"/>
        <v>0</v>
      </c>
      <c r="R21" s="452">
        <f t="shared" si="4"/>
        <v>0</v>
      </c>
      <c r="S21" s="640">
        <f>Discount!$J$36</f>
        <v>0</v>
      </c>
      <c r="T21" s="452">
        <f t="shared" si="5"/>
        <v>0</v>
      </c>
      <c r="U21" s="453">
        <f t="shared" si="6"/>
        <v>0</v>
      </c>
      <c r="V21" s="750">
        <f t="shared" si="7"/>
        <v>0</v>
      </c>
      <c r="W21" s="264"/>
      <c r="X21" s="264"/>
      <c r="Y21" s="264"/>
      <c r="Z21" s="264"/>
      <c r="AA21" s="264"/>
    </row>
    <row r="22" spans="1:27" ht="31.5">
      <c r="A22" s="744">
        <v>6</v>
      </c>
      <c r="B22" s="753">
        <v>7000016714</v>
      </c>
      <c r="C22" s="753">
        <v>780</v>
      </c>
      <c r="D22" s="753">
        <v>180</v>
      </c>
      <c r="E22" s="753">
        <v>10</v>
      </c>
      <c r="F22" s="753" t="s">
        <v>585</v>
      </c>
      <c r="G22" s="753">
        <v>100019516</v>
      </c>
      <c r="H22" s="753">
        <v>998736</v>
      </c>
      <c r="I22" s="561"/>
      <c r="J22" s="560">
        <v>18</v>
      </c>
      <c r="K22" s="559"/>
      <c r="L22" s="755" t="s">
        <v>597</v>
      </c>
      <c r="M22" s="753" t="s">
        <v>299</v>
      </c>
      <c r="N22" s="753">
        <v>2</v>
      </c>
      <c r="O22" s="547"/>
      <c r="P22" s="558" t="str">
        <f t="shared" si="2"/>
        <v>INCLUDED</v>
      </c>
      <c r="Q22" s="516">
        <f t="shared" si="3"/>
        <v>0</v>
      </c>
      <c r="R22" s="452">
        <f t="shared" si="4"/>
        <v>0</v>
      </c>
      <c r="S22" s="640">
        <f>Discount!$J$36</f>
        <v>0</v>
      </c>
      <c r="T22" s="452">
        <f t="shared" si="5"/>
        <v>0</v>
      </c>
      <c r="U22" s="453">
        <f t="shared" si="6"/>
        <v>0</v>
      </c>
      <c r="V22" s="750">
        <f t="shared" si="7"/>
        <v>0</v>
      </c>
      <c r="W22" s="264"/>
      <c r="X22" s="264"/>
      <c r="Y22" s="264"/>
      <c r="Z22" s="264"/>
      <c r="AA22" s="264"/>
    </row>
    <row r="23" spans="1:27" ht="31.5">
      <c r="A23" s="744">
        <v>7</v>
      </c>
      <c r="B23" s="753">
        <v>7000016714</v>
      </c>
      <c r="C23" s="753">
        <v>790</v>
      </c>
      <c r="D23" s="753">
        <v>190</v>
      </c>
      <c r="E23" s="753">
        <v>10</v>
      </c>
      <c r="F23" s="753" t="s">
        <v>586</v>
      </c>
      <c r="G23" s="753">
        <v>100008263</v>
      </c>
      <c r="H23" s="753">
        <v>998731</v>
      </c>
      <c r="I23" s="561"/>
      <c r="J23" s="560">
        <v>18</v>
      </c>
      <c r="K23" s="559"/>
      <c r="L23" s="755" t="s">
        <v>598</v>
      </c>
      <c r="M23" s="753" t="s">
        <v>300</v>
      </c>
      <c r="N23" s="753">
        <v>2</v>
      </c>
      <c r="O23" s="547"/>
      <c r="P23" s="558" t="str">
        <f t="shared" si="2"/>
        <v>INCLUDED</v>
      </c>
      <c r="Q23" s="516">
        <f t="shared" si="3"/>
        <v>0</v>
      </c>
      <c r="R23" s="452">
        <f t="shared" si="4"/>
        <v>0</v>
      </c>
      <c r="S23" s="640">
        <f>Discount!$J$36</f>
        <v>0</v>
      </c>
      <c r="T23" s="452">
        <f t="shared" si="5"/>
        <v>0</v>
      </c>
      <c r="U23" s="453">
        <f t="shared" si="6"/>
        <v>0</v>
      </c>
      <c r="V23" s="750">
        <f t="shared" si="7"/>
        <v>0</v>
      </c>
      <c r="W23" s="264"/>
      <c r="X23" s="264"/>
      <c r="Y23" s="264"/>
      <c r="Z23" s="264"/>
      <c r="AA23" s="264"/>
    </row>
    <row r="24" spans="1:27" ht="31.5">
      <c r="A24" s="744">
        <v>8</v>
      </c>
      <c r="B24" s="753">
        <v>7000016714</v>
      </c>
      <c r="C24" s="753">
        <v>800</v>
      </c>
      <c r="D24" s="753">
        <v>200</v>
      </c>
      <c r="E24" s="753">
        <v>10</v>
      </c>
      <c r="F24" s="753" t="s">
        <v>587</v>
      </c>
      <c r="G24" s="753">
        <v>100000340</v>
      </c>
      <c r="H24" s="753">
        <v>998736</v>
      </c>
      <c r="I24" s="561"/>
      <c r="J24" s="560">
        <v>18</v>
      </c>
      <c r="K24" s="559"/>
      <c r="L24" s="755" t="s">
        <v>599</v>
      </c>
      <c r="M24" s="753" t="s">
        <v>299</v>
      </c>
      <c r="N24" s="753">
        <v>8</v>
      </c>
      <c r="O24" s="547"/>
      <c r="P24" s="558" t="str">
        <f t="shared" si="2"/>
        <v>INCLUDED</v>
      </c>
      <c r="Q24" s="516">
        <f t="shared" si="3"/>
        <v>0</v>
      </c>
      <c r="R24" s="452">
        <f t="shared" si="4"/>
        <v>0</v>
      </c>
      <c r="S24" s="640">
        <f>Discount!$J$36</f>
        <v>0</v>
      </c>
      <c r="T24" s="452">
        <f t="shared" si="5"/>
        <v>0</v>
      </c>
      <c r="U24" s="453">
        <f t="shared" si="6"/>
        <v>0</v>
      </c>
      <c r="V24" s="750">
        <f t="shared" si="7"/>
        <v>0</v>
      </c>
      <c r="W24" s="264"/>
      <c r="X24" s="264"/>
      <c r="Y24" s="264"/>
      <c r="Z24" s="264"/>
      <c r="AA24" s="264"/>
    </row>
    <row r="25" spans="1:27" ht="63">
      <c r="A25" s="744">
        <v>9</v>
      </c>
      <c r="B25" s="753">
        <v>7000016714</v>
      </c>
      <c r="C25" s="753">
        <v>820</v>
      </c>
      <c r="D25" s="753">
        <v>220</v>
      </c>
      <c r="E25" s="753">
        <v>10</v>
      </c>
      <c r="F25" s="753" t="s">
        <v>588</v>
      </c>
      <c r="G25" s="753">
        <v>100001217</v>
      </c>
      <c r="H25" s="753">
        <v>995455</v>
      </c>
      <c r="I25" s="561"/>
      <c r="J25" s="560">
        <v>18</v>
      </c>
      <c r="K25" s="559"/>
      <c r="L25" s="755" t="s">
        <v>600</v>
      </c>
      <c r="M25" s="753" t="s">
        <v>299</v>
      </c>
      <c r="N25" s="753">
        <v>8</v>
      </c>
      <c r="O25" s="547"/>
      <c r="P25" s="558" t="str">
        <f t="shared" si="2"/>
        <v>INCLUDED</v>
      </c>
      <c r="Q25" s="516">
        <f t="shared" si="3"/>
        <v>0</v>
      </c>
      <c r="R25" s="452">
        <f t="shared" si="4"/>
        <v>0</v>
      </c>
      <c r="S25" s="640">
        <f>Discount!$J$36</f>
        <v>0</v>
      </c>
      <c r="T25" s="452">
        <f t="shared" si="5"/>
        <v>0</v>
      </c>
      <c r="U25" s="453">
        <f t="shared" si="6"/>
        <v>0</v>
      </c>
      <c r="V25" s="750">
        <f t="shared" si="7"/>
        <v>0</v>
      </c>
      <c r="W25" s="264"/>
      <c r="X25" s="264"/>
      <c r="Y25" s="264"/>
      <c r="Z25" s="264"/>
      <c r="AA25" s="264"/>
    </row>
    <row r="26" spans="1:27" ht="31.5">
      <c r="A26" s="744">
        <v>10</v>
      </c>
      <c r="B26" s="753">
        <v>7000016714</v>
      </c>
      <c r="C26" s="753">
        <v>830</v>
      </c>
      <c r="D26" s="753">
        <v>230</v>
      </c>
      <c r="E26" s="753">
        <v>50</v>
      </c>
      <c r="F26" s="753" t="s">
        <v>589</v>
      </c>
      <c r="G26" s="753">
        <v>100002182</v>
      </c>
      <c r="H26" s="753">
        <v>998736</v>
      </c>
      <c r="I26" s="561"/>
      <c r="J26" s="560">
        <v>18</v>
      </c>
      <c r="K26" s="559"/>
      <c r="L26" s="755" t="s">
        <v>601</v>
      </c>
      <c r="M26" s="753" t="s">
        <v>475</v>
      </c>
      <c r="N26" s="753">
        <v>1</v>
      </c>
      <c r="O26" s="547"/>
      <c r="P26" s="558" t="str">
        <f t="shared" si="2"/>
        <v>INCLUDED</v>
      </c>
      <c r="Q26" s="516">
        <f t="shared" si="3"/>
        <v>0</v>
      </c>
      <c r="R26" s="452">
        <f t="shared" si="4"/>
        <v>0</v>
      </c>
      <c r="S26" s="640">
        <f>Discount!$J$36</f>
        <v>0</v>
      </c>
      <c r="T26" s="452">
        <f t="shared" si="5"/>
        <v>0</v>
      </c>
      <c r="U26" s="453">
        <f t="shared" si="6"/>
        <v>0</v>
      </c>
      <c r="V26" s="750">
        <f t="shared" si="7"/>
        <v>0</v>
      </c>
      <c r="W26" s="264"/>
      <c r="X26" s="264"/>
      <c r="Y26" s="264"/>
      <c r="Z26" s="264"/>
      <c r="AA26" s="264"/>
    </row>
    <row r="27" spans="1:27" ht="31.5">
      <c r="A27" s="744">
        <v>11</v>
      </c>
      <c r="B27" s="753">
        <v>7000016714</v>
      </c>
      <c r="C27" s="753">
        <v>840</v>
      </c>
      <c r="D27" s="753">
        <v>240</v>
      </c>
      <c r="E27" s="753">
        <v>60</v>
      </c>
      <c r="F27" s="753" t="s">
        <v>590</v>
      </c>
      <c r="G27" s="753">
        <v>100002181</v>
      </c>
      <c r="H27" s="753">
        <v>998736</v>
      </c>
      <c r="I27" s="561"/>
      <c r="J27" s="560">
        <v>18</v>
      </c>
      <c r="K27" s="559"/>
      <c r="L27" s="755" t="s">
        <v>602</v>
      </c>
      <c r="M27" s="753" t="s">
        <v>475</v>
      </c>
      <c r="N27" s="753">
        <v>1</v>
      </c>
      <c r="O27" s="547"/>
      <c r="P27" s="558" t="str">
        <f t="shared" si="2"/>
        <v>INCLUDED</v>
      </c>
      <c r="Q27" s="516">
        <f t="shared" si="3"/>
        <v>0</v>
      </c>
      <c r="R27" s="452">
        <f t="shared" si="4"/>
        <v>0</v>
      </c>
      <c r="S27" s="640">
        <f>Discount!$J$36</f>
        <v>0</v>
      </c>
      <c r="T27" s="452">
        <f t="shared" si="5"/>
        <v>0</v>
      </c>
      <c r="U27" s="453">
        <f t="shared" si="6"/>
        <v>0</v>
      </c>
      <c r="V27" s="750">
        <f t="shared" si="7"/>
        <v>0</v>
      </c>
      <c r="W27" s="264"/>
      <c r="X27" s="264"/>
      <c r="Y27" s="264"/>
      <c r="Z27" s="264"/>
      <c r="AA27" s="264"/>
    </row>
    <row r="28" spans="1:27">
      <c r="A28" s="744">
        <v>12</v>
      </c>
      <c r="B28" s="753">
        <v>7000016714</v>
      </c>
      <c r="C28" s="753">
        <v>850</v>
      </c>
      <c r="D28" s="753">
        <v>250</v>
      </c>
      <c r="E28" s="753">
        <v>10</v>
      </c>
      <c r="F28" s="753" t="s">
        <v>591</v>
      </c>
      <c r="G28" s="753">
        <v>100001021</v>
      </c>
      <c r="H28" s="753">
        <v>995461</v>
      </c>
      <c r="I28" s="561"/>
      <c r="J28" s="560">
        <v>18</v>
      </c>
      <c r="K28" s="559"/>
      <c r="L28" s="755" t="s">
        <v>527</v>
      </c>
      <c r="M28" s="753" t="s">
        <v>299</v>
      </c>
      <c r="N28" s="753">
        <v>1</v>
      </c>
      <c r="O28" s="547"/>
      <c r="P28" s="558" t="str">
        <f t="shared" si="2"/>
        <v>INCLUDED</v>
      </c>
      <c r="Q28" s="516">
        <f t="shared" si="3"/>
        <v>0</v>
      </c>
      <c r="R28" s="452">
        <f t="shared" si="4"/>
        <v>0</v>
      </c>
      <c r="S28" s="640">
        <f>Discount!$J$36</f>
        <v>0</v>
      </c>
      <c r="T28" s="452">
        <f t="shared" si="5"/>
        <v>0</v>
      </c>
      <c r="U28" s="453">
        <f t="shared" si="6"/>
        <v>0</v>
      </c>
      <c r="V28" s="750">
        <f t="shared" si="7"/>
        <v>0</v>
      </c>
      <c r="W28" s="264"/>
      <c r="X28" s="264"/>
      <c r="Y28" s="264"/>
      <c r="Z28" s="264"/>
      <c r="AA28" s="264"/>
    </row>
    <row r="29" spans="1:27" ht="31.5">
      <c r="A29" s="744">
        <v>13</v>
      </c>
      <c r="B29" s="753">
        <v>7000016714</v>
      </c>
      <c r="C29" s="753">
        <v>850</v>
      </c>
      <c r="D29" s="753">
        <v>250</v>
      </c>
      <c r="E29" s="753">
        <v>20</v>
      </c>
      <c r="F29" s="753" t="s">
        <v>591</v>
      </c>
      <c r="G29" s="753">
        <v>100001024</v>
      </c>
      <c r="H29" s="753">
        <v>998731</v>
      </c>
      <c r="I29" s="561"/>
      <c r="J29" s="560">
        <v>18</v>
      </c>
      <c r="K29" s="559"/>
      <c r="L29" s="755" t="s">
        <v>528</v>
      </c>
      <c r="M29" s="753" t="s">
        <v>299</v>
      </c>
      <c r="N29" s="753">
        <v>2</v>
      </c>
      <c r="O29" s="547"/>
      <c r="P29" s="558" t="str">
        <f t="shared" si="2"/>
        <v>INCLUDED</v>
      </c>
      <c r="Q29" s="516">
        <f t="shared" si="3"/>
        <v>0</v>
      </c>
      <c r="R29" s="452">
        <f t="shared" si="4"/>
        <v>0</v>
      </c>
      <c r="S29" s="640">
        <f>Discount!$J$36</f>
        <v>0</v>
      </c>
      <c r="T29" s="452">
        <f t="shared" si="5"/>
        <v>0</v>
      </c>
      <c r="U29" s="453">
        <f t="shared" si="6"/>
        <v>0</v>
      </c>
      <c r="V29" s="750">
        <f t="shared" si="7"/>
        <v>0</v>
      </c>
      <c r="W29" s="264"/>
      <c r="X29" s="264"/>
      <c r="Y29" s="264"/>
      <c r="Z29" s="264"/>
      <c r="AA29" s="264"/>
    </row>
    <row r="30" spans="1:27" ht="31.5">
      <c r="A30" s="744">
        <v>14</v>
      </c>
      <c r="B30" s="753">
        <v>7000016714</v>
      </c>
      <c r="C30" s="753">
        <v>850</v>
      </c>
      <c r="D30" s="753">
        <v>250</v>
      </c>
      <c r="E30" s="753">
        <v>30</v>
      </c>
      <c r="F30" s="753" t="s">
        <v>591</v>
      </c>
      <c r="G30" s="753">
        <v>100004931</v>
      </c>
      <c r="H30" s="753">
        <v>998731</v>
      </c>
      <c r="I30" s="561"/>
      <c r="J30" s="560">
        <v>18</v>
      </c>
      <c r="K30" s="559"/>
      <c r="L30" s="755" t="s">
        <v>603</v>
      </c>
      <c r="M30" s="753" t="s">
        <v>299</v>
      </c>
      <c r="N30" s="753">
        <v>4</v>
      </c>
      <c r="O30" s="547"/>
      <c r="P30" s="558" t="str">
        <f t="shared" ref="P30:P43" si="8">IF(O30=0, "INCLUDED", IF(ISERROR(N30*O30), O30, N30*O30))</f>
        <v>INCLUDED</v>
      </c>
      <c r="Q30" s="516">
        <f t="shared" ref="Q30:Q43" si="9">IF(P30="Included",0,P30)</f>
        <v>0</v>
      </c>
      <c r="R30" s="452">
        <f t="shared" ref="R30:R43" si="10">IF( K30="",J30*(IF(P30="Included",0,P30))/100,K30*(IF(P30="Included",0,P30)))</f>
        <v>0</v>
      </c>
      <c r="S30" s="640">
        <f>Discount!$J$36</f>
        <v>0</v>
      </c>
      <c r="T30" s="452">
        <f t="shared" ref="T30:T43" si="11">S30*Q30</f>
        <v>0</v>
      </c>
      <c r="U30" s="453">
        <f t="shared" ref="U30:U43" si="12">IF(K30="",J30*T30/100,K30*T30)</f>
        <v>0</v>
      </c>
      <c r="V30" s="750">
        <f t="shared" ref="V30:V43" si="13">O30*N30</f>
        <v>0</v>
      </c>
      <c r="W30" s="264"/>
      <c r="X30" s="264"/>
      <c r="Y30" s="264"/>
      <c r="Z30" s="264"/>
      <c r="AA30" s="264"/>
    </row>
    <row r="31" spans="1:27" ht="31.5">
      <c r="A31" s="744">
        <v>15</v>
      </c>
      <c r="B31" s="753">
        <v>7000016714</v>
      </c>
      <c r="C31" s="753">
        <v>850</v>
      </c>
      <c r="D31" s="753">
        <v>250</v>
      </c>
      <c r="E31" s="753">
        <v>40</v>
      </c>
      <c r="F31" s="753" t="s">
        <v>591</v>
      </c>
      <c r="G31" s="753">
        <v>100004930</v>
      </c>
      <c r="H31" s="753">
        <v>998731</v>
      </c>
      <c r="I31" s="561"/>
      <c r="J31" s="560">
        <v>18</v>
      </c>
      <c r="K31" s="559"/>
      <c r="L31" s="755" t="s">
        <v>604</v>
      </c>
      <c r="M31" s="753" t="s">
        <v>299</v>
      </c>
      <c r="N31" s="753">
        <v>4</v>
      </c>
      <c r="O31" s="547"/>
      <c r="P31" s="558" t="str">
        <f t="shared" si="8"/>
        <v>INCLUDED</v>
      </c>
      <c r="Q31" s="516">
        <f t="shared" si="9"/>
        <v>0</v>
      </c>
      <c r="R31" s="452">
        <f t="shared" si="10"/>
        <v>0</v>
      </c>
      <c r="S31" s="640">
        <f>Discount!$J$36</f>
        <v>0</v>
      </c>
      <c r="T31" s="452">
        <f t="shared" si="11"/>
        <v>0</v>
      </c>
      <c r="U31" s="453">
        <f t="shared" si="12"/>
        <v>0</v>
      </c>
      <c r="V31" s="750">
        <f t="shared" si="13"/>
        <v>0</v>
      </c>
      <c r="W31" s="264"/>
      <c r="X31" s="264"/>
      <c r="Y31" s="264"/>
      <c r="Z31" s="264"/>
      <c r="AA31" s="264"/>
    </row>
    <row r="32" spans="1:27" ht="63">
      <c r="A32" s="744">
        <v>16</v>
      </c>
      <c r="B32" s="753">
        <v>7000016714</v>
      </c>
      <c r="C32" s="753">
        <v>860</v>
      </c>
      <c r="D32" s="753">
        <v>260</v>
      </c>
      <c r="E32" s="753">
        <v>10</v>
      </c>
      <c r="F32" s="753" t="s">
        <v>592</v>
      </c>
      <c r="G32" s="753">
        <v>100004518</v>
      </c>
      <c r="H32" s="753">
        <v>995433</v>
      </c>
      <c r="I32" s="561"/>
      <c r="J32" s="560">
        <v>18</v>
      </c>
      <c r="K32" s="559"/>
      <c r="L32" s="755" t="s">
        <v>605</v>
      </c>
      <c r="M32" s="753" t="s">
        <v>606</v>
      </c>
      <c r="N32" s="753">
        <v>450</v>
      </c>
      <c r="O32" s="547"/>
      <c r="P32" s="558" t="str">
        <f t="shared" si="8"/>
        <v>INCLUDED</v>
      </c>
      <c r="Q32" s="516">
        <f t="shared" si="9"/>
        <v>0</v>
      </c>
      <c r="R32" s="452">
        <f t="shared" si="10"/>
        <v>0</v>
      </c>
      <c r="S32" s="640">
        <f>Discount!$J$36</f>
        <v>0</v>
      </c>
      <c r="T32" s="452">
        <f t="shared" si="11"/>
        <v>0</v>
      </c>
      <c r="U32" s="453">
        <f t="shared" si="12"/>
        <v>0</v>
      </c>
      <c r="V32" s="750">
        <f t="shared" si="13"/>
        <v>0</v>
      </c>
      <c r="W32" s="264"/>
      <c r="X32" s="264"/>
      <c r="Y32" s="264"/>
      <c r="Z32" s="264"/>
      <c r="AA32" s="264"/>
    </row>
    <row r="33" spans="1:27">
      <c r="A33" s="744">
        <v>17</v>
      </c>
      <c r="B33" s="753">
        <v>7000016714</v>
      </c>
      <c r="C33" s="753">
        <v>860</v>
      </c>
      <c r="D33" s="753">
        <v>260</v>
      </c>
      <c r="E33" s="753">
        <v>20</v>
      </c>
      <c r="F33" s="753" t="s">
        <v>592</v>
      </c>
      <c r="G33" s="753">
        <v>100001325</v>
      </c>
      <c r="H33" s="753">
        <v>995454</v>
      </c>
      <c r="I33" s="561"/>
      <c r="J33" s="560">
        <v>18</v>
      </c>
      <c r="K33" s="559"/>
      <c r="L33" s="755" t="s">
        <v>607</v>
      </c>
      <c r="M33" s="753" t="s">
        <v>606</v>
      </c>
      <c r="N33" s="753">
        <v>18</v>
      </c>
      <c r="O33" s="547"/>
      <c r="P33" s="558" t="str">
        <f t="shared" si="8"/>
        <v>INCLUDED</v>
      </c>
      <c r="Q33" s="516">
        <f t="shared" si="9"/>
        <v>0</v>
      </c>
      <c r="R33" s="452">
        <f t="shared" si="10"/>
        <v>0</v>
      </c>
      <c r="S33" s="640">
        <f>Discount!$J$36</f>
        <v>0</v>
      </c>
      <c r="T33" s="452">
        <f t="shared" si="11"/>
        <v>0</v>
      </c>
      <c r="U33" s="453">
        <f t="shared" si="12"/>
        <v>0</v>
      </c>
      <c r="V33" s="750">
        <f t="shared" si="13"/>
        <v>0</v>
      </c>
      <c r="W33" s="264"/>
      <c r="X33" s="264"/>
      <c r="Y33" s="264"/>
      <c r="Z33" s="264"/>
      <c r="AA33" s="264"/>
    </row>
    <row r="34" spans="1:27">
      <c r="A34" s="744">
        <v>18</v>
      </c>
      <c r="B34" s="753">
        <v>7000016714</v>
      </c>
      <c r="C34" s="753">
        <v>860</v>
      </c>
      <c r="D34" s="753">
        <v>260</v>
      </c>
      <c r="E34" s="753">
        <v>30</v>
      </c>
      <c r="F34" s="753" t="s">
        <v>592</v>
      </c>
      <c r="G34" s="753">
        <v>100001326</v>
      </c>
      <c r="H34" s="753">
        <v>995454</v>
      </c>
      <c r="I34" s="561"/>
      <c r="J34" s="560">
        <v>18</v>
      </c>
      <c r="K34" s="559"/>
      <c r="L34" s="755" t="s">
        <v>608</v>
      </c>
      <c r="M34" s="753" t="s">
        <v>606</v>
      </c>
      <c r="N34" s="753">
        <v>4</v>
      </c>
      <c r="O34" s="547"/>
      <c r="P34" s="558" t="str">
        <f t="shared" si="8"/>
        <v>INCLUDED</v>
      </c>
      <c r="Q34" s="516">
        <f t="shared" si="9"/>
        <v>0</v>
      </c>
      <c r="R34" s="452">
        <f t="shared" si="10"/>
        <v>0</v>
      </c>
      <c r="S34" s="640">
        <f>Discount!$J$36</f>
        <v>0</v>
      </c>
      <c r="T34" s="452">
        <f t="shared" si="11"/>
        <v>0</v>
      </c>
      <c r="U34" s="453">
        <f t="shared" si="12"/>
        <v>0</v>
      </c>
      <c r="V34" s="750">
        <f t="shared" si="13"/>
        <v>0</v>
      </c>
      <c r="W34" s="264"/>
      <c r="X34" s="264"/>
      <c r="Y34" s="264"/>
      <c r="Z34" s="264"/>
      <c r="AA34" s="264"/>
    </row>
    <row r="35" spans="1:27" ht="31.5">
      <c r="A35" s="744">
        <v>19</v>
      </c>
      <c r="B35" s="753">
        <v>7000016714</v>
      </c>
      <c r="C35" s="753">
        <v>860</v>
      </c>
      <c r="D35" s="753">
        <v>260</v>
      </c>
      <c r="E35" s="753">
        <v>40</v>
      </c>
      <c r="F35" s="753" t="s">
        <v>592</v>
      </c>
      <c r="G35" s="753">
        <v>100001328</v>
      </c>
      <c r="H35" s="753">
        <v>995454</v>
      </c>
      <c r="I35" s="561"/>
      <c r="J35" s="560">
        <v>18</v>
      </c>
      <c r="K35" s="559"/>
      <c r="L35" s="755" t="s">
        <v>609</v>
      </c>
      <c r="M35" s="753" t="s">
        <v>606</v>
      </c>
      <c r="N35" s="753">
        <v>56</v>
      </c>
      <c r="O35" s="547"/>
      <c r="P35" s="558" t="str">
        <f t="shared" si="8"/>
        <v>INCLUDED</v>
      </c>
      <c r="Q35" s="516">
        <f t="shared" si="9"/>
        <v>0</v>
      </c>
      <c r="R35" s="452">
        <f t="shared" si="10"/>
        <v>0</v>
      </c>
      <c r="S35" s="640">
        <f>Discount!$J$36</f>
        <v>0</v>
      </c>
      <c r="T35" s="452">
        <f t="shared" si="11"/>
        <v>0</v>
      </c>
      <c r="U35" s="453">
        <f t="shared" si="12"/>
        <v>0</v>
      </c>
      <c r="V35" s="750">
        <f t="shared" si="13"/>
        <v>0</v>
      </c>
      <c r="W35" s="264"/>
      <c r="X35" s="264"/>
      <c r="Y35" s="264"/>
      <c r="Z35" s="264"/>
      <c r="AA35" s="264"/>
    </row>
    <row r="36" spans="1:27" ht="47.25">
      <c r="A36" s="744">
        <v>20</v>
      </c>
      <c r="B36" s="753">
        <v>7000016714</v>
      </c>
      <c r="C36" s="753">
        <v>860</v>
      </c>
      <c r="D36" s="753">
        <v>260</v>
      </c>
      <c r="E36" s="753">
        <v>50</v>
      </c>
      <c r="F36" s="753" t="s">
        <v>592</v>
      </c>
      <c r="G36" s="753">
        <v>100001327</v>
      </c>
      <c r="H36" s="753">
        <v>995454</v>
      </c>
      <c r="I36" s="561"/>
      <c r="J36" s="560">
        <v>18</v>
      </c>
      <c r="K36" s="559"/>
      <c r="L36" s="755" t="s">
        <v>610</v>
      </c>
      <c r="M36" s="753" t="s">
        <v>606</v>
      </c>
      <c r="N36" s="753">
        <v>131</v>
      </c>
      <c r="O36" s="547"/>
      <c r="P36" s="558" t="str">
        <f t="shared" si="8"/>
        <v>INCLUDED</v>
      </c>
      <c r="Q36" s="516">
        <f t="shared" si="9"/>
        <v>0</v>
      </c>
      <c r="R36" s="452">
        <f t="shared" si="10"/>
        <v>0</v>
      </c>
      <c r="S36" s="640">
        <f>Discount!$J$36</f>
        <v>0</v>
      </c>
      <c r="T36" s="452">
        <f t="shared" si="11"/>
        <v>0</v>
      </c>
      <c r="U36" s="453">
        <f t="shared" si="12"/>
        <v>0</v>
      </c>
      <c r="V36" s="750">
        <f t="shared" si="13"/>
        <v>0</v>
      </c>
      <c r="W36" s="264"/>
      <c r="X36" s="264"/>
      <c r="Y36" s="264"/>
      <c r="Z36" s="264"/>
      <c r="AA36" s="264"/>
    </row>
    <row r="37" spans="1:27">
      <c r="A37" s="744">
        <v>21</v>
      </c>
      <c r="B37" s="753">
        <v>7000016714</v>
      </c>
      <c r="C37" s="753">
        <v>860</v>
      </c>
      <c r="D37" s="753">
        <v>260</v>
      </c>
      <c r="E37" s="753">
        <v>60</v>
      </c>
      <c r="F37" s="753" t="s">
        <v>592</v>
      </c>
      <c r="G37" s="753">
        <v>100001329</v>
      </c>
      <c r="H37" s="753">
        <v>995454</v>
      </c>
      <c r="I37" s="561"/>
      <c r="J37" s="560">
        <v>18</v>
      </c>
      <c r="K37" s="559"/>
      <c r="L37" s="755" t="s">
        <v>611</v>
      </c>
      <c r="M37" s="753" t="s">
        <v>612</v>
      </c>
      <c r="N37" s="753">
        <v>9</v>
      </c>
      <c r="O37" s="547"/>
      <c r="P37" s="558" t="str">
        <f t="shared" si="8"/>
        <v>INCLUDED</v>
      </c>
      <c r="Q37" s="516">
        <f t="shared" si="9"/>
        <v>0</v>
      </c>
      <c r="R37" s="452">
        <f t="shared" si="10"/>
        <v>0</v>
      </c>
      <c r="S37" s="640">
        <f>Discount!$J$36</f>
        <v>0</v>
      </c>
      <c r="T37" s="452">
        <f t="shared" si="11"/>
        <v>0</v>
      </c>
      <c r="U37" s="453">
        <f t="shared" si="12"/>
        <v>0</v>
      </c>
      <c r="V37" s="750">
        <f t="shared" si="13"/>
        <v>0</v>
      </c>
      <c r="W37" s="264"/>
      <c r="X37" s="264"/>
      <c r="Y37" s="264"/>
      <c r="Z37" s="264"/>
      <c r="AA37" s="264"/>
    </row>
    <row r="38" spans="1:27" ht="47.25">
      <c r="A38" s="744">
        <v>22</v>
      </c>
      <c r="B38" s="753">
        <v>7000016714</v>
      </c>
      <c r="C38" s="753">
        <v>860</v>
      </c>
      <c r="D38" s="753">
        <v>260</v>
      </c>
      <c r="E38" s="753">
        <v>70</v>
      </c>
      <c r="F38" s="753" t="s">
        <v>592</v>
      </c>
      <c r="G38" s="753">
        <v>100001331</v>
      </c>
      <c r="H38" s="753">
        <v>995455</v>
      </c>
      <c r="I38" s="561"/>
      <c r="J38" s="560">
        <v>18</v>
      </c>
      <c r="K38" s="559"/>
      <c r="L38" s="755" t="s">
        <v>613</v>
      </c>
      <c r="M38" s="753" t="s">
        <v>612</v>
      </c>
      <c r="N38" s="753">
        <v>1</v>
      </c>
      <c r="O38" s="547"/>
      <c r="P38" s="558" t="str">
        <f t="shared" si="8"/>
        <v>INCLUDED</v>
      </c>
      <c r="Q38" s="516">
        <f t="shared" si="9"/>
        <v>0</v>
      </c>
      <c r="R38" s="452">
        <f t="shared" si="10"/>
        <v>0</v>
      </c>
      <c r="S38" s="640">
        <f>Discount!$J$36</f>
        <v>0</v>
      </c>
      <c r="T38" s="452">
        <f t="shared" si="11"/>
        <v>0</v>
      </c>
      <c r="U38" s="453">
        <f t="shared" si="12"/>
        <v>0</v>
      </c>
      <c r="V38" s="750">
        <f t="shared" si="13"/>
        <v>0</v>
      </c>
      <c r="W38" s="264"/>
      <c r="X38" s="264"/>
      <c r="Y38" s="264"/>
      <c r="Z38" s="264"/>
      <c r="AA38" s="264"/>
    </row>
    <row r="39" spans="1:27">
      <c r="A39" s="744">
        <v>23</v>
      </c>
      <c r="B39" s="753">
        <v>7000016714</v>
      </c>
      <c r="C39" s="753">
        <v>860</v>
      </c>
      <c r="D39" s="753">
        <v>260</v>
      </c>
      <c r="E39" s="753">
        <v>80</v>
      </c>
      <c r="F39" s="753" t="s">
        <v>592</v>
      </c>
      <c r="G39" s="753">
        <v>100001714</v>
      </c>
      <c r="H39" s="753">
        <v>995428</v>
      </c>
      <c r="I39" s="561"/>
      <c r="J39" s="560">
        <v>18</v>
      </c>
      <c r="K39" s="559"/>
      <c r="L39" s="755" t="s">
        <v>614</v>
      </c>
      <c r="M39" s="753" t="s">
        <v>615</v>
      </c>
      <c r="N39" s="753">
        <v>750</v>
      </c>
      <c r="O39" s="547"/>
      <c r="P39" s="558" t="str">
        <f t="shared" si="8"/>
        <v>INCLUDED</v>
      </c>
      <c r="Q39" s="516">
        <f t="shared" si="9"/>
        <v>0</v>
      </c>
      <c r="R39" s="452">
        <f t="shared" si="10"/>
        <v>0</v>
      </c>
      <c r="S39" s="640">
        <f>Discount!$J$36</f>
        <v>0</v>
      </c>
      <c r="T39" s="452">
        <f t="shared" si="11"/>
        <v>0</v>
      </c>
      <c r="U39" s="453">
        <f t="shared" si="12"/>
        <v>0</v>
      </c>
      <c r="V39" s="750">
        <f t="shared" si="13"/>
        <v>0</v>
      </c>
      <c r="W39" s="264"/>
      <c r="X39" s="264"/>
      <c r="Y39" s="264"/>
      <c r="Z39" s="264"/>
      <c r="AA39" s="264"/>
    </row>
    <row r="40" spans="1:27">
      <c r="A40" s="744">
        <v>24</v>
      </c>
      <c r="B40" s="753">
        <v>7000016714</v>
      </c>
      <c r="C40" s="753">
        <v>860</v>
      </c>
      <c r="D40" s="753">
        <v>260</v>
      </c>
      <c r="E40" s="753">
        <v>90</v>
      </c>
      <c r="F40" s="753" t="s">
        <v>592</v>
      </c>
      <c r="G40" s="753">
        <v>100001713</v>
      </c>
      <c r="H40" s="753">
        <v>995424</v>
      </c>
      <c r="I40" s="561"/>
      <c r="J40" s="560">
        <v>18</v>
      </c>
      <c r="K40" s="559"/>
      <c r="L40" s="755" t="s">
        <v>616</v>
      </c>
      <c r="M40" s="753" t="s">
        <v>615</v>
      </c>
      <c r="N40" s="753">
        <v>750</v>
      </c>
      <c r="O40" s="547"/>
      <c r="P40" s="558" t="str">
        <f t="shared" si="8"/>
        <v>INCLUDED</v>
      </c>
      <c r="Q40" s="516">
        <f t="shared" si="9"/>
        <v>0</v>
      </c>
      <c r="R40" s="452">
        <f t="shared" si="10"/>
        <v>0</v>
      </c>
      <c r="S40" s="640">
        <f>Discount!$J$36</f>
        <v>0</v>
      </c>
      <c r="T40" s="452">
        <f t="shared" si="11"/>
        <v>0</v>
      </c>
      <c r="U40" s="453">
        <f t="shared" si="12"/>
        <v>0</v>
      </c>
      <c r="V40" s="750">
        <f t="shared" si="13"/>
        <v>0</v>
      </c>
      <c r="W40" s="264"/>
      <c r="X40" s="264"/>
      <c r="Y40" s="264"/>
      <c r="Z40" s="264"/>
      <c r="AA40" s="264"/>
    </row>
    <row r="41" spans="1:27" ht="47.25">
      <c r="A41" s="744">
        <v>25</v>
      </c>
      <c r="B41" s="753">
        <v>7000016714</v>
      </c>
      <c r="C41" s="753">
        <v>860</v>
      </c>
      <c r="D41" s="753">
        <v>260</v>
      </c>
      <c r="E41" s="753">
        <v>100</v>
      </c>
      <c r="F41" s="753" t="s">
        <v>592</v>
      </c>
      <c r="G41" s="753">
        <v>100001720</v>
      </c>
      <c r="H41" s="753">
        <v>995428</v>
      </c>
      <c r="I41" s="561"/>
      <c r="J41" s="560">
        <v>18</v>
      </c>
      <c r="K41" s="559"/>
      <c r="L41" s="755" t="s">
        <v>617</v>
      </c>
      <c r="M41" s="753" t="s">
        <v>606</v>
      </c>
      <c r="N41" s="753">
        <v>72</v>
      </c>
      <c r="O41" s="547"/>
      <c r="P41" s="558" t="str">
        <f t="shared" si="8"/>
        <v>INCLUDED</v>
      </c>
      <c r="Q41" s="516">
        <f t="shared" si="9"/>
        <v>0</v>
      </c>
      <c r="R41" s="452">
        <f t="shared" si="10"/>
        <v>0</v>
      </c>
      <c r="S41" s="640">
        <f>Discount!$J$36</f>
        <v>0</v>
      </c>
      <c r="T41" s="452">
        <f t="shared" si="11"/>
        <v>0</v>
      </c>
      <c r="U41" s="453">
        <f t="shared" si="12"/>
        <v>0</v>
      </c>
      <c r="V41" s="750">
        <f t="shared" si="13"/>
        <v>0</v>
      </c>
      <c r="W41" s="264"/>
      <c r="X41" s="264"/>
      <c r="Y41" s="264"/>
      <c r="Z41" s="264"/>
      <c r="AA41" s="264"/>
    </row>
    <row r="42" spans="1:27" ht="63">
      <c r="A42" s="744">
        <v>26</v>
      </c>
      <c r="B42" s="753">
        <v>7000016714</v>
      </c>
      <c r="C42" s="753">
        <v>860</v>
      </c>
      <c r="D42" s="753">
        <v>260</v>
      </c>
      <c r="E42" s="753">
        <v>110</v>
      </c>
      <c r="F42" s="753" t="s">
        <v>592</v>
      </c>
      <c r="G42" s="753">
        <v>100001721</v>
      </c>
      <c r="H42" s="753">
        <v>995428</v>
      </c>
      <c r="I42" s="561"/>
      <c r="J42" s="560">
        <v>18</v>
      </c>
      <c r="K42" s="559"/>
      <c r="L42" s="755" t="s">
        <v>618</v>
      </c>
      <c r="M42" s="753" t="s">
        <v>606</v>
      </c>
      <c r="N42" s="753">
        <v>30</v>
      </c>
      <c r="O42" s="547"/>
      <c r="P42" s="558" t="str">
        <f t="shared" si="8"/>
        <v>INCLUDED</v>
      </c>
      <c r="Q42" s="516">
        <f t="shared" si="9"/>
        <v>0</v>
      </c>
      <c r="R42" s="452">
        <f t="shared" si="10"/>
        <v>0</v>
      </c>
      <c r="S42" s="640">
        <f>Discount!$J$36</f>
        <v>0</v>
      </c>
      <c r="T42" s="452">
        <f t="shared" si="11"/>
        <v>0</v>
      </c>
      <c r="U42" s="453">
        <f t="shared" si="12"/>
        <v>0</v>
      </c>
      <c r="V42" s="750">
        <f t="shared" si="13"/>
        <v>0</v>
      </c>
      <c r="W42" s="264"/>
      <c r="X42" s="264"/>
      <c r="Y42" s="264"/>
      <c r="Z42" s="264"/>
      <c r="AA42" s="264"/>
    </row>
    <row r="43" spans="1:27" ht="31.5">
      <c r="A43" s="744">
        <v>27</v>
      </c>
      <c r="B43" s="753">
        <v>7000016714</v>
      </c>
      <c r="C43" s="753">
        <v>870</v>
      </c>
      <c r="D43" s="753">
        <v>270</v>
      </c>
      <c r="E43" s="753">
        <v>10</v>
      </c>
      <c r="F43" s="753" t="s">
        <v>593</v>
      </c>
      <c r="G43" s="753">
        <v>100001674</v>
      </c>
      <c r="H43" s="753">
        <v>995455</v>
      </c>
      <c r="I43" s="561"/>
      <c r="J43" s="560">
        <v>18</v>
      </c>
      <c r="K43" s="559"/>
      <c r="L43" s="755" t="s">
        <v>619</v>
      </c>
      <c r="M43" s="753" t="s">
        <v>299</v>
      </c>
      <c r="N43" s="753">
        <v>32</v>
      </c>
      <c r="O43" s="547"/>
      <c r="P43" s="558" t="str">
        <f t="shared" si="8"/>
        <v>INCLUDED</v>
      </c>
      <c r="Q43" s="516">
        <f t="shared" si="9"/>
        <v>0</v>
      </c>
      <c r="R43" s="452">
        <f t="shared" si="10"/>
        <v>0</v>
      </c>
      <c r="S43" s="640">
        <f>Discount!$J$36</f>
        <v>0</v>
      </c>
      <c r="T43" s="452">
        <f t="shared" si="11"/>
        <v>0</v>
      </c>
      <c r="U43" s="453">
        <f t="shared" si="12"/>
        <v>0</v>
      </c>
      <c r="V43" s="750">
        <f t="shared" si="13"/>
        <v>0</v>
      </c>
      <c r="W43" s="264"/>
      <c r="X43" s="264"/>
      <c r="Y43" s="264"/>
      <c r="Z43" s="264"/>
      <c r="AA43" s="264"/>
    </row>
    <row r="44" spans="1:27" ht="28.5" customHeight="1">
      <c r="A44" s="618"/>
      <c r="B44" s="622" t="s">
        <v>196</v>
      </c>
      <c r="C44" s="620"/>
      <c r="D44" s="620"/>
      <c r="E44" s="620"/>
      <c r="F44" s="619"/>
      <c r="G44" s="619"/>
      <c r="H44" s="619"/>
      <c r="I44" s="619"/>
      <c r="J44" s="619"/>
      <c r="K44" s="619"/>
      <c r="L44" s="619"/>
      <c r="M44" s="619"/>
      <c r="N44" s="621"/>
      <c r="O44" s="619"/>
      <c r="P44" s="736">
        <f>SUM(P17:P43)</f>
        <v>0</v>
      </c>
      <c r="Q44" s="643"/>
      <c r="R44" s="642">
        <f>SUM(R17:R43)</f>
        <v>0</v>
      </c>
      <c r="S44" s="263"/>
      <c r="T44" s="454"/>
      <c r="U44" s="642">
        <f>SUM(U17:U43)</f>
        <v>0</v>
      </c>
      <c r="V44" s="750">
        <f>SUM(V17:V43)</f>
        <v>0</v>
      </c>
      <c r="W44" s="264"/>
      <c r="X44" s="264"/>
      <c r="Y44" s="264"/>
      <c r="Z44" s="264"/>
      <c r="AA44" s="264"/>
    </row>
    <row r="45" spans="1:27" ht="21.75" customHeight="1">
      <c r="B45" s="745"/>
      <c r="C45" s="746"/>
      <c r="D45" s="746"/>
      <c r="E45" s="746"/>
      <c r="F45" s="746"/>
      <c r="G45" s="746"/>
      <c r="H45" s="746"/>
      <c r="I45" s="746"/>
      <c r="J45" s="746"/>
      <c r="K45" s="746"/>
      <c r="L45" s="746"/>
      <c r="M45" s="481"/>
      <c r="N45" s="469"/>
      <c r="O45" s="481"/>
      <c r="P45" s="481"/>
      <c r="Q45" s="479"/>
      <c r="R45" s="263"/>
      <c r="S45" s="263"/>
      <c r="T45" s="454"/>
      <c r="U45" s="263"/>
      <c r="V45" s="264"/>
      <c r="W45" s="264"/>
      <c r="X45" s="264"/>
      <c r="Y45" s="264"/>
      <c r="Z45" s="264"/>
      <c r="AA45" s="264"/>
    </row>
    <row r="46" spans="1:27" ht="30" customHeight="1">
      <c r="A46" s="611" t="s">
        <v>357</v>
      </c>
      <c r="B46" s="840" t="s">
        <v>358</v>
      </c>
      <c r="C46" s="840"/>
      <c r="D46" s="840"/>
      <c r="E46" s="840"/>
      <c r="F46" s="840"/>
      <c r="G46" s="840"/>
      <c r="H46" s="840"/>
      <c r="I46" s="840"/>
      <c r="J46" s="840"/>
      <c r="K46" s="840"/>
      <c r="L46" s="840"/>
      <c r="M46" s="840"/>
      <c r="N46" s="840"/>
      <c r="O46" s="840"/>
      <c r="P46" s="840"/>
      <c r="Q46" s="479"/>
      <c r="R46" s="263"/>
      <c r="S46" s="263"/>
      <c r="T46" s="454"/>
      <c r="U46" s="263"/>
      <c r="V46" s="264"/>
      <c r="W46" s="264"/>
      <c r="X46" s="264"/>
      <c r="Y46" s="264"/>
      <c r="Z46" s="264"/>
      <c r="AA46" s="264"/>
    </row>
    <row r="47" spans="1:27" ht="21.75" customHeight="1">
      <c r="A47" s="747"/>
      <c r="B47" s="435"/>
      <c r="C47" s="330"/>
      <c r="D47" s="331"/>
      <c r="E47" s="332"/>
      <c r="F47" s="426"/>
      <c r="G47" s="426"/>
      <c r="H47" s="426"/>
      <c r="I47" s="426"/>
      <c r="J47" s="426"/>
      <c r="K47" s="426"/>
      <c r="L47" s="416"/>
      <c r="M47" s="481"/>
      <c r="N47" s="469"/>
      <c r="O47" s="481"/>
      <c r="P47" s="481"/>
      <c r="Q47" s="479"/>
      <c r="R47" s="263"/>
      <c r="S47" s="263"/>
      <c r="T47" s="454"/>
      <c r="U47" s="263"/>
      <c r="V47" s="264"/>
      <c r="W47" s="264"/>
      <c r="X47" s="264"/>
      <c r="Y47" s="264"/>
      <c r="Z47" s="264"/>
      <c r="AA47" s="264"/>
    </row>
    <row r="48" spans="1:27" ht="21.75" customHeight="1">
      <c r="A48" s="747"/>
      <c r="B48" s="435"/>
      <c r="C48" s="330"/>
      <c r="D48" s="331"/>
      <c r="E48" s="332"/>
      <c r="F48" s="426"/>
      <c r="G48" s="426"/>
      <c r="H48" s="426"/>
      <c r="I48" s="426"/>
      <c r="J48" s="426"/>
      <c r="K48" s="426"/>
      <c r="L48" s="416"/>
      <c r="M48" s="481"/>
      <c r="N48" s="469"/>
      <c r="O48" s="481"/>
      <c r="P48" s="481"/>
      <c r="Q48" s="479"/>
      <c r="R48" s="263"/>
      <c r="S48" s="263"/>
      <c r="T48" s="454"/>
      <c r="U48" s="263"/>
      <c r="V48" s="264"/>
      <c r="W48" s="264"/>
      <c r="X48" s="264"/>
      <c r="Y48" s="264"/>
      <c r="Z48" s="264"/>
      <c r="AA48" s="264"/>
    </row>
    <row r="49" spans="1:21" s="469" customFormat="1" ht="16.5">
      <c r="A49" s="611"/>
      <c r="B49" s="612" t="s">
        <v>315</v>
      </c>
      <c r="C49" s="843" t="str">
        <f>'Sch-1'!C99:D99</f>
        <v xml:space="preserve">  </v>
      </c>
      <c r="D49" s="843"/>
      <c r="E49" s="843"/>
      <c r="F49" s="611"/>
      <c r="G49" s="611"/>
      <c r="H49" s="611"/>
      <c r="I49" s="611"/>
      <c r="J49" s="611"/>
      <c r="K49" s="611"/>
      <c r="L49" s="611"/>
      <c r="M49" s="841" t="s">
        <v>317</v>
      </c>
      <c r="N49" s="841"/>
      <c r="O49" s="844" t="str">
        <f>'Sch-1'!K99</f>
        <v/>
      </c>
      <c r="P49" s="844"/>
      <c r="R49" s="480"/>
      <c r="S49" s="480"/>
      <c r="T49" s="480"/>
      <c r="U49" s="480"/>
    </row>
    <row r="50" spans="1:21" s="469" customFormat="1" ht="16.5">
      <c r="A50" s="611"/>
      <c r="B50" s="612" t="s">
        <v>316</v>
      </c>
      <c r="C50" s="842" t="str">
        <f>'Sch-1'!C100:D100</f>
        <v/>
      </c>
      <c r="D50" s="842"/>
      <c r="E50" s="842"/>
      <c r="F50" s="611"/>
      <c r="G50" s="611"/>
      <c r="H50" s="611"/>
      <c r="I50" s="611"/>
      <c r="J50" s="611"/>
      <c r="K50" s="611"/>
      <c r="L50" s="611"/>
      <c r="M50" s="841" t="s">
        <v>124</v>
      </c>
      <c r="N50" s="841"/>
      <c r="O50" s="844" t="str">
        <f>'Sch-1'!K100</f>
        <v/>
      </c>
      <c r="P50" s="844"/>
      <c r="R50" s="480"/>
      <c r="S50" s="480"/>
      <c r="T50" s="480"/>
      <c r="U50" s="480"/>
    </row>
    <row r="51" spans="1:21" ht="16.5">
      <c r="B51" s="435"/>
      <c r="C51" s="330"/>
      <c r="D51" s="3"/>
      <c r="E51" s="332"/>
      <c r="F51" s="436"/>
      <c r="G51" s="426"/>
      <c r="H51" s="426"/>
      <c r="I51" s="426"/>
      <c r="J51" s="426"/>
      <c r="K51" s="426"/>
      <c r="L51" s="416"/>
      <c r="M51" s="481"/>
      <c r="N51" s="469"/>
      <c r="O51" s="481"/>
      <c r="P51" s="481"/>
      <c r="Q51" s="481"/>
    </row>
    <row r="52" spans="1:21" ht="16.5">
      <c r="B52" s="437"/>
      <c r="C52" s="335"/>
      <c r="D52" s="336"/>
      <c r="E52" s="332"/>
      <c r="F52" s="436"/>
      <c r="G52" s="438"/>
      <c r="H52" s="438"/>
      <c r="I52" s="438"/>
      <c r="J52" s="438"/>
      <c r="K52" s="438"/>
      <c r="L52" s="416"/>
      <c r="M52" s="481"/>
      <c r="N52" s="469"/>
      <c r="O52" s="481"/>
      <c r="P52" s="481"/>
      <c r="Q52" s="481"/>
    </row>
    <row r="54" spans="1:21">
      <c r="P54" s="729">
        <f>P44*0.18</f>
        <v>0</v>
      </c>
    </row>
  </sheetData>
  <sheetProtection algorithmName="SHA-512" hashValue="Natz5J0kx1Vh75HPfabQNZcSdEX0Bb/QiZ/H/mXxsBuxDR7oUL5Pm0VcdPZv4IiG02K85pNiX4Q945ekVRq0hw==" saltValue="blo5MndXBvBaaxLxj+X8KA==" spinCount="100000" sheet="1" formatColumns="0" formatRows="0" selectLockedCells="1"/>
  <customSheetViews>
    <customSheetView guid="{CCA37BAE-906F-43D5-9FD9-B13563E4B9D7}" scale="70" showPageBreaks="1" printArea="1" hiddenColumns="1" view="pageBreakPreview" topLeftCell="A25">
      <selection activeCell="AA44" sqref="AA44"/>
      <pageMargins left="0.2" right="0.2" top="0.75" bottom="0.5" header="0.3" footer="0.3"/>
      <printOptions horizontalCentered="1"/>
      <pageSetup paperSize="9" scale="49" orientation="landscape" r:id="rId1"/>
      <headerFooter>
        <oddHeader>&amp;RSchedule-3
Page &amp;P of &amp;N</oddHeader>
      </headerFooter>
    </customSheetView>
    <customSheetView guid="{CA9345C4-09FE-4F27-BFD9-3D9BCD2DED09}" scale="70" showPageBreaks="1" printArea="1" hiddenColumns="1" view="pageBreakPreview" topLeftCell="A21">
      <selection activeCell="I21" sqref="I21"/>
      <pageMargins left="0.2" right="0.2" top="0.75" bottom="0.5" header="0.3" footer="0.3"/>
      <printOptions horizontalCentered="1"/>
      <pageSetup paperSize="9" scale="49" orientation="landscape" r:id="rId2"/>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3"/>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8"/>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9"/>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10"/>
      <headerFooter>
        <oddHeader>&amp;RSchedule-3
Page &amp;P of &amp;N</oddHeader>
      </headerFooter>
    </customSheetView>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1"/>
      <headerFooter>
        <oddHeader>&amp;RSchedule-3
Page &amp;P of &amp;N</oddHeader>
      </headerFooter>
    </customSheetView>
  </customSheetViews>
  <mergeCells count="17">
    <mergeCell ref="C12:G12"/>
    <mergeCell ref="A14:P14"/>
    <mergeCell ref="C11:G11"/>
    <mergeCell ref="C10:G10"/>
    <mergeCell ref="C9:G9"/>
    <mergeCell ref="A3:P3"/>
    <mergeCell ref="A4:P4"/>
    <mergeCell ref="A6:B6"/>
    <mergeCell ref="A7:I7"/>
    <mergeCell ref="A8:G8"/>
    <mergeCell ref="B46:P46"/>
    <mergeCell ref="M50:N50"/>
    <mergeCell ref="M49:N49"/>
    <mergeCell ref="C50:E50"/>
    <mergeCell ref="C49:E49"/>
    <mergeCell ref="O50:P50"/>
    <mergeCell ref="O49:P49"/>
  </mergeCells>
  <conditionalFormatting sqref="K17:K18 K41:K43">
    <cfRule type="expression" dxfId="7" priority="44" stopIfTrue="1">
      <formula>J17&gt;0</formula>
    </cfRule>
  </conditionalFormatting>
  <conditionalFormatting sqref="K30:K40">
    <cfRule type="expression" dxfId="6" priority="29" stopIfTrue="1">
      <formula>J30&gt;0</formula>
    </cfRule>
  </conditionalFormatting>
  <conditionalFormatting sqref="K19:K29">
    <cfRule type="expression" dxfId="5" priority="28" stopIfTrue="1">
      <formula>J19&gt;0</formula>
    </cfRule>
  </conditionalFormatting>
  <dataValidations count="5">
    <dataValidation type="list" allowBlank="1" showInputMessage="1" showErrorMessage="1" sqref="IJ64479 A64479:K64479" xr:uid="{00000000-0002-0000-0600-000000000000}">
      <formula1>#REF!</formula1>
    </dataValidation>
    <dataValidation type="decimal" operator="greaterThan" allowBlank="1" showInputMessage="1" showErrorMessage="1" error="Enter only Numeric Value greater than zero or leave the cell blank !" sqref="O64449:O64495" xr:uid="{00000000-0002-0000-0600-000001000000}">
      <formula1>0</formula1>
    </dataValidation>
    <dataValidation type="list" operator="greaterThan" allowBlank="1" showInputMessage="1" showErrorMessage="1" sqref="K17:K43" xr:uid="{00000000-0002-0000-0600-000002000000}">
      <formula1>"0%,5%,12%,18%,28%"</formula1>
    </dataValidation>
    <dataValidation type="whole" operator="greaterThan" allowBlank="1" showInputMessage="1" showErrorMessage="1" sqref="I17:I43" xr:uid="{00000000-0002-0000-0600-000003000000}">
      <formula1>0</formula1>
    </dataValidation>
    <dataValidation type="decimal" operator="greaterThanOrEqual" allowBlank="1" showInputMessage="1" showErrorMessage="1" sqref="O17:O43" xr:uid="{00000000-0002-0000-0600-000004000000}">
      <formula1>0</formula1>
    </dataValidation>
  </dataValidations>
  <printOptions horizontalCentered="1"/>
  <pageMargins left="0.2" right="0.2" top="0.75" bottom="0.5" header="0.3" footer="0.3"/>
  <pageSetup paperSize="9" scale="49" orientation="landscape" r:id="rId12"/>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Normal="100" zoomScaleSheetLayoutView="100" workbookViewId="0">
      <selection activeCell="R19" sqref="R19"/>
    </sheetView>
  </sheetViews>
  <sheetFormatPr defaultColWidth="9.140625" defaultRowHeight="15.75"/>
  <cols>
    <col min="1" max="1" width="7.5703125" style="507" customWidth="1"/>
    <col min="2" max="2" width="9" style="507" customWidth="1"/>
    <col min="3" max="3" width="10.28515625" style="507" customWidth="1"/>
    <col min="4" max="4" width="10.85546875" style="507" customWidth="1"/>
    <col min="5" max="5" width="11.140625" style="507" customWidth="1"/>
    <col min="6" max="6" width="13.7109375" style="507" customWidth="1"/>
    <col min="7" max="7" width="15.42578125" style="507" customWidth="1"/>
    <col min="8" max="11" width="16.85546875" style="507" customWidth="1"/>
    <col min="12" max="12" width="14.42578125" style="508" customWidth="1"/>
    <col min="13" max="13" width="9" style="507" customWidth="1"/>
    <col min="14" max="14" width="11.42578125" style="507" customWidth="1"/>
    <col min="15" max="15" width="13.28515625" style="507" customWidth="1"/>
    <col min="16" max="16" width="15.7109375" style="512" customWidth="1"/>
    <col min="17" max="16384" width="9.140625" style="512"/>
  </cols>
  <sheetData>
    <row r="1" spans="1:16" s="509" customFormat="1" ht="24.75" customHeight="1">
      <c r="A1" s="492" t="str">
        <f>Cover!B3</f>
        <v>Spec. No.: 5002002223/GIS-EXCLUDING/DOM/A00 - CC CS -1</v>
      </c>
      <c r="B1" s="492"/>
      <c r="C1" s="492"/>
      <c r="D1" s="492"/>
      <c r="E1" s="492"/>
      <c r="F1" s="492"/>
      <c r="G1" s="493"/>
      <c r="H1" s="493"/>
      <c r="I1" s="493"/>
      <c r="J1" s="493"/>
      <c r="K1" s="493"/>
      <c r="L1" s="494"/>
      <c r="M1" s="495"/>
      <c r="N1" s="496"/>
      <c r="O1" s="496"/>
      <c r="P1" s="497" t="s">
        <v>25</v>
      </c>
    </row>
    <row r="2" spans="1:16" s="509" customFormat="1">
      <c r="A2" s="11"/>
      <c r="B2" s="11"/>
      <c r="C2" s="11"/>
      <c r="D2" s="11"/>
      <c r="E2" s="11"/>
      <c r="F2" s="11"/>
      <c r="G2" s="498"/>
      <c r="H2" s="498"/>
      <c r="I2" s="498"/>
      <c r="J2" s="498"/>
      <c r="K2" s="498"/>
      <c r="L2" s="499"/>
      <c r="M2" s="500"/>
      <c r="N2" s="501"/>
      <c r="O2" s="501"/>
    </row>
    <row r="3" spans="1:16" s="509" customFormat="1" ht="87" customHeight="1">
      <c r="A3" s="856" t="str">
        <f>Cover!$B$2</f>
        <v xml:space="preserve">Substation Package SS-92 for Extension of 400/220kV GIS Indore S/S under Transmission System associated with Scheme to control fault level at Indore Substation in Western Region
</v>
      </c>
      <c r="B3" s="856"/>
      <c r="C3" s="856"/>
      <c r="D3" s="856"/>
      <c r="E3" s="856"/>
      <c r="F3" s="856"/>
      <c r="G3" s="856"/>
      <c r="H3" s="856"/>
      <c r="I3" s="856"/>
      <c r="J3" s="856"/>
      <c r="K3" s="856"/>
      <c r="L3" s="856"/>
      <c r="M3" s="856"/>
      <c r="N3" s="856"/>
      <c r="O3" s="856"/>
      <c r="P3" s="856"/>
    </row>
    <row r="4" spans="1:16" s="509" customFormat="1" ht="16.5">
      <c r="A4" s="857" t="s">
        <v>18</v>
      </c>
      <c r="B4" s="857"/>
      <c r="C4" s="857"/>
      <c r="D4" s="857"/>
      <c r="E4" s="857"/>
      <c r="F4" s="857"/>
      <c r="G4" s="857"/>
      <c r="H4" s="857"/>
      <c r="I4" s="857"/>
      <c r="J4" s="857"/>
      <c r="K4" s="857"/>
      <c r="L4" s="857"/>
      <c r="M4" s="857"/>
      <c r="N4" s="857"/>
      <c r="O4" s="857"/>
      <c r="P4" s="857"/>
    </row>
    <row r="5" spans="1:16" s="509" customFormat="1">
      <c r="A5" s="502"/>
      <c r="B5" s="502"/>
      <c r="C5" s="502"/>
      <c r="D5" s="502"/>
      <c r="E5" s="502"/>
      <c r="F5" s="502"/>
      <c r="G5" s="503"/>
      <c r="H5" s="503"/>
      <c r="I5" s="503"/>
      <c r="J5" s="503"/>
      <c r="K5" s="503"/>
      <c r="L5" s="503"/>
      <c r="M5" s="502"/>
      <c r="N5" s="502"/>
      <c r="O5" s="502"/>
    </row>
    <row r="6" spans="1:16" s="509" customFormat="1" ht="20.25" customHeight="1">
      <c r="A6" s="820" t="s">
        <v>350</v>
      </c>
      <c r="B6" s="820"/>
      <c r="C6" s="4"/>
      <c r="D6" s="352"/>
      <c r="E6" s="4"/>
      <c r="F6" s="4"/>
      <c r="G6" s="4"/>
      <c r="H6" s="4"/>
      <c r="I6" s="4"/>
      <c r="J6" s="503"/>
      <c r="K6" s="503"/>
      <c r="L6" s="503"/>
      <c r="M6" s="502"/>
      <c r="N6" s="502"/>
      <c r="O6" s="502"/>
    </row>
    <row r="7" spans="1:16" s="509" customFormat="1" ht="21" customHeight="1">
      <c r="A7" s="825" t="str">
        <f>'Sch-1'!A7</f>
        <v>JOINT VENTURE OF 0 &amp; X</v>
      </c>
      <c r="B7" s="825"/>
      <c r="C7" s="825"/>
      <c r="D7" s="825"/>
      <c r="E7" s="825"/>
      <c r="F7" s="825"/>
      <c r="G7" s="825"/>
      <c r="H7" s="825"/>
      <c r="I7" s="825"/>
      <c r="J7" s="5"/>
      <c r="K7" s="5"/>
      <c r="L7" s="393"/>
      <c r="M7" s="5"/>
      <c r="N7" s="504" t="s">
        <v>1</v>
      </c>
      <c r="O7" s="501"/>
    </row>
    <row r="8" spans="1:16" s="509" customFormat="1" ht="21" customHeight="1">
      <c r="A8" s="821" t="str">
        <f>"Bidder’s Name and Address  (" &amp; MID('Names of Bidder'!B9,9, 20) &amp; ") :"</f>
        <v>Bidder’s Name and Address  (Lead Partner) :</v>
      </c>
      <c r="B8" s="821"/>
      <c r="C8" s="821"/>
      <c r="D8" s="821"/>
      <c r="E8" s="821"/>
      <c r="F8" s="821"/>
      <c r="G8" s="821"/>
      <c r="H8" s="549"/>
      <c r="I8" s="549"/>
      <c r="J8" s="518"/>
      <c r="K8" s="518"/>
      <c r="L8" s="518"/>
      <c r="M8" s="518"/>
      <c r="N8" s="12" t="str">
        <f>'Sch-1'!K8</f>
        <v>Contract Services</v>
      </c>
      <c r="O8" s="501"/>
    </row>
    <row r="9" spans="1:16" s="509" customFormat="1" ht="24" customHeight="1">
      <c r="A9" s="462" t="s">
        <v>12</v>
      </c>
      <c r="B9" s="408"/>
      <c r="C9" s="824" t="str">
        <f>IF('Names of Bidder'!D9=0, "", 'Names of Bidder'!D9)</f>
        <v/>
      </c>
      <c r="D9" s="824"/>
      <c r="E9" s="824"/>
      <c r="F9" s="824"/>
      <c r="G9" s="824"/>
      <c r="H9" s="445"/>
      <c r="I9" s="409"/>
      <c r="J9" s="262"/>
      <c r="K9" s="262"/>
      <c r="L9" s="510"/>
      <c r="N9" s="12" t="str">
        <f>'Sch-1'!K9</f>
        <v>Power Grid Corporation of India Ltd.,</v>
      </c>
      <c r="O9" s="501"/>
    </row>
    <row r="10" spans="1:16" s="509" customFormat="1" ht="16.5">
      <c r="A10" s="462" t="s">
        <v>11</v>
      </c>
      <c r="B10" s="408"/>
      <c r="C10" s="823" t="str">
        <f>IF('Names of Bidder'!D10=0, "", 'Names of Bidder'!D10)</f>
        <v/>
      </c>
      <c r="D10" s="823"/>
      <c r="E10" s="823"/>
      <c r="F10" s="823"/>
      <c r="G10" s="823"/>
      <c r="H10" s="445"/>
      <c r="I10" s="409"/>
      <c r="J10" s="262"/>
      <c r="K10" s="262"/>
      <c r="L10" s="510"/>
      <c r="N10" s="12" t="str">
        <f>'Sch-1'!K10</f>
        <v>"Saudamini", Plot No.-2</v>
      </c>
      <c r="O10" s="501"/>
    </row>
    <row r="11" spans="1:16" s="509" customFormat="1">
      <c r="A11" s="409"/>
      <c r="B11" s="409"/>
      <c r="C11" s="823" t="str">
        <f>IF('Names of Bidder'!D11=0, "", 'Names of Bidder'!D11)</f>
        <v/>
      </c>
      <c r="D11" s="823"/>
      <c r="E11" s="823"/>
      <c r="F11" s="823"/>
      <c r="G11" s="823"/>
      <c r="H11" s="445"/>
      <c r="I11" s="409"/>
      <c r="J11" s="262"/>
      <c r="K11" s="262"/>
      <c r="L11" s="510"/>
      <c r="N11" s="12" t="str">
        <f>'Sch-1'!K11</f>
        <v xml:space="preserve">Sector-29, </v>
      </c>
      <c r="O11" s="501"/>
    </row>
    <row r="12" spans="1:16" s="509" customFormat="1">
      <c r="A12" s="409"/>
      <c r="B12" s="409"/>
      <c r="C12" s="823" t="str">
        <f>IF('Names of Bidder'!D12=0, "", 'Names of Bidder'!D12)</f>
        <v/>
      </c>
      <c r="D12" s="823"/>
      <c r="E12" s="823"/>
      <c r="F12" s="823"/>
      <c r="G12" s="823"/>
      <c r="H12" s="445"/>
      <c r="I12" s="409"/>
      <c r="J12" s="262"/>
      <c r="K12" s="262"/>
      <c r="L12" s="510"/>
      <c r="N12" s="12" t="str">
        <f>'Sch-1'!K12</f>
        <v>Gurgaon (Haryana) - 122001</v>
      </c>
      <c r="O12" s="501"/>
    </row>
    <row r="13" spans="1:16" s="509" customFormat="1">
      <c r="A13" s="409"/>
      <c r="B13" s="409"/>
      <c r="C13" s="596"/>
      <c r="D13" s="596"/>
      <c r="E13" s="596"/>
      <c r="F13" s="596"/>
      <c r="G13" s="596"/>
      <c r="H13" s="445"/>
      <c r="I13" s="409"/>
      <c r="J13" s="262"/>
      <c r="K13" s="262"/>
      <c r="L13" s="510"/>
      <c r="N13" s="12"/>
      <c r="O13" s="501"/>
    </row>
    <row r="14" spans="1:16" s="509" customFormat="1" ht="21" customHeight="1">
      <c r="A14" s="845" t="s">
        <v>26</v>
      </c>
      <c r="B14" s="845"/>
      <c r="C14" s="845"/>
      <c r="D14" s="845"/>
      <c r="E14" s="845"/>
      <c r="F14" s="845"/>
      <c r="G14" s="845"/>
      <c r="H14" s="845"/>
      <c r="I14" s="845"/>
      <c r="J14" s="845"/>
      <c r="K14" s="845"/>
      <c r="L14" s="845"/>
      <c r="M14" s="845"/>
      <c r="N14" s="845"/>
      <c r="O14" s="845"/>
      <c r="P14" s="845"/>
    </row>
    <row r="15" spans="1:16" s="509" customFormat="1" ht="63.75" customHeight="1">
      <c r="A15" s="488" t="s">
        <v>7</v>
      </c>
      <c r="B15" s="489" t="s">
        <v>266</v>
      </c>
      <c r="C15" s="489" t="s">
        <v>267</v>
      </c>
      <c r="D15" s="489" t="s">
        <v>277</v>
      </c>
      <c r="E15" s="489" t="s">
        <v>279</v>
      </c>
      <c r="F15" s="489" t="s">
        <v>280</v>
      </c>
      <c r="G15" s="488" t="s">
        <v>24</v>
      </c>
      <c r="H15" s="519" t="s">
        <v>322</v>
      </c>
      <c r="I15" s="520" t="s">
        <v>321</v>
      </c>
      <c r="J15" s="520" t="s">
        <v>310</v>
      </c>
      <c r="K15" s="520" t="s">
        <v>318</v>
      </c>
      <c r="L15" s="489" t="s">
        <v>14</v>
      </c>
      <c r="M15" s="490" t="s">
        <v>9</v>
      </c>
      <c r="N15" s="490" t="s">
        <v>15</v>
      </c>
      <c r="O15" s="491" t="s">
        <v>27</v>
      </c>
      <c r="P15" s="491" t="s">
        <v>28</v>
      </c>
    </row>
    <row r="16" spans="1:16" s="616" customFormat="1" ht="15">
      <c r="A16" s="613">
        <v>1</v>
      </c>
      <c r="B16" s="613">
        <v>2</v>
      </c>
      <c r="C16" s="613">
        <v>3</v>
      </c>
      <c r="D16" s="613">
        <v>4</v>
      </c>
      <c r="E16" s="613">
        <v>5</v>
      </c>
      <c r="F16" s="613">
        <v>6</v>
      </c>
      <c r="G16" s="613">
        <v>7</v>
      </c>
      <c r="H16" s="614">
        <v>8</v>
      </c>
      <c r="I16" s="614">
        <v>9</v>
      </c>
      <c r="J16" s="614">
        <v>10</v>
      </c>
      <c r="K16" s="614">
        <v>11</v>
      </c>
      <c r="L16" s="615">
        <v>12</v>
      </c>
      <c r="M16" s="613">
        <v>13</v>
      </c>
      <c r="N16" s="613">
        <v>14</v>
      </c>
      <c r="O16" s="613">
        <v>15</v>
      </c>
      <c r="P16" s="613" t="s">
        <v>320</v>
      </c>
    </row>
    <row r="17" spans="1:17">
      <c r="A17" s="505"/>
      <c r="B17" s="505"/>
      <c r="C17" s="505"/>
      <c r="D17" s="505"/>
      <c r="E17" s="505"/>
      <c r="F17" s="505"/>
      <c r="G17" s="505"/>
      <c r="H17" s="505"/>
      <c r="I17" s="505"/>
      <c r="J17" s="505"/>
      <c r="K17" s="505"/>
      <c r="L17" s="506"/>
      <c r="M17" s="505"/>
      <c r="N17" s="505"/>
      <c r="O17" s="505"/>
      <c r="P17" s="511"/>
    </row>
    <row r="18" spans="1:17" s="507" customFormat="1" ht="45" customHeight="1">
      <c r="A18" s="505"/>
      <c r="B18" s="513"/>
      <c r="C18" s="513"/>
      <c r="D18" s="513"/>
      <c r="F18" s="513"/>
      <c r="G18" s="513"/>
      <c r="H18" s="513"/>
      <c r="I18" s="602" t="s">
        <v>338</v>
      </c>
      <c r="J18" s="513"/>
      <c r="K18" s="513"/>
      <c r="L18" s="513"/>
      <c r="M18" s="513"/>
      <c r="N18" s="513"/>
      <c r="O18" s="513"/>
      <c r="P18" s="513"/>
    </row>
    <row r="19" spans="1:17" ht="26.25" customHeight="1">
      <c r="A19" s="505"/>
      <c r="B19" s="853"/>
      <c r="C19" s="854"/>
      <c r="D19" s="854"/>
      <c r="E19" s="854"/>
      <c r="F19" s="854"/>
      <c r="G19" s="854"/>
      <c r="H19" s="854"/>
      <c r="I19" s="854"/>
      <c r="J19" s="854"/>
      <c r="K19" s="855"/>
      <c r="L19" s="514"/>
      <c r="M19" s="514"/>
      <c r="N19" s="514"/>
      <c r="O19" s="514"/>
      <c r="P19" s="515"/>
      <c r="Q19" s="446"/>
    </row>
    <row r="20" spans="1:17" ht="27.75" customHeight="1">
      <c r="A20" s="850" t="s">
        <v>323</v>
      </c>
      <c r="B20" s="850"/>
      <c r="C20" s="850"/>
      <c r="D20" s="850"/>
      <c r="E20" s="850"/>
      <c r="F20" s="850"/>
      <c r="G20" s="850"/>
      <c r="H20" s="850"/>
      <c r="I20" s="850"/>
      <c r="J20" s="850"/>
      <c r="K20" s="850"/>
      <c r="L20" s="850"/>
      <c r="M20" s="850"/>
      <c r="N20" s="850"/>
      <c r="O20" s="850"/>
      <c r="P20" s="850"/>
      <c r="Q20" s="446"/>
    </row>
    <row r="21" spans="1:17" ht="39" customHeight="1">
      <c r="A21" s="851" t="s">
        <v>324</v>
      </c>
      <c r="B21" s="851"/>
      <c r="C21" s="851"/>
      <c r="D21" s="851"/>
      <c r="E21" s="851"/>
      <c r="F21" s="851"/>
      <c r="G21" s="851"/>
      <c r="H21" s="851"/>
      <c r="I21" s="851"/>
      <c r="J21" s="851"/>
      <c r="K21" s="851"/>
      <c r="L21" s="851"/>
      <c r="M21" s="851"/>
      <c r="N21" s="851"/>
      <c r="O21" s="851"/>
      <c r="P21" s="851"/>
      <c r="Q21" s="446"/>
    </row>
    <row r="23" spans="1:17" s="516" customFormat="1">
      <c r="B23" s="517" t="s">
        <v>315</v>
      </c>
      <c r="C23" s="849" t="str">
        <f>'Sch-3'!C49:D49</f>
        <v xml:space="preserve">  </v>
      </c>
      <c r="D23" s="848"/>
    </row>
    <row r="24" spans="1:17" s="516" customFormat="1">
      <c r="B24" s="517" t="s">
        <v>316</v>
      </c>
      <c r="C24" s="847" t="str">
        <f>'Sch-3'!C50:D50</f>
        <v/>
      </c>
      <c r="D24" s="848"/>
      <c r="L24" s="846" t="s">
        <v>317</v>
      </c>
      <c r="M24" s="846"/>
      <c r="N24" s="852" t="str">
        <f>'Sch-3'!O49</f>
        <v/>
      </c>
      <c r="O24" s="852"/>
      <c r="P24" s="852"/>
    </row>
    <row r="25" spans="1:17">
      <c r="L25" s="846" t="s">
        <v>124</v>
      </c>
      <c r="M25" s="846"/>
      <c r="N25" s="852" t="str">
        <f>'Sch-3'!O50</f>
        <v/>
      </c>
      <c r="O25" s="852"/>
      <c r="P25" s="852"/>
    </row>
  </sheetData>
  <sheetProtection password="CC6F" sheet="1" formatColumns="0" formatRows="0" selectLockedCells="1"/>
  <customSheetViews>
    <customSheetView guid="{CCA37BAE-906F-43D5-9FD9-B13563E4B9D7}" showPageBreaks="1" printArea="1" view="pageBreakPreview">
      <selection activeCell="R19" sqref="R19"/>
      <pageMargins left="0.7" right="0.7" top="0.75" bottom="0.75" header="0.3" footer="0.3"/>
      <pageSetup paperSize="9" scale="58" orientation="landscape" r:id="rId1"/>
    </customSheetView>
    <customSheetView guid="{CA9345C4-09FE-4F27-BFD9-3D9BCD2DED09}" showPageBreaks="1" printArea="1" view="pageBreakPreview" topLeftCell="F10">
      <selection activeCell="R19" sqref="R19"/>
      <pageMargins left="0.7" right="0.7" top="0.75" bottom="0.75" header="0.3" footer="0.3"/>
      <pageSetup paperSize="9" scale="58" orientation="landscape" r:id="rId2"/>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497EA202-A8B8-45C5-9E6C-C3CD104F3979}" showPageBreaks="1" printArea="1" view="pageBreakPreview">
      <selection activeCell="G39" sqref="G39"/>
      <pageMargins left="0.7" right="0.7" top="0.75" bottom="0.75" header="0.3" footer="0.3"/>
      <pageSetup paperSize="9" scale="58" orientation="landscape" r:id="rId8"/>
    </customSheetView>
    <customSheetView guid="{63D51328-7CBC-4A1E-B96D-BAE91416501B}" showPageBreaks="1" printArea="1" view="pageBreakPreview">
      <selection activeCell="G39" sqref="G39"/>
      <pageMargins left="0.7" right="0.7" top="0.75" bottom="0.75" header="0.3" footer="0.3"/>
      <pageSetup paperSize="9" scale="58" orientation="landscape" r:id="rId9"/>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10"/>
    </customSheetView>
    <customSheetView guid="{12A89170-4F84-482D-A3C5-7890082E7B73}" showPageBreaks="1" printArea="1" view="pageBreakPreview" topLeftCell="F10">
      <selection activeCell="R19" sqref="R19"/>
      <pageMargins left="0.7" right="0.7" top="0.75" bottom="0.75" header="0.3" footer="0.3"/>
      <pageSetup paperSize="9" scale="58" orientation="landscape" r:id="rId11"/>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5002002223/GIS-EXCLUDING/DOM/A00 - CC CS -1</v>
      </c>
      <c r="B1" s="82"/>
      <c r="C1" s="83"/>
      <c r="D1" s="83"/>
      <c r="E1" s="84" t="s">
        <v>127</v>
      </c>
    </row>
    <row r="2" spans="1:15" ht="8.1" customHeight="1">
      <c r="A2" s="87"/>
      <c r="B2" s="88"/>
      <c r="C2" s="89"/>
      <c r="D2" s="89"/>
      <c r="E2" s="90"/>
      <c r="F2" s="91"/>
    </row>
    <row r="3" spans="1:15" ht="63.75" customHeight="1">
      <c r="A3" s="866" t="str">
        <f>Cover!$B$2</f>
        <v xml:space="preserve">Substation Package SS-92 for Extension of 400/220kV GIS Indore S/S under Transmission System associated with Scheme to control fault level at Indore Substation in Western Region
</v>
      </c>
      <c r="B3" s="866"/>
      <c r="C3" s="866"/>
      <c r="D3" s="866"/>
      <c r="E3" s="866"/>
    </row>
    <row r="4" spans="1:15" ht="21.95" customHeight="1">
      <c r="A4" s="867" t="s">
        <v>128</v>
      </c>
      <c r="B4" s="867"/>
      <c r="C4" s="867"/>
      <c r="D4" s="867"/>
      <c r="E4" s="867"/>
    </row>
    <row r="5" spans="1:15" ht="12" customHeight="1">
      <c r="A5" s="92"/>
      <c r="B5" s="93"/>
      <c r="C5" s="93"/>
      <c r="D5" s="93"/>
      <c r="E5" s="93"/>
    </row>
    <row r="6" spans="1:15" ht="24" customHeight="1">
      <c r="A6" s="820" t="s">
        <v>350</v>
      </c>
      <c r="B6" s="820"/>
      <c r="C6" s="4"/>
      <c r="D6" s="352"/>
      <c r="E6" s="4"/>
      <c r="F6" s="4"/>
      <c r="G6" s="4"/>
      <c r="H6" s="4"/>
      <c r="I6" s="4"/>
    </row>
    <row r="7" spans="1:15" ht="18" customHeight="1">
      <c r="A7" s="825" t="str">
        <f>'Sch-1'!A7</f>
        <v>JOINT VENTURE OF 0 &amp; X</v>
      </c>
      <c r="B7" s="825"/>
      <c r="C7" s="825"/>
      <c r="D7" s="504" t="s">
        <v>1</v>
      </c>
      <c r="E7" s="595"/>
      <c r="F7" s="595"/>
      <c r="G7" s="595"/>
      <c r="H7" s="595"/>
      <c r="I7" s="595"/>
    </row>
    <row r="8" spans="1:15" ht="18" customHeight="1">
      <c r="A8" s="821" t="str">
        <f>"Bidder’s Name and Address  (" &amp; MID('Names of Bidder'!B9,9, 20) &amp; ") :"</f>
        <v>Bidder’s Name and Address  (Lead Partner) :</v>
      </c>
      <c r="B8" s="821"/>
      <c r="C8" s="821"/>
      <c r="D8" s="12" t="s">
        <v>2</v>
      </c>
      <c r="E8" s="598"/>
      <c r="F8" s="598"/>
      <c r="G8" s="598"/>
      <c r="H8" s="549"/>
      <c r="I8" s="549"/>
    </row>
    <row r="9" spans="1:15" ht="18" customHeight="1">
      <c r="A9" s="462" t="s">
        <v>12</v>
      </c>
      <c r="B9" s="462" t="str">
        <f>IF('Names of Bidder'!D9=0, "", 'Names of Bidder'!D9)</f>
        <v/>
      </c>
      <c r="C9" s="112"/>
      <c r="D9" s="12" t="s">
        <v>3</v>
      </c>
      <c r="E9" s="597"/>
      <c r="F9" s="597"/>
      <c r="G9" s="597"/>
      <c r="H9" s="445"/>
      <c r="I9" s="409"/>
    </row>
    <row r="10" spans="1:15" ht="18" customHeight="1">
      <c r="A10" s="462" t="s">
        <v>11</v>
      </c>
      <c r="B10" s="596" t="str">
        <f>IF('Names of Bidder'!D10=0, "", 'Names of Bidder'!D10)</f>
        <v/>
      </c>
      <c r="C10" s="112"/>
      <c r="D10" s="12" t="s">
        <v>4</v>
      </c>
      <c r="E10" s="597"/>
      <c r="F10" s="597"/>
      <c r="G10" s="597"/>
      <c r="H10" s="445"/>
      <c r="I10" s="409"/>
    </row>
    <row r="11" spans="1:15" ht="18" customHeight="1">
      <c r="A11" s="409"/>
      <c r="B11" s="596" t="str">
        <f>IF('Names of Bidder'!D11=0, "", 'Names of Bidder'!D11)</f>
        <v/>
      </c>
      <c r="C11" s="112"/>
      <c r="D11" s="12" t="s">
        <v>5</v>
      </c>
      <c r="E11" s="597"/>
      <c r="F11" s="597"/>
      <c r="G11" s="597"/>
      <c r="H11" s="445"/>
      <c r="I11" s="409"/>
    </row>
    <row r="12" spans="1:15" ht="18" customHeight="1">
      <c r="A12" s="409"/>
      <c r="B12" s="596" t="str">
        <f>IF('Names of Bidder'!D12=0, "", 'Names of Bidder'!D12)</f>
        <v/>
      </c>
      <c r="C12" s="112"/>
      <c r="D12" s="12" t="s">
        <v>6</v>
      </c>
      <c r="E12" s="597"/>
      <c r="F12" s="597"/>
      <c r="G12" s="597"/>
      <c r="H12" s="445"/>
      <c r="I12" s="409"/>
    </row>
    <row r="13" spans="1:15" ht="8.1" customHeight="1" thickBot="1">
      <c r="B13" s="141"/>
    </row>
    <row r="14" spans="1:15" ht="21.95" customHeight="1">
      <c r="A14" s="662" t="s">
        <v>129</v>
      </c>
      <c r="B14" s="868" t="s">
        <v>130</v>
      </c>
      <c r="C14" s="868"/>
      <c r="D14" s="869" t="s">
        <v>131</v>
      </c>
      <c r="E14" s="870"/>
      <c r="I14" s="865" t="s">
        <v>132</v>
      </c>
      <c r="J14" s="865"/>
      <c r="K14" s="865"/>
      <c r="M14" s="858" t="s">
        <v>133</v>
      </c>
      <c r="N14" s="858"/>
      <c r="O14" s="858"/>
    </row>
    <row r="15" spans="1:15" ht="29.25" customHeight="1">
      <c r="A15" s="663" t="s">
        <v>134</v>
      </c>
      <c r="B15" s="859" t="s">
        <v>325</v>
      </c>
      <c r="C15" s="859"/>
      <c r="D15" s="860">
        <f>'Sch-1'!P94</f>
        <v>0</v>
      </c>
      <c r="E15" s="861"/>
      <c r="I15" s="388" t="s">
        <v>135</v>
      </c>
      <c r="K15" s="388" t="e">
        <f>ROUND('[6]Sch-1'!U3*#REF!,0)</f>
        <v>#REF!</v>
      </c>
      <c r="M15" s="388" t="s">
        <v>135</v>
      </c>
      <c r="O15" s="97" t="e">
        <f>ROUND('[6]Sch-1'!U5*#REF!,0)</f>
        <v>#REF!</v>
      </c>
    </row>
    <row r="16" spans="1:15" ht="87.75" customHeight="1">
      <c r="A16" s="664"/>
      <c r="B16" s="862" t="s">
        <v>326</v>
      </c>
      <c r="C16" s="862"/>
      <c r="D16" s="863"/>
      <c r="E16" s="864"/>
      <c r="G16" s="98"/>
    </row>
    <row r="17" spans="1:15" ht="25.5" customHeight="1">
      <c r="A17" s="663" t="s">
        <v>136</v>
      </c>
      <c r="B17" s="859" t="s">
        <v>327</v>
      </c>
      <c r="C17" s="859"/>
      <c r="D17" s="860">
        <f>'Sch-3'!R44</f>
        <v>0</v>
      </c>
      <c r="E17" s="861"/>
      <c r="I17" s="388" t="s">
        <v>137</v>
      </c>
      <c r="K17" s="389">
        <f>IF(ISERROR(ROUND((#REF!+#REF!)*#REF!,0)),0, ROUND((#REF!+#REF!)*#REF!,0))</f>
        <v>0</v>
      </c>
      <c r="M17" s="388" t="s">
        <v>137</v>
      </c>
      <c r="O17" s="100">
        <f>IF(ISERROR(ROUND((#REF!+#REF!)*#REF!,0)),0, ROUND((#REF!+#REF!)*#REF!,0))</f>
        <v>0</v>
      </c>
    </row>
    <row r="18" spans="1:15" ht="84" customHeight="1">
      <c r="A18" s="664"/>
      <c r="B18" s="862" t="s">
        <v>328</v>
      </c>
      <c r="C18" s="862"/>
      <c r="D18" s="875"/>
      <c r="E18" s="876"/>
      <c r="G18" s="101"/>
      <c r="I18" s="390" t="e">
        <f>#REF!/'Sch-1'!Y1</f>
        <v>#REF!</v>
      </c>
      <c r="K18" s="387">
        <f>'[6]Sch-1'!U3</f>
        <v>0</v>
      </c>
      <c r="M18" s="390" t="e">
        <f>I18</f>
        <v>#REF!</v>
      </c>
      <c r="O18" s="86">
        <f>'[6]Sch-1'!U5</f>
        <v>0</v>
      </c>
    </row>
    <row r="19" spans="1:15" ht="33" customHeight="1" thickBot="1">
      <c r="A19" s="665"/>
      <c r="B19" s="666" t="s">
        <v>331</v>
      </c>
      <c r="C19" s="667"/>
      <c r="D19" s="873">
        <f>D15+D17</f>
        <v>0</v>
      </c>
      <c r="E19" s="874"/>
    </row>
    <row r="20" spans="1:15" ht="30" customHeight="1">
      <c r="A20" s="102"/>
      <c r="B20" s="102"/>
      <c r="C20" s="103"/>
      <c r="D20" s="102"/>
      <c r="E20" s="102"/>
    </row>
    <row r="21" spans="1:15" ht="30" customHeight="1">
      <c r="A21" s="104" t="s">
        <v>142</v>
      </c>
      <c r="B21" s="670" t="str">
        <f>'Names of Bidder'!D27&amp;" "&amp;'Names of Bidder'!E27&amp;" "&amp;'Names of Bidder'!F27</f>
        <v xml:space="preserve">  </v>
      </c>
      <c r="C21" s="103" t="s">
        <v>143</v>
      </c>
      <c r="D21" s="871" t="str">
        <f>IF('Names of Bidder'!D24="","",'Names of Bidder'!D24)</f>
        <v/>
      </c>
      <c r="E21" s="872"/>
      <c r="F21" s="105"/>
    </row>
    <row r="22" spans="1:15" ht="30" customHeight="1">
      <c r="A22" s="104" t="s">
        <v>144</v>
      </c>
      <c r="B22" s="748" t="str">
        <f>IF('Names of Bidder'!D28="","",'Names of Bidder'!D28)</f>
        <v/>
      </c>
      <c r="C22" s="103" t="s">
        <v>145</v>
      </c>
      <c r="D22" s="871" t="str">
        <f>IF('Names of Bidder'!D25="","",'Names of Bidder'!D25)</f>
        <v/>
      </c>
      <c r="E22" s="87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CCA37BAE-906F-43D5-9FD9-B13563E4B9D7}" showPageBreaks="1" printArea="1" hiddenColumns="1" view="pageBreakPreview" topLeftCell="A7">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7"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5002002223/GIS-EXCLUDING/DOM/A00 - CC CS -1</v>
      </c>
      <c r="B1" s="82"/>
      <c r="C1" s="83"/>
      <c r="D1" s="83"/>
      <c r="E1" s="84" t="s">
        <v>481</v>
      </c>
    </row>
    <row r="2" spans="1:15" ht="8.1" customHeight="1">
      <c r="A2" s="87"/>
      <c r="B2" s="88"/>
      <c r="C2" s="89"/>
      <c r="D2" s="89"/>
      <c r="E2" s="90"/>
      <c r="F2" s="91"/>
    </row>
    <row r="3" spans="1:15" ht="111" customHeight="1">
      <c r="A3" s="866" t="str">
        <f>Cover!$B$2</f>
        <v xml:space="preserve">Substation Package SS-92 for Extension of 400/220kV GIS Indore S/S under Transmission System associated with Scheme to control fault level at Indore Substation in Western Region
</v>
      </c>
      <c r="B3" s="866"/>
      <c r="C3" s="866"/>
      <c r="D3" s="866"/>
      <c r="E3" s="866"/>
    </row>
    <row r="4" spans="1:15" ht="21.95" customHeight="1">
      <c r="A4" s="867" t="s">
        <v>128</v>
      </c>
      <c r="B4" s="867"/>
      <c r="C4" s="867"/>
      <c r="D4" s="867"/>
      <c r="E4" s="867"/>
    </row>
    <row r="5" spans="1:15" ht="12" customHeight="1">
      <c r="A5" s="92"/>
      <c r="B5" s="93"/>
      <c r="C5" s="93"/>
      <c r="D5" s="93"/>
      <c r="E5" s="93"/>
    </row>
    <row r="6" spans="1:15" ht="20.25" customHeight="1">
      <c r="A6" s="820" t="s">
        <v>350</v>
      </c>
      <c r="B6" s="820"/>
      <c r="C6" s="4"/>
      <c r="D6" s="93"/>
      <c r="E6" s="93"/>
    </row>
    <row r="7" spans="1:15" ht="18" customHeight="1">
      <c r="A7" s="825" t="str">
        <f>'Sch-1'!A7</f>
        <v>JOINT VENTURE OF 0 &amp; X</v>
      </c>
      <c r="B7" s="825"/>
      <c r="C7" s="825"/>
      <c r="D7" s="94" t="s">
        <v>1</v>
      </c>
    </row>
    <row r="8" spans="1:15" ht="18" customHeight="1">
      <c r="A8" s="821" t="str">
        <f>"Bidder’s Name and Address  (" &amp; MID('Names of Bidder'!B9,9, 20) &amp; ") :"</f>
        <v>Bidder’s Name and Address  (Lead Partner) :</v>
      </c>
      <c r="B8" s="821"/>
      <c r="C8" s="821"/>
      <c r="D8" s="95" t="str">
        <f>'Sch-1'!K8</f>
        <v>Contract Services</v>
      </c>
    </row>
    <row r="9" spans="1:15" ht="18" customHeight="1">
      <c r="A9" s="462" t="s">
        <v>12</v>
      </c>
      <c r="B9" s="462" t="str">
        <f>IF('Names of Bidder'!D9=0, "", 'Names of Bidder'!D9)</f>
        <v/>
      </c>
      <c r="C9" s="112"/>
      <c r="D9" s="95" t="str">
        <f>'Sch-1'!K9</f>
        <v>Power Grid Corporation of India Ltd.,</v>
      </c>
    </row>
    <row r="10" spans="1:15" ht="18" customHeight="1">
      <c r="A10" s="462" t="s">
        <v>11</v>
      </c>
      <c r="B10" s="596" t="str">
        <f>IF('Names of Bidder'!D10=0, "", 'Names of Bidder'!D10)</f>
        <v/>
      </c>
      <c r="C10" s="112"/>
      <c r="D10" s="95" t="str">
        <f>'Sch-1'!K10</f>
        <v>"Saudamini", Plot No.-2</v>
      </c>
    </row>
    <row r="11" spans="1:15" ht="18" customHeight="1">
      <c r="A11" s="409"/>
      <c r="B11" s="596" t="str">
        <f>IF('Names of Bidder'!D11=0, "", 'Names of Bidder'!D11)</f>
        <v/>
      </c>
      <c r="C11" s="112"/>
      <c r="D11" s="95" t="str">
        <f>'Sch-1'!K11</f>
        <v xml:space="preserve">Sector-29, </v>
      </c>
    </row>
    <row r="12" spans="1:15" ht="18" customHeight="1">
      <c r="A12" s="409"/>
      <c r="B12" s="596" t="str">
        <f>IF('Names of Bidder'!D12=0, "", 'Names of Bidder'!D12)</f>
        <v/>
      </c>
      <c r="C12" s="112"/>
      <c r="D12" s="95" t="str">
        <f>'Sch-1'!K12</f>
        <v>Gurgaon (Haryana) - 122001</v>
      </c>
    </row>
    <row r="13" spans="1:15" ht="8.1" customHeight="1" thickBot="1"/>
    <row r="14" spans="1:15" ht="21.95" customHeight="1">
      <c r="A14" s="662" t="s">
        <v>129</v>
      </c>
      <c r="B14" s="868" t="s">
        <v>130</v>
      </c>
      <c r="C14" s="868"/>
      <c r="D14" s="869" t="s">
        <v>131</v>
      </c>
      <c r="E14" s="870"/>
      <c r="I14" s="865"/>
      <c r="J14" s="865"/>
      <c r="K14" s="865"/>
      <c r="M14" s="858"/>
      <c r="N14" s="858"/>
      <c r="O14" s="858"/>
    </row>
    <row r="15" spans="1:15" ht="24.75" customHeight="1">
      <c r="A15" s="663" t="s">
        <v>134</v>
      </c>
      <c r="B15" s="859" t="s">
        <v>325</v>
      </c>
      <c r="C15" s="859"/>
      <c r="D15" s="877">
        <f>'Sch-1'!S94</f>
        <v>0</v>
      </c>
      <c r="E15" s="878"/>
      <c r="I15" s="388"/>
      <c r="K15" s="388"/>
      <c r="M15" s="388"/>
      <c r="O15" s="97"/>
    </row>
    <row r="16" spans="1:15" ht="81" customHeight="1">
      <c r="A16" s="664"/>
      <c r="B16" s="862" t="s">
        <v>326</v>
      </c>
      <c r="C16" s="862"/>
      <c r="D16" s="879"/>
      <c r="E16" s="880"/>
      <c r="G16" s="98"/>
    </row>
    <row r="17" spans="1:15" ht="24.75" customHeight="1">
      <c r="A17" s="663" t="s">
        <v>136</v>
      </c>
      <c r="B17" s="859" t="s">
        <v>327</v>
      </c>
      <c r="C17" s="859"/>
      <c r="D17" s="860">
        <f>'Sch-3'!U44</f>
        <v>0</v>
      </c>
      <c r="E17" s="861"/>
      <c r="I17" s="388"/>
      <c r="K17" s="389"/>
      <c r="M17" s="388"/>
      <c r="O17" s="100"/>
    </row>
    <row r="18" spans="1:15" ht="81.75" customHeight="1">
      <c r="A18" s="664"/>
      <c r="B18" s="862" t="s">
        <v>328</v>
      </c>
      <c r="C18" s="862"/>
      <c r="D18" s="881"/>
      <c r="E18" s="882"/>
      <c r="G18" s="101"/>
      <c r="I18" s="390"/>
      <c r="M18" s="390"/>
    </row>
    <row r="19" spans="1:15" ht="33" customHeight="1" thickBot="1">
      <c r="A19" s="665"/>
      <c r="B19" s="666" t="s">
        <v>331</v>
      </c>
      <c r="C19" s="667"/>
      <c r="D19" s="873">
        <f>D15+D17</f>
        <v>0</v>
      </c>
      <c r="E19" s="874"/>
    </row>
    <row r="20" spans="1:15" ht="30" customHeight="1">
      <c r="A20" s="102"/>
      <c r="B20" s="102"/>
      <c r="C20" s="103"/>
      <c r="D20" s="102"/>
      <c r="E20" s="102"/>
    </row>
    <row r="21" spans="1:15" ht="30" customHeight="1">
      <c r="A21" s="104" t="s">
        <v>142</v>
      </c>
      <c r="B21" s="670" t="str">
        <f>'Sch-5'!B21</f>
        <v xml:space="preserve">  </v>
      </c>
      <c r="C21" s="103" t="s">
        <v>143</v>
      </c>
      <c r="D21" s="883" t="str">
        <f>'Sch-5'!D21</f>
        <v/>
      </c>
      <c r="E21" s="883"/>
      <c r="F21" s="105"/>
    </row>
    <row r="22" spans="1:15" ht="30" customHeight="1">
      <c r="A22" s="104" t="s">
        <v>144</v>
      </c>
      <c r="B22" s="671" t="str">
        <f>'Sch-5'!B22</f>
        <v/>
      </c>
      <c r="C22" s="103" t="s">
        <v>145</v>
      </c>
      <c r="D22" s="883" t="str">
        <f>'Sch-5'!D22</f>
        <v/>
      </c>
      <c r="E22" s="883"/>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CCA37BAE-906F-43D5-9FD9-B13563E4B9D7}" showPageBreaks="1" printArea="1" view="pageBreakPreview" topLeftCell="A7">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ignoredErrors>
    <ignoredError sqref="D15" evalError="1"/>
  </ignoredError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Normal="100" zoomScaleSheetLayoutView="100" workbookViewId="0">
      <selection activeCell="D25" sqref="D2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5002002223/GIS-EXCLUDING/DOM/A00 - CC CS -1</v>
      </c>
      <c r="B1" s="114"/>
      <c r="C1" s="115"/>
      <c r="D1" s="116" t="s">
        <v>146</v>
      </c>
    </row>
    <row r="2" spans="1:6" ht="18" customHeight="1">
      <c r="A2" s="117"/>
      <c r="B2" s="118"/>
      <c r="C2" s="119"/>
      <c r="D2" s="119"/>
    </row>
    <row r="3" spans="1:6" ht="126.75" customHeight="1">
      <c r="A3" s="866" t="str">
        <f>Cover!$B$2</f>
        <v xml:space="preserve">Substation Package SS-92 for Extension of 400/220kV GIS Indore S/S under Transmission System associated with Scheme to control fault level at Indore Substation in Western Region
</v>
      </c>
      <c r="B3" s="866"/>
      <c r="C3" s="866"/>
      <c r="D3" s="866"/>
      <c r="E3" s="120"/>
      <c r="F3" s="120"/>
    </row>
    <row r="4" spans="1:6" ht="21.95" customHeight="1">
      <c r="A4" s="867" t="s">
        <v>147</v>
      </c>
      <c r="B4" s="867"/>
      <c r="C4" s="867"/>
      <c r="D4" s="867"/>
    </row>
    <row r="5" spans="1:6" ht="18" customHeight="1">
      <c r="A5" s="121"/>
    </row>
    <row r="6" spans="1:6" ht="18" customHeight="1">
      <c r="A6" s="820" t="s">
        <v>350</v>
      </c>
      <c r="B6" s="820"/>
      <c r="C6" s="4"/>
    </row>
    <row r="7" spans="1:6" ht="18" customHeight="1">
      <c r="A7" s="825" t="str">
        <f>'Sch-1'!A7</f>
        <v>JOINT VENTURE OF 0 &amp; X</v>
      </c>
      <c r="B7" s="825"/>
      <c r="C7" s="825"/>
      <c r="D7" s="94" t="s">
        <v>1</v>
      </c>
    </row>
    <row r="8" spans="1:6" ht="21.75" customHeight="1">
      <c r="A8" s="821" t="str">
        <f>"Bidder’s Name and Address  (" &amp; MID('Names of Bidder'!B9,9, 20) &amp; ") :"</f>
        <v>Bidder’s Name and Address  (Lead Partner) :</v>
      </c>
      <c r="B8" s="821"/>
      <c r="C8" s="821"/>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84" t="s">
        <v>14</v>
      </c>
      <c r="C14" s="885"/>
      <c r="D14" s="652" t="s">
        <v>131</v>
      </c>
    </row>
    <row r="15" spans="1:6" ht="21.95" customHeight="1">
      <c r="A15" s="653" t="s">
        <v>134</v>
      </c>
      <c r="B15" s="886" t="s">
        <v>148</v>
      </c>
      <c r="C15" s="886"/>
      <c r="D15" s="654">
        <f>'Sch-1'!N94</f>
        <v>0</v>
      </c>
    </row>
    <row r="16" spans="1:6" ht="35.1" customHeight="1">
      <c r="A16" s="655"/>
      <c r="B16" s="887" t="s">
        <v>149</v>
      </c>
      <c r="C16" s="888"/>
      <c r="D16" s="656"/>
    </row>
    <row r="17" spans="1:6" ht="21.95" customHeight="1">
      <c r="A17" s="653" t="s">
        <v>136</v>
      </c>
      <c r="B17" s="886" t="s">
        <v>150</v>
      </c>
      <c r="C17" s="886"/>
      <c r="D17" s="654">
        <f>'Sch-2'!J94</f>
        <v>0</v>
      </c>
    </row>
    <row r="18" spans="1:6" ht="35.1" customHeight="1">
      <c r="A18" s="655"/>
      <c r="B18" s="887" t="s">
        <v>312</v>
      </c>
      <c r="C18" s="888"/>
      <c r="D18" s="656"/>
    </row>
    <row r="19" spans="1:6" ht="21.95" customHeight="1">
      <c r="A19" s="653" t="s">
        <v>138</v>
      </c>
      <c r="B19" s="886" t="s">
        <v>152</v>
      </c>
      <c r="C19" s="886"/>
      <c r="D19" s="654">
        <f>'Sch-3'!P44</f>
        <v>0</v>
      </c>
    </row>
    <row r="20" spans="1:6" ht="30" customHeight="1">
      <c r="A20" s="655"/>
      <c r="B20" s="887" t="s">
        <v>153</v>
      </c>
      <c r="C20" s="888"/>
      <c r="D20" s="656"/>
    </row>
    <row r="21" spans="1:6" ht="21.95" customHeight="1">
      <c r="A21" s="653" t="s">
        <v>139</v>
      </c>
      <c r="B21" s="886" t="s">
        <v>154</v>
      </c>
      <c r="C21" s="886"/>
      <c r="D21" s="657" t="s">
        <v>339</v>
      </c>
    </row>
    <row r="22" spans="1:6" ht="30" customHeight="1">
      <c r="A22" s="655"/>
      <c r="B22" s="887" t="s">
        <v>155</v>
      </c>
      <c r="C22" s="888"/>
      <c r="D22" s="656"/>
    </row>
    <row r="23" spans="1:6" ht="30" customHeight="1">
      <c r="A23" s="653">
        <v>5</v>
      </c>
      <c r="B23" s="886" t="s">
        <v>156</v>
      </c>
      <c r="C23" s="886"/>
      <c r="D23" s="654">
        <f>'Sch-5'!D19:E19</f>
        <v>0</v>
      </c>
    </row>
    <row r="24" spans="1:6" ht="23.25" customHeight="1">
      <c r="A24" s="655"/>
      <c r="B24" s="887" t="s">
        <v>157</v>
      </c>
      <c r="C24" s="888"/>
      <c r="D24" s="658"/>
    </row>
    <row r="25" spans="1:6" ht="21.95" customHeight="1">
      <c r="A25" s="653" t="s">
        <v>141</v>
      </c>
      <c r="B25" s="886" t="s">
        <v>158</v>
      </c>
      <c r="C25" s="886"/>
      <c r="D25" s="657" t="s">
        <v>339</v>
      </c>
    </row>
    <row r="26" spans="1:6" ht="35.1" customHeight="1">
      <c r="A26" s="655"/>
      <c r="B26" s="887" t="s">
        <v>159</v>
      </c>
      <c r="C26" s="888"/>
      <c r="D26" s="656"/>
    </row>
    <row r="27" spans="1:6" ht="18.75" customHeight="1">
      <c r="A27" s="889"/>
      <c r="B27" s="891" t="s">
        <v>347</v>
      </c>
      <c r="C27" s="891"/>
      <c r="D27" s="659"/>
    </row>
    <row r="28" spans="1:6" ht="18.75" customHeight="1" thickBot="1">
      <c r="A28" s="890"/>
      <c r="B28" s="892"/>
      <c r="C28" s="892"/>
      <c r="D28" s="660">
        <f>D15+D17+D19+D23</f>
        <v>0</v>
      </c>
    </row>
    <row r="29" spans="1:6" ht="18.75" customHeight="1">
      <c r="A29" s="132"/>
      <c r="B29" s="133"/>
      <c r="C29" s="133"/>
      <c r="D29" s="134"/>
    </row>
    <row r="30" spans="1:6" ht="27.95" customHeight="1">
      <c r="A30" s="132"/>
      <c r="B30" s="135"/>
      <c r="C30" s="135"/>
      <c r="D30" s="134"/>
    </row>
    <row r="31" spans="1:6" ht="27.95" customHeight="1">
      <c r="A31" s="136" t="s">
        <v>161</v>
      </c>
      <c r="B31" s="670" t="str">
        <f>'Sch-5 after discount'!B21</f>
        <v xml:space="preserve">  </v>
      </c>
      <c r="C31" s="135" t="s">
        <v>143</v>
      </c>
      <c r="D31" s="730" t="str">
        <f>'Sch-5 after discount'!D21</f>
        <v/>
      </c>
      <c r="F31" s="137"/>
    </row>
    <row r="32" spans="1:6" ht="27.95" customHeight="1">
      <c r="A32" s="136" t="s">
        <v>162</v>
      </c>
      <c r="B32" s="671" t="str">
        <f>'Sch-5 after discount'!B22</f>
        <v/>
      </c>
      <c r="C32" s="135" t="s">
        <v>145</v>
      </c>
      <c r="D32" s="730"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CCA37BAE-906F-43D5-9FD9-B13563E4B9D7}" showPageBreaks="1" printArea="1" view="pageBreakPreview" topLeftCell="A10">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view="pageBreakPreview" topLeftCell="A13">
      <selection activeCell="D25" sqref="D2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5002002223/GIS-EXCLUDING/DOM/A00 - CC CS -1</v>
      </c>
      <c r="B1" s="114"/>
      <c r="C1" s="115"/>
      <c r="D1" s="116" t="s">
        <v>163</v>
      </c>
    </row>
    <row r="2" spans="1:6" ht="18" customHeight="1">
      <c r="A2" s="117"/>
      <c r="B2" s="118"/>
      <c r="C2" s="119"/>
      <c r="D2" s="119"/>
    </row>
    <row r="3" spans="1:6" ht="73.5" customHeight="1">
      <c r="A3" s="898" t="str">
        <f>Cover!$B$2</f>
        <v xml:space="preserve">Substation Package SS-92 for Extension of 400/220kV GIS Indore S/S under Transmission System associated with Scheme to control fault level at Indore Substation in Western Region
</v>
      </c>
      <c r="B3" s="898"/>
      <c r="C3" s="898"/>
      <c r="D3" s="898"/>
      <c r="E3" s="120"/>
      <c r="F3" s="120"/>
    </row>
    <row r="4" spans="1:6" ht="21.95" customHeight="1">
      <c r="A4" s="867" t="s">
        <v>147</v>
      </c>
      <c r="B4" s="867"/>
      <c r="C4" s="867"/>
      <c r="D4" s="867"/>
    </row>
    <row r="5" spans="1:6" ht="18" customHeight="1">
      <c r="A5" s="121"/>
    </row>
    <row r="6" spans="1:6" ht="18" customHeight="1">
      <c r="A6" s="25" t="e">
        <f>'Sch-1'!#REF!</f>
        <v>#REF!</v>
      </c>
      <c r="D6" s="94" t="s">
        <v>1</v>
      </c>
    </row>
    <row r="7" spans="1:6" ht="36" customHeight="1">
      <c r="A7" s="899" t="str">
        <f>'Sch-1'!A8</f>
        <v>Bidder’s Name and Address  (Lead Partner) :</v>
      </c>
      <c r="B7" s="899"/>
      <c r="C7" s="899"/>
      <c r="D7" s="95" t="str">
        <f>'Sch-1'!K8</f>
        <v>Contract Services</v>
      </c>
    </row>
    <row r="8" spans="1:6" ht="18" customHeight="1">
      <c r="A8" s="29" t="s">
        <v>30</v>
      </c>
      <c r="B8" s="897" t="str">
        <f>IF('Sch-1'!C9=0, "", 'Sch-1'!C9)</f>
        <v/>
      </c>
      <c r="C8" s="897"/>
      <c r="D8" s="95" t="str">
        <f>'Sch-1'!K9</f>
        <v>Power Grid Corporation of India Ltd.,</v>
      </c>
    </row>
    <row r="9" spans="1:6" ht="18" customHeight="1">
      <c r="A9" s="29" t="s">
        <v>31</v>
      </c>
      <c r="B9" s="897" t="str">
        <f>IF('Sch-1'!C10=0, "", 'Sch-1'!C10)</f>
        <v/>
      </c>
      <c r="C9" s="897"/>
      <c r="D9" s="95" t="str">
        <f>'Sch-1'!K10</f>
        <v>"Saudamini", Plot No.-2</v>
      </c>
    </row>
    <row r="10" spans="1:6" ht="18" customHeight="1">
      <c r="A10" s="30"/>
      <c r="B10" s="897" t="str">
        <f>IF('Sch-1'!C11=0, "", 'Sch-1'!C11)</f>
        <v/>
      </c>
      <c r="C10" s="897"/>
      <c r="D10" s="95" t="str">
        <f>'Sch-1'!K11</f>
        <v xml:space="preserve">Sector-29, </v>
      </c>
    </row>
    <row r="11" spans="1:6" ht="18" customHeight="1">
      <c r="A11" s="30"/>
      <c r="B11" s="897" t="str">
        <f>IF('Sch-1'!C12=0, "", 'Sch-1'!C12)</f>
        <v/>
      </c>
      <c r="C11" s="897"/>
      <c r="D11" s="95" t="str">
        <f>'Sch-1'!K12</f>
        <v>Gurgaon (Haryana) - 122001</v>
      </c>
    </row>
    <row r="12" spans="1:6" ht="18" customHeight="1">
      <c r="A12" s="122"/>
      <c r="B12" s="122"/>
      <c r="C12" s="122"/>
      <c r="D12" s="123"/>
    </row>
    <row r="13" spans="1:6" ht="21.95" customHeight="1">
      <c r="A13" s="124" t="s">
        <v>129</v>
      </c>
      <c r="B13" s="893" t="s">
        <v>14</v>
      </c>
      <c r="C13" s="894"/>
      <c r="D13" s="125" t="s">
        <v>131</v>
      </c>
    </row>
    <row r="14" spans="1:6" ht="21.95" customHeight="1">
      <c r="A14" s="96" t="s">
        <v>134</v>
      </c>
      <c r="B14" s="886" t="s">
        <v>148</v>
      </c>
      <c r="C14" s="886"/>
      <c r="D14" s="126"/>
    </row>
    <row r="15" spans="1:6" ht="35.1" customHeight="1">
      <c r="A15" s="127"/>
      <c r="B15" s="887" t="s">
        <v>149</v>
      </c>
      <c r="C15" s="888"/>
      <c r="D15" s="128"/>
    </row>
    <row r="16" spans="1:6" ht="21.95" customHeight="1">
      <c r="A16" s="96" t="s">
        <v>136</v>
      </c>
      <c r="B16" s="886" t="s">
        <v>150</v>
      </c>
      <c r="C16" s="886"/>
      <c r="D16" s="126"/>
    </row>
    <row r="17" spans="1:6" ht="35.1" customHeight="1">
      <c r="A17" s="127"/>
      <c r="B17" s="887" t="s">
        <v>151</v>
      </c>
      <c r="C17" s="888"/>
      <c r="D17" s="128"/>
    </row>
    <row r="18" spans="1:6" ht="21.95" customHeight="1">
      <c r="A18" s="96" t="s">
        <v>138</v>
      </c>
      <c r="B18" s="886" t="s">
        <v>152</v>
      </c>
      <c r="C18" s="886"/>
      <c r="D18" s="126"/>
    </row>
    <row r="19" spans="1:6" ht="30" customHeight="1">
      <c r="A19" s="127"/>
      <c r="B19" s="887" t="s">
        <v>153</v>
      </c>
      <c r="C19" s="888"/>
      <c r="D19" s="128"/>
    </row>
    <row r="20" spans="1:6" ht="21.95" customHeight="1">
      <c r="A20" s="96" t="s">
        <v>139</v>
      </c>
      <c r="B20" s="886" t="s">
        <v>154</v>
      </c>
      <c r="C20" s="886"/>
      <c r="D20" s="129"/>
    </row>
    <row r="21" spans="1:6" ht="30" customHeight="1">
      <c r="A21" s="127"/>
      <c r="B21" s="887" t="s">
        <v>155</v>
      </c>
      <c r="C21" s="888"/>
      <c r="D21" s="128"/>
    </row>
    <row r="22" spans="1:6" ht="30" customHeight="1">
      <c r="A22" s="96">
        <v>5</v>
      </c>
      <c r="B22" s="886" t="s">
        <v>156</v>
      </c>
      <c r="C22" s="886"/>
      <c r="D22" s="126"/>
    </row>
    <row r="23" spans="1:6" ht="33" customHeight="1">
      <c r="A23" s="127"/>
      <c r="B23" s="887" t="s">
        <v>157</v>
      </c>
      <c r="C23" s="888"/>
      <c r="D23" s="143"/>
    </row>
    <row r="24" spans="1:6" ht="21.95" customHeight="1">
      <c r="A24" s="96" t="s">
        <v>141</v>
      </c>
      <c r="B24" s="886" t="s">
        <v>158</v>
      </c>
      <c r="C24" s="886"/>
      <c r="D24" s="129"/>
    </row>
    <row r="25" spans="1:6" ht="35.1" customHeight="1">
      <c r="A25" s="127"/>
      <c r="B25" s="887" t="s">
        <v>159</v>
      </c>
      <c r="C25" s="888"/>
      <c r="D25" s="128"/>
    </row>
    <row r="26" spans="1:6" ht="24" customHeight="1">
      <c r="A26" s="895"/>
      <c r="B26" s="896" t="s">
        <v>160</v>
      </c>
      <c r="C26" s="896"/>
      <c r="D26" s="130"/>
    </row>
    <row r="27" spans="1:6" ht="25.5" customHeight="1">
      <c r="A27" s="895"/>
      <c r="B27" s="896"/>
      <c r="C27" s="896"/>
      <c r="D27" s="131"/>
    </row>
    <row r="28" spans="1:6" ht="18.75" customHeight="1">
      <c r="A28" s="132"/>
      <c r="B28" s="133"/>
      <c r="C28" s="133"/>
      <c r="D28" s="134"/>
    </row>
    <row r="29" spans="1:6" ht="27.95" customHeight="1">
      <c r="A29" s="132"/>
      <c r="B29" s="133"/>
      <c r="C29" s="135"/>
      <c r="D29" s="134"/>
    </row>
    <row r="30" spans="1:6" ht="27.95" customHeight="1">
      <c r="A30" s="136" t="s">
        <v>161</v>
      </c>
      <c r="B30" s="99"/>
      <c r="C30" s="135" t="s">
        <v>143</v>
      </c>
      <c r="D30" s="99"/>
      <c r="F30" s="137"/>
    </row>
    <row r="31" spans="1:6" ht="27.95" customHeight="1">
      <c r="A31" s="136" t="s">
        <v>162</v>
      </c>
      <c r="B31" s="99"/>
      <c r="C31" s="135" t="s">
        <v>145</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M27" sqref="M27"/>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5002002223/GIS-EXCLUDING/DOM/A00 - CC CS -1</v>
      </c>
      <c r="B1" s="114"/>
      <c r="C1" s="115"/>
      <c r="D1" s="116" t="s">
        <v>480</v>
      </c>
    </row>
    <row r="2" spans="1:6" ht="18" customHeight="1">
      <c r="A2" s="117"/>
      <c r="B2" s="118"/>
      <c r="C2" s="119"/>
      <c r="D2" s="119"/>
    </row>
    <row r="3" spans="1:6" ht="51" customHeight="1">
      <c r="A3" s="866" t="str">
        <f>Cover!$B$2</f>
        <v xml:space="preserve">Substation Package SS-92 for Extension of 400/220kV GIS Indore S/S under Transmission System associated with Scheme to control fault level at Indore Substation in Western Region
</v>
      </c>
      <c r="B3" s="866"/>
      <c r="C3" s="866"/>
      <c r="D3" s="866"/>
      <c r="E3" s="120"/>
      <c r="F3" s="120"/>
    </row>
    <row r="4" spans="1:6" ht="21.95" customHeight="1">
      <c r="A4" s="867" t="s">
        <v>147</v>
      </c>
      <c r="B4" s="867"/>
      <c r="C4" s="867"/>
      <c r="D4" s="867"/>
    </row>
    <row r="5" spans="1:6" ht="18" customHeight="1">
      <c r="A5" s="121"/>
    </row>
    <row r="6" spans="1:6" ht="18" customHeight="1">
      <c r="A6" s="820" t="s">
        <v>350</v>
      </c>
      <c r="B6" s="820"/>
      <c r="C6" s="4"/>
    </row>
    <row r="7" spans="1:6" ht="18" customHeight="1">
      <c r="A7" s="825" t="str">
        <f>'Sch-1'!A7</f>
        <v>JOINT VENTURE OF 0 &amp; X</v>
      </c>
      <c r="B7" s="825"/>
      <c r="C7" s="825"/>
      <c r="D7" s="94" t="s">
        <v>1</v>
      </c>
    </row>
    <row r="8" spans="1:6" ht="22.5" customHeight="1">
      <c r="A8" s="821" t="str">
        <f>"Bidder’s Name and Address  (" &amp; MID('Names of Bidder'!B9,9, 20) &amp; ") :"</f>
        <v>Bidder’s Name and Address  (Lead Partner) :</v>
      </c>
      <c r="B8" s="821"/>
      <c r="C8" s="821"/>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84" t="s">
        <v>14</v>
      </c>
      <c r="C14" s="885"/>
      <c r="D14" s="652" t="s">
        <v>131</v>
      </c>
      <c r="E14" s="624" t="s">
        <v>361</v>
      </c>
      <c r="F14" s="625" t="s">
        <v>360</v>
      </c>
    </row>
    <row r="15" spans="1:6" ht="21.95" customHeight="1">
      <c r="A15" s="653" t="s">
        <v>134</v>
      </c>
      <c r="B15" s="886" t="s">
        <v>148</v>
      </c>
      <c r="C15" s="886"/>
      <c r="D15" s="654">
        <f>E15*F15</f>
        <v>0</v>
      </c>
      <c r="E15" s="626">
        <f>'Sch-6'!D15</f>
        <v>0</v>
      </c>
      <c r="F15" s="647">
        <f>IF(Discount!H36&lt;0,0,Discount!H36)</f>
        <v>0</v>
      </c>
    </row>
    <row r="16" spans="1:6" ht="35.1" customHeight="1">
      <c r="A16" s="655"/>
      <c r="B16" s="887" t="s">
        <v>149</v>
      </c>
      <c r="C16" s="888"/>
      <c r="D16" s="656"/>
      <c r="E16" s="628"/>
      <c r="F16" s="647"/>
    </row>
    <row r="17" spans="1:6" ht="21.95" customHeight="1">
      <c r="A17" s="653" t="s">
        <v>136</v>
      </c>
      <c r="B17" s="886" t="s">
        <v>150</v>
      </c>
      <c r="C17" s="886"/>
      <c r="D17" s="654">
        <f>E17*F17</f>
        <v>0</v>
      </c>
      <c r="E17" s="626">
        <f>'Sch-6'!D17</f>
        <v>0</v>
      </c>
      <c r="F17" s="647">
        <f>IF(Discount!I36&lt;0,0,Discount!I36)</f>
        <v>0</v>
      </c>
    </row>
    <row r="18" spans="1:6" ht="35.1" customHeight="1">
      <c r="A18" s="655"/>
      <c r="B18" s="887" t="s">
        <v>312</v>
      </c>
      <c r="C18" s="888"/>
      <c r="D18" s="656"/>
      <c r="E18" s="628"/>
      <c r="F18" s="647"/>
    </row>
    <row r="19" spans="1:6" ht="21.95" customHeight="1">
      <c r="A19" s="653" t="s">
        <v>138</v>
      </c>
      <c r="B19" s="886" t="s">
        <v>152</v>
      </c>
      <c r="C19" s="886"/>
      <c r="D19" s="654">
        <f>E19*F19</f>
        <v>0</v>
      </c>
      <c r="E19" s="626">
        <f>'Sch-6'!D19</f>
        <v>0</v>
      </c>
      <c r="F19" s="647">
        <f>IF(Discount!J36&lt;0,0,Discount!J36)</f>
        <v>0</v>
      </c>
    </row>
    <row r="20" spans="1:6" ht="30" customHeight="1">
      <c r="A20" s="655"/>
      <c r="B20" s="887" t="s">
        <v>153</v>
      </c>
      <c r="C20" s="888"/>
      <c r="D20" s="656"/>
      <c r="E20" s="628"/>
      <c r="F20" s="627"/>
    </row>
    <row r="21" spans="1:6" ht="21.95" customHeight="1">
      <c r="A21" s="653" t="s">
        <v>139</v>
      </c>
      <c r="B21" s="886" t="s">
        <v>154</v>
      </c>
      <c r="C21" s="886"/>
      <c r="D21" s="657" t="s">
        <v>339</v>
      </c>
      <c r="E21" s="628"/>
      <c r="F21" s="627"/>
    </row>
    <row r="22" spans="1:6" ht="30" customHeight="1">
      <c r="A22" s="655"/>
      <c r="B22" s="887" t="s">
        <v>155</v>
      </c>
      <c r="C22" s="888"/>
      <c r="D22" s="656"/>
      <c r="E22" s="628"/>
      <c r="F22" s="627"/>
    </row>
    <row r="23" spans="1:6" ht="30" customHeight="1">
      <c r="A23" s="653">
        <v>5</v>
      </c>
      <c r="B23" s="886" t="s">
        <v>156</v>
      </c>
      <c r="C23" s="886"/>
      <c r="D23" s="654">
        <f>IF('Sch-5 after discount'!D19&lt;0,0,'Sch-5 after discount'!D19)</f>
        <v>0</v>
      </c>
      <c r="E23" s="628"/>
      <c r="F23" s="627"/>
    </row>
    <row r="24" spans="1:6" ht="25.5" customHeight="1">
      <c r="A24" s="655"/>
      <c r="B24" s="887" t="s">
        <v>157</v>
      </c>
      <c r="C24" s="888"/>
      <c r="D24" s="658"/>
      <c r="E24" s="628"/>
      <c r="F24" s="627"/>
    </row>
    <row r="25" spans="1:6" ht="21.95" customHeight="1">
      <c r="A25" s="653" t="s">
        <v>141</v>
      </c>
      <c r="B25" s="886" t="s">
        <v>158</v>
      </c>
      <c r="C25" s="886"/>
      <c r="D25" s="657" t="s">
        <v>339</v>
      </c>
      <c r="E25" s="628"/>
      <c r="F25" s="627"/>
    </row>
    <row r="26" spans="1:6" ht="35.1" customHeight="1">
      <c r="A26" s="655"/>
      <c r="B26" s="887" t="s">
        <v>159</v>
      </c>
      <c r="C26" s="888"/>
      <c r="D26" s="656"/>
      <c r="E26" s="628"/>
      <c r="F26" s="627"/>
    </row>
    <row r="27" spans="1:6" ht="18.75" customHeight="1">
      <c r="A27" s="889"/>
      <c r="B27" s="891" t="s">
        <v>347</v>
      </c>
      <c r="C27" s="891"/>
      <c r="D27" s="661"/>
      <c r="E27" s="628"/>
      <c r="F27" s="627"/>
    </row>
    <row r="28" spans="1:6" ht="18.75" customHeight="1" thickBot="1">
      <c r="A28" s="890"/>
      <c r="B28" s="892"/>
      <c r="C28" s="892"/>
      <c r="D28" s="660">
        <f>SUM(D15:D26)</f>
        <v>0</v>
      </c>
      <c r="E28" s="629"/>
      <c r="F28" s="630"/>
    </row>
    <row r="29" spans="1:6" ht="18.75" customHeight="1">
      <c r="A29" s="132"/>
      <c r="B29" s="133"/>
      <c r="C29" s="133"/>
      <c r="D29" s="134"/>
    </row>
    <row r="30" spans="1:6" ht="27.95" customHeight="1">
      <c r="A30" s="132"/>
      <c r="B30" s="135"/>
      <c r="C30" s="135"/>
      <c r="D30" s="134"/>
    </row>
    <row r="31" spans="1:6" ht="27.95" customHeight="1">
      <c r="A31" s="136" t="s">
        <v>161</v>
      </c>
      <c r="B31" s="670" t="str">
        <f>'Sch-6'!B31</f>
        <v xml:space="preserve">  </v>
      </c>
      <c r="C31" s="135" t="s">
        <v>143</v>
      </c>
      <c r="D31" s="731" t="str">
        <f>'Sch-6'!D31</f>
        <v/>
      </c>
      <c r="F31" s="137"/>
    </row>
    <row r="32" spans="1:6" ht="27.95" customHeight="1">
      <c r="A32" s="136" t="s">
        <v>162</v>
      </c>
      <c r="B32" s="671" t="str">
        <f>'Sch-6'!B32</f>
        <v/>
      </c>
      <c r="C32" s="135" t="s">
        <v>145</v>
      </c>
      <c r="D32" s="731"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CCA37BAE-906F-43D5-9FD9-B13563E4B9D7}" showPageBreaks="1" printArea="1" hiddenColumns="1" view="pageBreakPreview" topLeftCell="A13">
      <selection activeCell="M27" sqref="M27"/>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6" sqref="A16"/>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Spec. No.: 5002002223/GIS-EXCLUDING/DOM/A00 - CC CS -1</v>
      </c>
      <c r="B1" s="300"/>
      <c r="C1" s="300"/>
      <c r="D1" s="300"/>
      <c r="E1" s="300"/>
      <c r="F1" s="300"/>
      <c r="G1" s="300"/>
      <c r="H1" s="300"/>
      <c r="I1" s="395"/>
      <c r="J1" s="301"/>
      <c r="K1" s="301"/>
      <c r="L1" s="301"/>
      <c r="M1" s="302" t="s">
        <v>29</v>
      </c>
    </row>
    <row r="2" spans="1:100" s="304" customFormat="1" ht="12.75" customHeight="1">
      <c r="A2" s="305"/>
      <c r="B2" s="305"/>
      <c r="C2" s="305"/>
      <c r="D2" s="305"/>
      <c r="E2" s="305"/>
      <c r="F2" s="305"/>
      <c r="G2" s="305"/>
      <c r="H2" s="305"/>
      <c r="I2" s="396"/>
      <c r="J2" s="306"/>
      <c r="K2" s="306"/>
      <c r="L2" s="306"/>
      <c r="M2" s="306"/>
    </row>
    <row r="3" spans="1:100" s="304" customFormat="1" ht="101.25" customHeight="1">
      <c r="A3" s="916" t="str">
        <f>Cover!$B$2</f>
        <v xml:space="preserve">Substation Package SS-92 for Extension of 400/220kV GIS Indore S/S under Transmission System associated with Scheme to control fault level at Indore Substation in Western Region
</v>
      </c>
      <c r="B3" s="916"/>
      <c r="C3" s="916"/>
      <c r="D3" s="916"/>
      <c r="E3" s="916"/>
      <c r="F3" s="916"/>
      <c r="G3" s="916"/>
      <c r="H3" s="916"/>
      <c r="I3" s="916"/>
      <c r="J3" s="916"/>
      <c r="K3" s="916"/>
      <c r="L3" s="916"/>
      <c r="M3" s="916"/>
      <c r="AA3" s="304" t="s">
        <v>17</v>
      </c>
      <c r="AC3" s="304">
        <f>IF(ISERROR(#REF!/('[6]Sch-6'!D14+'[6]Sch-6'!D16+'[6]Sch-6'!D18)),0,#REF!/( '[6]Sch-6'!D14+'[6]Sch-6'!D16+'[6]Sch-6'!D18))</f>
        <v>0</v>
      </c>
    </row>
    <row r="4" spans="1:100" s="304" customFormat="1" ht="21.95" customHeight="1">
      <c r="A4" s="917" t="s">
        <v>18</v>
      </c>
      <c r="B4" s="917"/>
      <c r="C4" s="917"/>
      <c r="D4" s="917"/>
      <c r="E4" s="917"/>
      <c r="F4" s="917"/>
      <c r="G4" s="917"/>
      <c r="H4" s="917"/>
      <c r="I4" s="917"/>
      <c r="J4" s="917"/>
      <c r="K4" s="917"/>
      <c r="L4" s="917"/>
      <c r="M4" s="917"/>
      <c r="AA4" s="304" t="s">
        <v>19</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599"/>
      <c r="B6" s="820" t="s">
        <v>350</v>
      </c>
      <c r="C6" s="820"/>
      <c r="D6" s="4"/>
      <c r="E6" s="466"/>
      <c r="F6" s="466"/>
      <c r="G6" s="466"/>
      <c r="H6" s="466"/>
      <c r="I6" s="397"/>
      <c r="K6" s="308"/>
      <c r="L6" s="307"/>
      <c r="M6" s="466"/>
    </row>
    <row r="7" spans="1:100" s="304" customFormat="1" ht="27.95" customHeight="1">
      <c r="A7" s="595"/>
      <c r="B7" s="825" t="str">
        <f>'Sch-1'!A7</f>
        <v>JOINT VENTURE OF 0 &amp; X</v>
      </c>
      <c r="C7" s="825"/>
      <c r="D7" s="825"/>
      <c r="E7" s="825"/>
      <c r="F7" s="825"/>
      <c r="G7" s="825"/>
      <c r="H7" s="825"/>
      <c r="I7" s="397"/>
      <c r="K7" s="308"/>
      <c r="L7" s="307"/>
      <c r="M7" s="466"/>
    </row>
    <row r="8" spans="1:100" s="524" customFormat="1" ht="16.5" customHeight="1">
      <c r="A8" s="598"/>
      <c r="B8" s="821" t="str">
        <f>'Sch-1'!A8</f>
        <v>Bidder’s Name and Address  (Lead Partner) :</v>
      </c>
      <c r="C8" s="821"/>
      <c r="D8" s="821"/>
      <c r="E8" s="821"/>
      <c r="F8" s="821"/>
      <c r="G8" s="821"/>
      <c r="H8" s="821"/>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4" customFormat="1">
      <c r="A9" s="462"/>
      <c r="B9" s="462" t="s">
        <v>12</v>
      </c>
      <c r="C9" s="824" t="str">
        <f>'Sch-1'!C9</f>
        <v/>
      </c>
      <c r="D9" s="824"/>
      <c r="E9" s="824"/>
      <c r="F9" s="824"/>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4" customFormat="1">
      <c r="A10" s="462"/>
      <c r="B10" s="462" t="s">
        <v>11</v>
      </c>
      <c r="C10" s="823" t="str">
        <f>'Sch-1'!C10</f>
        <v/>
      </c>
      <c r="D10" s="823"/>
      <c r="E10" s="823"/>
      <c r="F10" s="823"/>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4" customFormat="1">
      <c r="A11" s="409"/>
      <c r="B11" s="409"/>
      <c r="C11" s="823" t="str">
        <f>'Sch-1'!C11</f>
        <v/>
      </c>
      <c r="D11" s="823"/>
      <c r="E11" s="823"/>
      <c r="F11" s="823"/>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4" customFormat="1">
      <c r="A12" s="409"/>
      <c r="B12" s="409"/>
      <c r="C12" s="823" t="str">
        <f>'Sch-1'!C12</f>
        <v/>
      </c>
      <c r="D12" s="823"/>
      <c r="E12" s="823"/>
      <c r="F12" s="823"/>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07" t="s">
        <v>32</v>
      </c>
      <c r="B14" s="907"/>
      <c r="C14" s="907"/>
      <c r="D14" s="907"/>
      <c r="E14" s="907"/>
      <c r="F14" s="907"/>
      <c r="G14" s="907"/>
      <c r="H14" s="907"/>
      <c r="I14" s="907"/>
      <c r="J14" s="907"/>
      <c r="K14" s="907"/>
      <c r="L14" s="907"/>
      <c r="M14" s="907"/>
    </row>
    <row r="15" spans="1:100" s="304" customFormat="1" ht="115.5" customHeight="1">
      <c r="A15" s="521" t="s">
        <v>33</v>
      </c>
      <c r="B15" s="391" t="s">
        <v>266</v>
      </c>
      <c r="C15" s="391" t="s">
        <v>267</v>
      </c>
      <c r="D15" s="521" t="s">
        <v>39</v>
      </c>
      <c r="E15" s="525" t="s">
        <v>329</v>
      </c>
      <c r="F15" s="526" t="s">
        <v>330</v>
      </c>
      <c r="G15" s="526" t="s">
        <v>310</v>
      </c>
      <c r="H15" s="526" t="s">
        <v>318</v>
      </c>
      <c r="I15" s="522" t="s">
        <v>34</v>
      </c>
      <c r="J15" s="522" t="s">
        <v>9</v>
      </c>
      <c r="K15" s="522" t="s">
        <v>15</v>
      </c>
      <c r="L15" s="522" t="s">
        <v>35</v>
      </c>
      <c r="M15" s="523" t="s">
        <v>36</v>
      </c>
      <c r="AB15" s="304" t="s">
        <v>37</v>
      </c>
      <c r="AD15" s="304" t="s">
        <v>21</v>
      </c>
      <c r="AE15" s="304" t="s">
        <v>38</v>
      </c>
    </row>
    <row r="16" spans="1:100">
      <c r="A16" s="528"/>
      <c r="B16" s="528"/>
      <c r="C16" s="528"/>
      <c r="D16" s="528"/>
      <c r="E16" s="528"/>
      <c r="F16" s="528"/>
      <c r="G16" s="528"/>
      <c r="H16" s="528"/>
      <c r="I16" s="529"/>
      <c r="J16" s="530"/>
      <c r="K16" s="530"/>
      <c r="L16" s="530"/>
      <c r="M16" s="530"/>
    </row>
    <row r="17" spans="1:100" s="417" customFormat="1" ht="23.25" customHeight="1">
      <c r="A17" s="468"/>
      <c r="B17" s="468"/>
      <c r="C17" s="468"/>
      <c r="D17" s="468"/>
      <c r="F17" s="468"/>
      <c r="G17" s="531" t="s">
        <v>338</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08"/>
      <c r="B18" s="908"/>
      <c r="C18" s="908"/>
      <c r="D18" s="908"/>
      <c r="E18" s="908"/>
      <c r="F18" s="908"/>
      <c r="G18" s="908"/>
      <c r="H18" s="908"/>
      <c r="I18" s="908"/>
      <c r="J18" s="532"/>
      <c r="K18" s="532"/>
      <c r="L18" s="532"/>
      <c r="M18" s="532"/>
    </row>
    <row r="19" spans="1:100" ht="26.25" customHeight="1">
      <c r="B19" s="373"/>
      <c r="C19" s="374"/>
      <c r="D19" s="374"/>
      <c r="E19" s="374"/>
      <c r="F19" s="374"/>
      <c r="G19" s="374"/>
      <c r="H19" s="374"/>
      <c r="I19" s="374"/>
      <c r="J19" s="374"/>
      <c r="K19" s="374"/>
      <c r="L19" s="375"/>
      <c r="M19" s="527"/>
    </row>
    <row r="20" spans="1:100">
      <c r="B20" s="374"/>
      <c r="C20" s="374"/>
      <c r="D20" s="374"/>
      <c r="E20" s="374"/>
      <c r="F20" s="374"/>
      <c r="G20" s="374"/>
      <c r="H20" s="374"/>
      <c r="I20" s="374"/>
      <c r="J20" s="374"/>
      <c r="K20" s="374"/>
      <c r="L20" s="376"/>
      <c r="M20" s="527"/>
    </row>
    <row r="21" spans="1:100" s="478" customFormat="1">
      <c r="B21" s="478" t="s">
        <v>315</v>
      </c>
      <c r="C21" s="909" t="str">
        <f>'Sch-6 (After Discount)'!B31</f>
        <v xml:space="preserve">  </v>
      </c>
      <c r="D21" s="910"/>
      <c r="H21" s="913" t="s">
        <v>317</v>
      </c>
      <c r="I21" s="913"/>
      <c r="J21" s="918" t="str">
        <f>'Sch-6 (After Discount)'!D31</f>
        <v/>
      </c>
      <c r="K21" s="918"/>
      <c r="L21" s="918"/>
      <c r="M21" s="918"/>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8" customFormat="1" ht="16.5" customHeight="1">
      <c r="B22" s="478" t="s">
        <v>316</v>
      </c>
      <c r="C22" s="919" t="str">
        <f>'Sch-6'!B32</f>
        <v/>
      </c>
      <c r="D22" s="910"/>
      <c r="H22" s="913" t="s">
        <v>124</v>
      </c>
      <c r="I22" s="913"/>
      <c r="J22" s="918" t="str">
        <f>'Sch-6 (After Discount)'!D32</f>
        <v/>
      </c>
      <c r="K22" s="918"/>
      <c r="L22" s="918"/>
      <c r="M22" s="918"/>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11"/>
      <c r="C23" s="911"/>
      <c r="D23" s="911"/>
      <c r="E23" s="911"/>
      <c r="F23" s="911"/>
      <c r="G23" s="911"/>
      <c r="H23" s="911"/>
      <c r="I23" s="911"/>
      <c r="J23" s="911"/>
      <c r="K23" s="911"/>
      <c r="L23" s="911"/>
      <c r="M23" s="527"/>
    </row>
    <row r="24" spans="1:100">
      <c r="B24" s="377"/>
      <c r="C24" s="377"/>
      <c r="D24" s="912"/>
      <c r="E24" s="912"/>
      <c r="F24" s="912"/>
      <c r="G24" s="912"/>
      <c r="H24" s="912"/>
      <c r="I24" s="912"/>
      <c r="J24" s="912"/>
      <c r="K24" s="912"/>
      <c r="L24" s="912"/>
      <c r="M24" s="527"/>
    </row>
    <row r="25" spans="1:100">
      <c r="B25" s="378"/>
      <c r="C25" s="379"/>
      <c r="D25" s="912"/>
      <c r="E25" s="912"/>
      <c r="F25" s="912"/>
      <c r="G25" s="912"/>
      <c r="H25" s="912"/>
      <c r="I25" s="912"/>
      <c r="J25" s="912"/>
      <c r="K25" s="912"/>
      <c r="L25" s="912"/>
      <c r="M25" s="527"/>
    </row>
    <row r="26" spans="1:100">
      <c r="B26" s="378"/>
      <c r="C26" s="380"/>
      <c r="D26" s="912"/>
      <c r="E26" s="912"/>
      <c r="F26" s="912"/>
      <c r="G26" s="912"/>
      <c r="H26" s="912"/>
      <c r="I26" s="912"/>
      <c r="J26" s="912"/>
      <c r="K26" s="912"/>
      <c r="L26" s="912"/>
      <c r="M26" s="527"/>
    </row>
    <row r="27" spans="1:100">
      <c r="B27" s="23"/>
      <c r="C27" s="22"/>
      <c r="D27" s="912"/>
      <c r="E27" s="912"/>
      <c r="F27" s="912"/>
      <c r="G27" s="912"/>
      <c r="H27" s="912"/>
      <c r="I27" s="912"/>
      <c r="J27" s="912"/>
      <c r="K27" s="912"/>
      <c r="L27" s="912"/>
      <c r="M27" s="527"/>
    </row>
    <row r="28" spans="1:100">
      <c r="B28" s="23"/>
      <c r="C28" s="22"/>
      <c r="D28" s="381"/>
      <c r="E28" s="381"/>
      <c r="F28" s="381"/>
      <c r="G28" s="381"/>
      <c r="H28" s="381"/>
      <c r="I28" s="381"/>
      <c r="J28" s="381"/>
      <c r="K28" s="381"/>
      <c r="L28" s="381"/>
      <c r="M28" s="527"/>
    </row>
    <row r="29" spans="1:100">
      <c r="B29" s="382"/>
      <c r="C29" s="914"/>
      <c r="D29" s="914"/>
      <c r="E29" s="914"/>
      <c r="F29" s="914"/>
      <c r="G29" s="914"/>
      <c r="H29" s="914"/>
      <c r="I29" s="914"/>
      <c r="J29" s="914"/>
      <c r="K29" s="914"/>
      <c r="L29" s="383"/>
      <c r="M29" s="527"/>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Spec. No.: 5002002223/GIS-EXCLUDING/DOM/A00 - CC CS -1</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15" t="str">
        <f>A3</f>
        <v xml:space="preserve">Substation Package SS-92 for Extension of 400/220kV GIS Indore S/S under Transmission System associated with Scheme to control fault level at Indore Substation in Western Region
</v>
      </c>
      <c r="B64" s="915"/>
      <c r="C64" s="915"/>
      <c r="D64" s="915"/>
      <c r="E64" s="915"/>
      <c r="F64" s="915"/>
      <c r="G64" s="915"/>
      <c r="H64" s="915"/>
      <c r="I64" s="915">
        <f>I3</f>
        <v>0</v>
      </c>
      <c r="J64" s="915">
        <f>J3</f>
        <v>0</v>
      </c>
      <c r="K64" s="915"/>
      <c r="L64" s="915"/>
      <c r="M64" s="915"/>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06" t="str">
        <f>A4</f>
        <v>(SCHEDULE OF RATES AND PRICES )</v>
      </c>
      <c r="B65" s="906"/>
      <c r="C65" s="906"/>
      <c r="D65" s="906"/>
      <c r="E65" s="906"/>
      <c r="F65" s="906"/>
      <c r="G65" s="906"/>
      <c r="H65" s="906"/>
      <c r="I65" s="906">
        <f>I4</f>
        <v>0</v>
      </c>
      <c r="J65" s="906">
        <f>J4</f>
        <v>0</v>
      </c>
      <c r="K65" s="906"/>
      <c r="L65" s="906"/>
      <c r="M65" s="906"/>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03" t="e">
        <f>#REF!</f>
        <v>#REF!</v>
      </c>
      <c r="B68" s="903"/>
      <c r="C68" s="903"/>
      <c r="D68" s="903"/>
      <c r="E68" s="903"/>
      <c r="F68" s="903"/>
      <c r="G68" s="903"/>
      <c r="H68" s="903"/>
      <c r="I68" s="903" t="e">
        <f>#REF!</f>
        <v>#REF!</v>
      </c>
      <c r="J68" s="903"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02" t="e">
        <f>#REF!</f>
        <v>#REF!</v>
      </c>
      <c r="J69" s="902"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02" t="e">
        <f>#REF!</f>
        <v>#REF!</v>
      </c>
      <c r="J70" s="902"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02" t="e">
        <f>#REF!</f>
        <v>#REF!</v>
      </c>
      <c r="J71" s="902"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02">
        <f>C5</f>
        <v>0</v>
      </c>
      <c r="J72" s="902">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04" t="e">
        <f>#REF!</f>
        <v>#REF!</v>
      </c>
      <c r="K74" s="904"/>
      <c r="L74" s="904"/>
      <c r="M74" s="9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05" t="e">
        <f>#REF!</f>
        <v>#REF!</v>
      </c>
      <c r="K75" s="905"/>
      <c r="L75" s="905"/>
      <c r="M75" s="905"/>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05"/>
      <c r="K76" s="905"/>
      <c r="L76" s="905"/>
      <c r="M76" s="905"/>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00" t="e">
        <f>#REF!</f>
        <v>#REF!</v>
      </c>
      <c r="K77" s="900"/>
      <c r="L77" s="900"/>
      <c r="M77" s="900"/>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00" t="e">
        <f>#REF!</f>
        <v>#REF!</v>
      </c>
      <c r="K78" s="900"/>
      <c r="L78" s="900"/>
      <c r="M78" s="900"/>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00" t="e">
        <f>#REF!</f>
        <v>#REF!</v>
      </c>
      <c r="K79" s="900"/>
      <c r="L79" s="900"/>
      <c r="M79" s="900"/>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00"/>
      <c r="K80" s="900"/>
      <c r="L80" s="900"/>
      <c r="M80" s="900"/>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00"/>
      <c r="K81" s="900"/>
      <c r="L81" s="900"/>
      <c r="M81" s="900"/>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00"/>
      <c r="K82" s="900"/>
      <c r="L82" s="900"/>
      <c r="M82" s="900"/>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00" t="e">
        <f>#REF!</f>
        <v>#REF!</v>
      </c>
      <c r="K83" s="900"/>
      <c r="L83" s="900"/>
      <c r="M83" s="900"/>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00" t="e">
        <f>#REF!</f>
        <v>#REF!</v>
      </c>
      <c r="K84" s="900"/>
      <c r="L84" s="900"/>
      <c r="M84" s="900"/>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00" t="e">
        <f>#REF!</f>
        <v>#REF!</v>
      </c>
      <c r="K85" s="900"/>
      <c r="L85" s="900"/>
      <c r="M85" s="900"/>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00" t="e">
        <f>#REF!</f>
        <v>#REF!</v>
      </c>
      <c r="K86" s="900"/>
      <c r="L86" s="900"/>
      <c r="M86" s="900"/>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00" t="e">
        <f>#REF!</f>
        <v>#REF!</v>
      </c>
      <c r="K87" s="900"/>
      <c r="L87" s="900"/>
      <c r="M87" s="900"/>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00"/>
      <c r="K88" s="900"/>
      <c r="L88" s="900"/>
      <c r="M88" s="900"/>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00" t="e">
        <f>#REF!</f>
        <v>#REF!</v>
      </c>
      <c r="K89" s="900"/>
      <c r="L89" s="900"/>
      <c r="M89" s="900"/>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00" t="e">
        <f>#REF!</f>
        <v>#REF!</v>
      </c>
      <c r="K90" s="900"/>
      <c r="L90" s="900"/>
      <c r="M90" s="900"/>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00" t="e">
        <f>#REF!</f>
        <v>#REF!</v>
      </c>
      <c r="K91" s="900"/>
      <c r="L91" s="900"/>
      <c r="M91" s="900"/>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00" t="e">
        <f>#REF!</f>
        <v>#REF!</v>
      </c>
      <c r="K92" s="900"/>
      <c r="L92" s="900"/>
      <c r="M92" s="900"/>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00" t="e">
        <f>#REF!</f>
        <v>#REF!</v>
      </c>
      <c r="K93" s="900"/>
      <c r="L93" s="900"/>
      <c r="M93" s="900"/>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00"/>
      <c r="K94" s="900"/>
      <c r="L94" s="900"/>
      <c r="M94" s="900"/>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00" t="e">
        <f>#REF!</f>
        <v>#REF!</v>
      </c>
      <c r="K95" s="900"/>
      <c r="L95" s="900"/>
      <c r="M95" s="900"/>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00" t="e">
        <f>#REF!</f>
        <v>#REF!</v>
      </c>
      <c r="K96" s="900"/>
      <c r="L96" s="900"/>
      <c r="M96" s="900"/>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00" t="e">
        <f>#REF!</f>
        <v>#REF!</v>
      </c>
      <c r="K97" s="900"/>
      <c r="L97" s="900"/>
      <c r="M97" s="900"/>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00" t="e">
        <f>#REF!</f>
        <v>#REF!</v>
      </c>
      <c r="K98" s="900"/>
      <c r="L98" s="900"/>
      <c r="M98" s="900"/>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00"/>
      <c r="K99" s="900"/>
      <c r="L99" s="900"/>
      <c r="M99" s="900"/>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00" t="e">
        <f>#REF!</f>
        <v>#REF!</v>
      </c>
      <c r="K100" s="900"/>
      <c r="L100" s="900"/>
      <c r="M100" s="900"/>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00" t="e">
        <f>#REF!</f>
        <v>#REF!</v>
      </c>
      <c r="K101" s="900"/>
      <c r="L101" s="900"/>
      <c r="M101" s="900"/>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00" t="e">
        <f>#REF!</f>
        <v>#REF!</v>
      </c>
      <c r="K102" s="900"/>
      <c r="L102" s="900"/>
      <c r="M102" s="900"/>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00" t="e">
        <f>#REF!</f>
        <v>#REF!</v>
      </c>
      <c r="K103" s="900"/>
      <c r="L103" s="900"/>
      <c r="M103" s="900"/>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00"/>
      <c r="K104" s="900"/>
      <c r="L104" s="900"/>
      <c r="M104" s="900"/>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00" t="e">
        <f>#REF!</f>
        <v>#REF!</v>
      </c>
      <c r="K105" s="900"/>
      <c r="L105" s="900"/>
      <c r="M105" s="900"/>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00" t="e">
        <f>#REF!</f>
        <v>#REF!</v>
      </c>
      <c r="K106" s="900"/>
      <c r="L106" s="900"/>
      <c r="M106" s="900"/>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00" t="e">
        <f>#REF!</f>
        <v>#REF!</v>
      </c>
      <c r="K107" s="900"/>
      <c r="L107" s="900"/>
      <c r="M107" s="900"/>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00" t="e">
        <f>#REF!</f>
        <v>#REF!</v>
      </c>
      <c r="K108" s="900"/>
      <c r="L108" s="900"/>
      <c r="M108" s="900"/>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00" t="e">
        <f>#REF!</f>
        <v>#REF!</v>
      </c>
      <c r="K109" s="900"/>
      <c r="L109" s="900"/>
      <c r="M109" s="900"/>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00" t="e">
        <f>#REF!</f>
        <v>#REF!</v>
      </c>
      <c r="K110" s="900"/>
      <c r="L110" s="900"/>
      <c r="M110" s="900"/>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00"/>
      <c r="K111" s="900"/>
      <c r="L111" s="900"/>
      <c r="M111" s="900"/>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00"/>
      <c r="K112" s="900"/>
      <c r="L112" s="900"/>
      <c r="M112" s="900"/>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00"/>
      <c r="K113" s="900"/>
      <c r="L113" s="900"/>
      <c r="M113" s="900"/>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00" t="e">
        <f>#REF!</f>
        <v>#REF!</v>
      </c>
      <c r="K114" s="900"/>
      <c r="L114" s="900"/>
      <c r="M114" s="900"/>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00" t="e">
        <f>#REF!</f>
        <v>#REF!</v>
      </c>
      <c r="K115" s="900"/>
      <c r="L115" s="900"/>
      <c r="M115" s="900"/>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00" t="e">
        <f>#REF!</f>
        <v>#REF!</v>
      </c>
      <c r="K116" s="900"/>
      <c r="L116" s="900"/>
      <c r="M116" s="900"/>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00" t="e">
        <f>#REF!</f>
        <v>#REF!</v>
      </c>
      <c r="K117" s="900"/>
      <c r="L117" s="900"/>
      <c r="M117" s="900"/>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00" t="e">
        <f>#REF!</f>
        <v>#REF!</v>
      </c>
      <c r="K118" s="900"/>
      <c r="L118" s="900"/>
      <c r="M118" s="900"/>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00"/>
      <c r="K119" s="900"/>
      <c r="L119" s="900"/>
      <c r="M119" s="900"/>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00"/>
      <c r="K120" s="900"/>
      <c r="L120" s="900"/>
      <c r="M120" s="900"/>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00" t="e">
        <f>#REF!</f>
        <v>#REF!</v>
      </c>
      <c r="K121" s="900"/>
      <c r="L121" s="900"/>
      <c r="M121" s="900"/>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00" t="e">
        <f>#REF!</f>
        <v>#REF!</v>
      </c>
      <c r="K122" s="900"/>
      <c r="L122" s="900"/>
      <c r="M122" s="900"/>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00" t="e">
        <f>#REF!</f>
        <v>#REF!</v>
      </c>
      <c r="K123" s="900"/>
      <c r="L123" s="900"/>
      <c r="M123" s="900"/>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00" t="e">
        <f>#REF!</f>
        <v>#REF!</v>
      </c>
      <c r="K124" s="900"/>
      <c r="L124" s="900"/>
      <c r="M124" s="900"/>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00" t="e">
        <f>#REF!</f>
        <v>#REF!</v>
      </c>
      <c r="K125" s="900"/>
      <c r="L125" s="900"/>
      <c r="M125" s="900"/>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00" t="e">
        <f>#REF!</f>
        <v>#REF!</v>
      </c>
      <c r="K126" s="900"/>
      <c r="L126" s="900"/>
      <c r="M126" s="900"/>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00"/>
      <c r="K127" s="900"/>
      <c r="L127" s="900"/>
      <c r="M127" s="900"/>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00" t="e">
        <f>#REF!</f>
        <v>#REF!</v>
      </c>
      <c r="K128" s="900"/>
      <c r="L128" s="900"/>
      <c r="M128" s="900"/>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00" t="e">
        <f>#REF!</f>
        <v>#REF!</v>
      </c>
      <c r="K129" s="900"/>
      <c r="L129" s="900"/>
      <c r="M129" s="900"/>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00" t="e">
        <f>#REF!</f>
        <v>#REF!</v>
      </c>
      <c r="K130" s="900"/>
      <c r="L130" s="900"/>
      <c r="M130" s="900"/>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00" t="e">
        <f>#REF!</f>
        <v>#REF!</v>
      </c>
      <c r="K131" s="900"/>
      <c r="L131" s="900"/>
      <c r="M131" s="900"/>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00" t="e">
        <f>#REF!</f>
        <v>#REF!</v>
      </c>
      <c r="K132" s="900"/>
      <c r="L132" s="900"/>
      <c r="M132" s="900"/>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00" t="e">
        <f>#REF!</f>
        <v>#REF!</v>
      </c>
      <c r="K133" s="900"/>
      <c r="L133" s="900"/>
      <c r="M133" s="900"/>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00" t="e">
        <f>#REF!</f>
        <v>#REF!</v>
      </c>
      <c r="K134" s="900"/>
      <c r="L134" s="900"/>
      <c r="M134" s="900"/>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00"/>
      <c r="K135" s="900"/>
      <c r="L135" s="900"/>
      <c r="M135" s="900"/>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00" t="e">
        <f>#REF!</f>
        <v>#REF!</v>
      </c>
      <c r="K136" s="900"/>
      <c r="L136" s="900"/>
      <c r="M136" s="900"/>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00" t="e">
        <f>#REF!</f>
        <v>#REF!</v>
      </c>
      <c r="K137" s="900"/>
      <c r="L137" s="900"/>
      <c r="M137" s="900"/>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00" t="e">
        <f>#REF!</f>
        <v>#REF!</v>
      </c>
      <c r="K138" s="900"/>
      <c r="L138" s="900"/>
      <c r="M138" s="900"/>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00" t="e">
        <f>#REF!</f>
        <v>#REF!</v>
      </c>
      <c r="K139" s="900"/>
      <c r="L139" s="900"/>
      <c r="M139" s="900"/>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00" t="e">
        <f>#REF!</f>
        <v>#REF!</v>
      </c>
      <c r="K140" s="900"/>
      <c r="L140" s="900"/>
      <c r="M140" s="900"/>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00" t="e">
        <f>#REF!</f>
        <v>#REF!</v>
      </c>
      <c r="K141" s="900"/>
      <c r="L141" s="900"/>
      <c r="M141" s="900"/>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00" t="e">
        <f>#REF!</f>
        <v>#REF!</v>
      </c>
      <c r="K142" s="900"/>
      <c r="L142" s="900"/>
      <c r="M142" s="900"/>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00" t="e">
        <f>#REF!</f>
        <v>#REF!</v>
      </c>
      <c r="K143" s="900"/>
      <c r="L143" s="900"/>
      <c r="M143" s="900"/>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00" t="e">
        <f>#REF!</f>
        <v>#REF!</v>
      </c>
      <c r="K144" s="900"/>
      <c r="L144" s="900"/>
      <c r="M144" s="900"/>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00" t="e">
        <f>#REF!</f>
        <v>#REF!</v>
      </c>
      <c r="K145" s="900"/>
      <c r="L145" s="900"/>
      <c r="M145" s="900"/>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00"/>
      <c r="K146" s="900"/>
      <c r="L146" s="900"/>
      <c r="M146" s="900"/>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00" t="e">
        <f>#REF!</f>
        <v>#REF!</v>
      </c>
      <c r="K147" s="900"/>
      <c r="L147" s="900"/>
      <c r="M147" s="900"/>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00" t="e">
        <f>#REF!</f>
        <v>#REF!</v>
      </c>
      <c r="K148" s="900"/>
      <c r="L148" s="900"/>
      <c r="M148" s="900"/>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00" t="e">
        <f>#REF!</f>
        <v>#REF!</v>
      </c>
      <c r="K149" s="900"/>
      <c r="L149" s="900"/>
      <c r="M149" s="900"/>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00" t="e">
        <f>#REF!</f>
        <v>#REF!</v>
      </c>
      <c r="K150" s="900"/>
      <c r="L150" s="900"/>
      <c r="M150" s="900"/>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00"/>
      <c r="K151" s="900"/>
      <c r="L151" s="900"/>
      <c r="M151" s="900"/>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00" t="e">
        <f>#REF!</f>
        <v>#REF!</v>
      </c>
      <c r="K152" s="900"/>
      <c r="L152" s="900"/>
      <c r="M152" s="900"/>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00" t="e">
        <f>#REF!</f>
        <v>#REF!</v>
      </c>
      <c r="K153" s="900"/>
      <c r="L153" s="900"/>
      <c r="M153" s="900"/>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00" t="e">
        <f>#REF!</f>
        <v>#REF!</v>
      </c>
      <c r="K154" s="900"/>
      <c r="L154" s="900"/>
      <c r="M154" s="900"/>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00" t="e">
        <f>#REF!</f>
        <v>#REF!</v>
      </c>
      <c r="K155" s="900"/>
      <c r="L155" s="900"/>
      <c r="M155" s="900"/>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00"/>
      <c r="K156" s="900"/>
      <c r="L156" s="900"/>
      <c r="M156" s="900"/>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00" t="e">
        <f>#REF!</f>
        <v>#REF!</v>
      </c>
      <c r="K157" s="900"/>
      <c r="L157" s="900"/>
      <c r="M157" s="900"/>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00" t="e">
        <f>#REF!</f>
        <v>#REF!</v>
      </c>
      <c r="K158" s="900"/>
      <c r="L158" s="900"/>
      <c r="M158" s="900"/>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00" t="e">
        <f>#REF!</f>
        <v>#REF!</v>
      </c>
      <c r="K159" s="900"/>
      <c r="L159" s="900"/>
      <c r="M159" s="900"/>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00"/>
      <c r="K160" s="900"/>
      <c r="L160" s="900"/>
      <c r="M160" s="900"/>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00" t="e">
        <f>#REF!</f>
        <v>#REF!</v>
      </c>
      <c r="K161" s="900"/>
      <c r="L161" s="900"/>
      <c r="M161" s="900"/>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00" t="e">
        <f>#REF!</f>
        <v>#REF!</v>
      </c>
      <c r="K162" s="900"/>
      <c r="L162" s="900"/>
      <c r="M162" s="900"/>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00" t="e">
        <f>#REF!</f>
        <v>#REF!</v>
      </c>
      <c r="K163" s="900"/>
      <c r="L163" s="900"/>
      <c r="M163" s="900"/>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00" t="e">
        <f>#REF!</f>
        <v>#REF!</v>
      </c>
      <c r="K164" s="900"/>
      <c r="L164" s="900"/>
      <c r="M164" s="900"/>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00" t="e">
        <f>#REF!</f>
        <v>#REF!</v>
      </c>
      <c r="K165" s="900"/>
      <c r="L165" s="900"/>
      <c r="M165" s="900"/>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00" t="e">
        <f>#REF!</f>
        <v>#REF!</v>
      </c>
      <c r="K166" s="900"/>
      <c r="L166" s="900"/>
      <c r="M166" s="900"/>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00" t="e">
        <f>#REF!</f>
        <v>#REF!</v>
      </c>
      <c r="K167" s="900"/>
      <c r="L167" s="900"/>
      <c r="M167" s="900"/>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00"/>
      <c r="K168" s="900"/>
      <c r="L168" s="900"/>
      <c r="M168" s="900"/>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00" t="e">
        <f>#REF!</f>
        <v>#REF!</v>
      </c>
      <c r="K169" s="900"/>
      <c r="L169" s="900"/>
      <c r="M169" s="900"/>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00" t="e">
        <f>#REF!</f>
        <v>#REF!</v>
      </c>
      <c r="K170" s="900"/>
      <c r="L170" s="900"/>
      <c r="M170" s="900"/>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00" t="e">
        <f>#REF!</f>
        <v>#REF!</v>
      </c>
      <c r="K171" s="900"/>
      <c r="L171" s="900"/>
      <c r="M171" s="900"/>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00" t="e">
        <f>#REF!</f>
        <v>#REF!</v>
      </c>
      <c r="K172" s="900"/>
      <c r="L172" s="900"/>
      <c r="M172" s="900"/>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00"/>
      <c r="K173" s="900"/>
      <c r="L173" s="900"/>
      <c r="M173" s="900"/>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00" t="e">
        <f>#REF!</f>
        <v>#REF!</v>
      </c>
      <c r="K174" s="900"/>
      <c r="L174" s="900"/>
      <c r="M174" s="900"/>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00" t="e">
        <f>#REF!</f>
        <v>#REF!</v>
      </c>
      <c r="K175" s="900"/>
      <c r="L175" s="900"/>
      <c r="M175" s="900"/>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00" t="e">
        <f>#REF!</f>
        <v>#REF!</v>
      </c>
      <c r="K176" s="900"/>
      <c r="L176" s="900"/>
      <c r="M176" s="900"/>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00" t="e">
        <f>#REF!</f>
        <v>#REF!</v>
      </c>
      <c r="K177" s="900"/>
      <c r="L177" s="900"/>
      <c r="M177" s="900"/>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00" t="e">
        <f>#REF!</f>
        <v>#REF!</v>
      </c>
      <c r="K178" s="900"/>
      <c r="L178" s="900"/>
      <c r="M178" s="900"/>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00" t="e">
        <f>#REF!</f>
        <v>#REF!</v>
      </c>
      <c r="K179" s="900"/>
      <c r="L179" s="900"/>
      <c r="M179" s="900"/>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00" t="e">
        <f>#REF!</f>
        <v>#REF!</v>
      </c>
      <c r="K180" s="900"/>
      <c r="L180" s="900"/>
      <c r="M180" s="900"/>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01"/>
      <c r="K181" s="901"/>
      <c r="L181" s="901"/>
      <c r="M181" s="901"/>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6F" sheet="1" formatColumns="0" formatRows="0" selectLockedCells="1"/>
  <customSheetViews>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1"/>
    </customSheetView>
    <customSheetView guid="{CA9345C4-09FE-4F27-BFD9-3D9BCD2DED0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8"/>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9"/>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1"/>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6" zoomScaleNormal="70" zoomScaleSheetLayoutView="100" workbookViewId="0">
      <selection activeCell="G15" sqref="G15"/>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0" t="s">
        <v>164</v>
      </c>
      <c r="B1" s="940"/>
      <c r="C1" s="940"/>
      <c r="D1" s="940"/>
      <c r="E1" s="940"/>
      <c r="F1" s="940"/>
      <c r="G1" s="940"/>
      <c r="H1" s="144"/>
      <c r="I1" s="145"/>
      <c r="J1" s="146"/>
      <c r="K1" s="146"/>
      <c r="L1" s="146"/>
      <c r="M1" s="146"/>
      <c r="N1" s="146"/>
      <c r="O1" s="146"/>
      <c r="P1" s="146"/>
      <c r="Q1" s="146"/>
      <c r="R1" s="146"/>
      <c r="S1" s="146"/>
      <c r="T1" s="146"/>
      <c r="U1" s="147"/>
      <c r="V1" s="147"/>
      <c r="W1" s="147"/>
      <c r="X1" s="148"/>
      <c r="Y1" s="148"/>
    </row>
    <row r="2" spans="1:25" ht="18" customHeight="1">
      <c r="A2" s="113" t="str">
        <f>Cover!B3</f>
        <v>Spec. No.: 5002002223/GIS-EXCLUDING/DOM/A00 - CC CS -1</v>
      </c>
      <c r="B2" s="113"/>
      <c r="C2" s="114"/>
      <c r="D2" s="150"/>
      <c r="E2" s="150"/>
      <c r="F2" s="150"/>
      <c r="G2" s="116" t="s">
        <v>165</v>
      </c>
    </row>
    <row r="3" spans="1:25" ht="12.75" customHeight="1">
      <c r="A3" s="117"/>
      <c r="B3" s="117"/>
      <c r="C3" s="118"/>
      <c r="D3" s="139"/>
      <c r="E3" s="139"/>
      <c r="F3" s="139"/>
      <c r="G3" s="119"/>
    </row>
    <row r="4" spans="1:25" ht="18.95" customHeight="1">
      <c r="A4" s="941" t="s">
        <v>166</v>
      </c>
      <c r="B4" s="941"/>
      <c r="C4" s="941"/>
      <c r="D4" s="941"/>
      <c r="E4" s="941"/>
      <c r="F4" s="941"/>
      <c r="G4" s="941"/>
    </row>
    <row r="5" spans="1:25" ht="21" customHeight="1">
      <c r="A5" s="158" t="s">
        <v>1</v>
      </c>
      <c r="B5" s="158"/>
      <c r="C5" s="159"/>
      <c r="D5" s="159"/>
      <c r="E5" s="159"/>
      <c r="F5" s="159"/>
      <c r="G5" s="159"/>
    </row>
    <row r="6" spans="1:25" ht="21" customHeight="1">
      <c r="A6" s="27" t="s">
        <v>2</v>
      </c>
      <c r="B6" s="27"/>
      <c r="C6" s="159"/>
      <c r="D6" s="159"/>
      <c r="E6" s="159"/>
      <c r="F6" s="159"/>
      <c r="G6" s="159"/>
      <c r="I6" s="632" t="s">
        <v>233</v>
      </c>
      <c r="J6" s="738">
        <f>'Sch-1'!N94</f>
        <v>0</v>
      </c>
      <c r="K6" s="631"/>
      <c r="L6" s="448"/>
    </row>
    <row r="7" spans="1:25" ht="21" customHeight="1">
      <c r="A7" s="27" t="s">
        <v>3</v>
      </c>
      <c r="B7" s="27"/>
      <c r="C7" s="159"/>
      <c r="D7" s="159"/>
      <c r="E7" s="159"/>
      <c r="F7" s="159"/>
      <c r="G7" s="159"/>
      <c r="I7" s="632" t="s">
        <v>235</v>
      </c>
      <c r="J7" s="738">
        <f>'Sch-2'!J94</f>
        <v>0</v>
      </c>
      <c r="K7" s="631"/>
    </row>
    <row r="8" spans="1:25" ht="21" customHeight="1">
      <c r="A8" s="27" t="s">
        <v>4</v>
      </c>
      <c r="B8" s="27"/>
      <c r="C8" s="159"/>
      <c r="D8" s="159"/>
      <c r="E8" s="159"/>
      <c r="F8" s="159"/>
      <c r="G8" s="159"/>
      <c r="I8" s="632" t="s">
        <v>236</v>
      </c>
      <c r="J8" s="738">
        <f>'Sch-3'!P44</f>
        <v>0</v>
      </c>
      <c r="K8" s="631"/>
    </row>
    <row r="9" spans="1:25" ht="21" customHeight="1">
      <c r="A9" s="27" t="s">
        <v>167</v>
      </c>
      <c r="B9" s="27"/>
      <c r="C9" s="159"/>
      <c r="D9" s="159"/>
      <c r="E9" s="159"/>
      <c r="F9" s="159"/>
      <c r="G9" s="159"/>
      <c r="I9" s="633" t="s">
        <v>196</v>
      </c>
      <c r="J9" s="739">
        <f>J6+J7+J8</f>
        <v>0</v>
      </c>
      <c r="K9" s="631"/>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57" customHeight="1">
      <c r="A12" s="160" t="s">
        <v>168</v>
      </c>
      <c r="B12" s="533"/>
      <c r="C12" s="942" t="str">
        <f>Cover!$B$2</f>
        <v xml:space="preserve">Substation Package SS-92 for Extension of 400/220kV GIS Indore S/S under Transmission System associated with Scheme to control fault level at Indore Substation in Western Region
</v>
      </c>
      <c r="D12" s="942"/>
      <c r="E12" s="942"/>
      <c r="F12" s="942"/>
      <c r="G12" s="942"/>
      <c r="J12" s="448"/>
    </row>
    <row r="13" spans="1:25" ht="21" customHeight="1" thickBot="1">
      <c r="A13" s="161" t="s">
        <v>169</v>
      </c>
      <c r="B13" s="161"/>
      <c r="C13" s="162"/>
      <c r="D13" s="161"/>
      <c r="E13" s="161"/>
      <c r="F13" s="161"/>
      <c r="G13" s="161"/>
      <c r="H13" s="442"/>
      <c r="K13" s="170"/>
      <c r="L13" s="170"/>
      <c r="M13" s="170"/>
    </row>
    <row r="14" spans="1:25" ht="41.25" customHeight="1" thickBot="1">
      <c r="A14" s="943" t="s">
        <v>170</v>
      </c>
      <c r="B14" s="943"/>
      <c r="C14" s="943"/>
      <c r="D14" s="943"/>
      <c r="E14" s="943"/>
      <c r="F14" s="943"/>
      <c r="G14" s="943"/>
      <c r="H14" s="645" t="s">
        <v>340</v>
      </c>
      <c r="I14" s="645" t="s">
        <v>341</v>
      </c>
      <c r="J14" s="646" t="s">
        <v>342</v>
      </c>
      <c r="K14" s="170"/>
      <c r="L14" s="170"/>
      <c r="M14" s="170"/>
      <c r="N14" s="163"/>
    </row>
    <row r="15" spans="1:25" ht="56.25" customHeight="1">
      <c r="B15" s="165">
        <v>1</v>
      </c>
      <c r="C15" s="947" t="s">
        <v>332</v>
      </c>
      <c r="D15" s="945"/>
      <c r="E15" s="945"/>
      <c r="F15" s="946"/>
      <c r="G15" s="166"/>
      <c r="H15" s="708">
        <f>IF(J6=0,0,(G15/J9)*J6)</f>
        <v>0</v>
      </c>
      <c r="I15" s="709">
        <f>IF(J7=0,0,(G15/J9)*J7)</f>
        <v>0</v>
      </c>
      <c r="J15" s="708">
        <f>IF(J8,(G15/J9)*J8,0)</f>
        <v>0</v>
      </c>
      <c r="K15" s="170"/>
      <c r="L15" s="170"/>
      <c r="M15" s="170"/>
    </row>
    <row r="16" spans="1:25" ht="55.5" customHeight="1">
      <c r="B16" s="165">
        <v>2</v>
      </c>
      <c r="C16" s="944" t="s">
        <v>333</v>
      </c>
      <c r="D16" s="945"/>
      <c r="E16" s="945"/>
      <c r="F16" s="946"/>
      <c r="G16" s="167"/>
      <c r="H16" s="710">
        <f>G16*J6</f>
        <v>0</v>
      </c>
      <c r="I16" s="711">
        <f>G16*J7</f>
        <v>0</v>
      </c>
      <c r="J16" s="710">
        <f>G16*J8</f>
        <v>0</v>
      </c>
      <c r="K16" s="170"/>
      <c r="L16" s="170"/>
      <c r="M16" s="170"/>
    </row>
    <row r="17" spans="1:25" s="168" customFormat="1" ht="39.75" customHeight="1" thickBot="1">
      <c r="B17" s="169">
        <v>3</v>
      </c>
      <c r="C17" s="937" t="s">
        <v>171</v>
      </c>
      <c r="D17" s="938"/>
      <c r="E17" s="938"/>
      <c r="F17" s="939"/>
      <c r="G17" s="439"/>
      <c r="H17" s="710"/>
      <c r="I17" s="710"/>
      <c r="J17" s="710"/>
      <c r="K17" s="170"/>
      <c r="L17" s="170"/>
      <c r="M17" s="170"/>
      <c r="N17" s="170"/>
      <c r="O17" s="170"/>
      <c r="P17" s="170"/>
      <c r="Q17" s="170"/>
      <c r="R17" s="171"/>
      <c r="S17" s="171"/>
      <c r="T17" s="171"/>
      <c r="U17" s="172"/>
      <c r="V17" s="172"/>
      <c r="W17" s="172"/>
      <c r="X17" s="173"/>
      <c r="Y17" s="173"/>
    </row>
    <row r="18" spans="1:25" s="168" customFormat="1" ht="21" customHeight="1" thickBot="1">
      <c r="B18" s="174"/>
      <c r="C18" s="933" t="s">
        <v>334</v>
      </c>
      <c r="D18" s="934"/>
      <c r="E18" s="934"/>
      <c r="F18" s="175" t="s">
        <v>172</v>
      </c>
      <c r="G18" s="440"/>
      <c r="H18" s="712">
        <f>G18</f>
        <v>0</v>
      </c>
      <c r="I18" s="713"/>
      <c r="J18" s="710"/>
      <c r="K18" s="170"/>
      <c r="L18" s="170"/>
      <c r="M18" s="170"/>
      <c r="N18" s="177"/>
      <c r="O18" s="176"/>
      <c r="P18" s="170"/>
      <c r="Q18" s="170"/>
      <c r="R18" s="171"/>
      <c r="S18" s="171"/>
      <c r="T18" s="171"/>
      <c r="U18" s="172"/>
      <c r="V18" s="172"/>
      <c r="W18" s="172"/>
      <c r="X18" s="173"/>
      <c r="Y18" s="173"/>
    </row>
    <row r="19" spans="1:25" s="168" customFormat="1" ht="33" customHeight="1" thickBot="1">
      <c r="B19" s="174"/>
      <c r="C19" s="926" t="s">
        <v>359</v>
      </c>
      <c r="D19" s="927"/>
      <c r="E19" s="927"/>
      <c r="F19" s="175" t="s">
        <v>172</v>
      </c>
      <c r="G19" s="440"/>
      <c r="H19" s="714"/>
      <c r="I19" s="712">
        <f>G19</f>
        <v>0</v>
      </c>
      <c r="J19" s="715"/>
      <c r="K19" s="170"/>
      <c r="L19" s="170"/>
      <c r="M19" s="170"/>
      <c r="N19" s="177"/>
      <c r="O19" s="176"/>
      <c r="P19" s="170"/>
      <c r="Q19" s="170"/>
      <c r="R19" s="171"/>
      <c r="S19" s="171"/>
      <c r="T19" s="171"/>
      <c r="U19" s="172"/>
      <c r="V19" s="172"/>
      <c r="W19" s="172"/>
      <c r="X19" s="173"/>
      <c r="Y19" s="173"/>
    </row>
    <row r="20" spans="1:25" s="168" customFormat="1" ht="21" customHeight="1" thickBot="1">
      <c r="B20" s="174"/>
      <c r="C20" s="933" t="s">
        <v>335</v>
      </c>
      <c r="D20" s="934"/>
      <c r="E20" s="934"/>
      <c r="F20" s="175" t="s">
        <v>172</v>
      </c>
      <c r="G20" s="440"/>
      <c r="H20" s="710"/>
      <c r="I20" s="709"/>
      <c r="J20" s="712">
        <f>G20</f>
        <v>0</v>
      </c>
      <c r="K20" s="170"/>
      <c r="L20" s="170"/>
      <c r="M20" s="170"/>
      <c r="N20" s="177"/>
      <c r="O20" s="176"/>
      <c r="P20" s="170"/>
      <c r="Q20" s="170"/>
      <c r="R20" s="171"/>
      <c r="S20" s="171"/>
      <c r="T20" s="171"/>
      <c r="U20" s="172"/>
      <c r="V20" s="172"/>
      <c r="W20" s="172"/>
      <c r="X20" s="173"/>
      <c r="Y20" s="173"/>
    </row>
    <row r="21" spans="1:25" s="168" customFormat="1" ht="21" customHeight="1">
      <c r="B21" s="174"/>
      <c r="C21" s="933" t="s">
        <v>336</v>
      </c>
      <c r="D21" s="934"/>
      <c r="E21" s="934"/>
      <c r="F21" s="175" t="s">
        <v>172</v>
      </c>
      <c r="G21" s="449"/>
      <c r="H21" s="710"/>
      <c r="I21" s="711"/>
      <c r="J21" s="708"/>
      <c r="K21" s="170"/>
      <c r="L21" s="170"/>
      <c r="M21" s="170"/>
      <c r="N21" s="177"/>
      <c r="O21" s="176"/>
      <c r="P21" s="170"/>
      <c r="Q21" s="170"/>
      <c r="R21" s="171"/>
      <c r="S21" s="171"/>
      <c r="T21" s="171"/>
      <c r="U21" s="172"/>
      <c r="V21" s="172"/>
      <c r="W21" s="172"/>
      <c r="X21" s="173"/>
      <c r="Y21" s="173"/>
    </row>
    <row r="22" spans="1:25" s="168" customFormat="1" ht="21" customHeight="1">
      <c r="B22" s="178"/>
      <c r="C22" s="933" t="s">
        <v>173</v>
      </c>
      <c r="D22" s="934"/>
      <c r="E22" s="934"/>
      <c r="F22" s="179" t="s">
        <v>172</v>
      </c>
      <c r="G22" s="449"/>
      <c r="H22" s="710"/>
      <c r="I22" s="711"/>
      <c r="J22" s="710"/>
      <c r="K22" s="170"/>
      <c r="L22" s="170"/>
      <c r="M22" s="170"/>
      <c r="N22" s="177"/>
      <c r="O22" s="176"/>
      <c r="P22" s="170"/>
      <c r="Q22" s="170"/>
      <c r="R22" s="171"/>
      <c r="S22" s="171"/>
      <c r="T22" s="171"/>
      <c r="U22" s="172"/>
      <c r="V22" s="172"/>
      <c r="W22" s="172"/>
      <c r="X22" s="173"/>
      <c r="Y22" s="173"/>
    </row>
    <row r="23" spans="1:25" s="168" customFormat="1" ht="54.95" customHeight="1" thickBot="1">
      <c r="B23" s="169">
        <v>4</v>
      </c>
      <c r="C23" s="922" t="s">
        <v>174</v>
      </c>
      <c r="D23" s="923"/>
      <c r="E23" s="923"/>
      <c r="F23" s="924"/>
      <c r="G23" s="439"/>
      <c r="H23" s="716"/>
      <c r="I23" s="711"/>
      <c r="J23" s="710"/>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33" t="s">
        <v>334</v>
      </c>
      <c r="D24" s="934"/>
      <c r="E24" s="934"/>
      <c r="F24" s="175" t="s">
        <v>175</v>
      </c>
      <c r="G24" s="441"/>
      <c r="H24" s="717">
        <f>G24*J6</f>
        <v>0</v>
      </c>
      <c r="I24" s="713"/>
      <c r="J24" s="710"/>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28" t="s">
        <v>359</v>
      </c>
      <c r="D25" s="929"/>
      <c r="E25" s="929"/>
      <c r="F25" s="175" t="s">
        <v>175</v>
      </c>
      <c r="G25" s="441"/>
      <c r="H25" s="718"/>
      <c r="I25" s="712">
        <f>G25*J7</f>
        <v>0</v>
      </c>
      <c r="J25" s="715"/>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33" t="s">
        <v>335</v>
      </c>
      <c r="D26" s="934"/>
      <c r="E26" s="934"/>
      <c r="F26" s="175" t="s">
        <v>175</v>
      </c>
      <c r="G26" s="441"/>
      <c r="H26" s="716"/>
      <c r="I26" s="709"/>
      <c r="J26" s="712">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33" t="s">
        <v>336</v>
      </c>
      <c r="D27" s="934"/>
      <c r="E27" s="934"/>
      <c r="F27" s="175" t="s">
        <v>175</v>
      </c>
      <c r="G27" s="450"/>
      <c r="H27" s="716"/>
      <c r="I27" s="711"/>
      <c r="J27" s="708"/>
      <c r="K27" s="170"/>
      <c r="L27" s="170"/>
      <c r="M27" s="170"/>
      <c r="N27" s="170"/>
      <c r="O27" s="170"/>
      <c r="P27" s="170"/>
      <c r="Q27" s="170"/>
      <c r="R27" s="171"/>
      <c r="S27" s="171"/>
      <c r="T27" s="171"/>
      <c r="U27" s="172"/>
      <c r="V27" s="172"/>
      <c r="W27" s="172"/>
      <c r="X27" s="173"/>
      <c r="Y27" s="173"/>
    </row>
    <row r="28" spans="1:25" s="168" customFormat="1" ht="21" customHeight="1">
      <c r="A28" s="180"/>
      <c r="B28" s="178"/>
      <c r="C28" s="935" t="s">
        <v>173</v>
      </c>
      <c r="D28" s="936"/>
      <c r="E28" s="936"/>
      <c r="F28" s="179" t="s">
        <v>175</v>
      </c>
      <c r="G28" s="450"/>
      <c r="H28" s="716"/>
      <c r="I28" s="711"/>
      <c r="J28" s="710"/>
      <c r="K28" s="170"/>
      <c r="L28" s="170"/>
      <c r="M28" s="170"/>
      <c r="N28" s="170"/>
      <c r="O28" s="170"/>
      <c r="P28" s="170"/>
      <c r="Q28" s="170"/>
      <c r="R28" s="171"/>
      <c r="S28" s="171"/>
      <c r="T28" s="171"/>
      <c r="U28" s="172"/>
      <c r="V28" s="172"/>
      <c r="W28" s="172"/>
      <c r="X28" s="173"/>
      <c r="Y28" s="173"/>
    </row>
    <row r="29" spans="1:25" s="168" customFormat="1" hidden="1">
      <c r="A29" s="180"/>
      <c r="B29" s="181"/>
      <c r="C29" s="920" t="s">
        <v>176</v>
      </c>
      <c r="D29" s="921"/>
      <c r="E29" s="921"/>
      <c r="F29" s="921"/>
      <c r="G29" s="921"/>
      <c r="H29" s="719"/>
      <c r="I29" s="719"/>
      <c r="J29" s="719"/>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0" t="s">
        <v>177</v>
      </c>
      <c r="D30" s="930"/>
      <c r="E30" s="930"/>
      <c r="F30" s="930"/>
      <c r="G30" s="930"/>
      <c r="H30" s="720"/>
      <c r="I30" s="720"/>
      <c r="J30" s="720"/>
      <c r="K30" s="170"/>
      <c r="L30" s="170"/>
      <c r="M30" s="170"/>
      <c r="N30" s="170"/>
      <c r="O30" s="170"/>
      <c r="P30" s="170"/>
      <c r="Q30" s="170"/>
      <c r="R30" s="171"/>
      <c r="S30" s="171"/>
      <c r="T30" s="171"/>
      <c r="U30" s="172"/>
      <c r="V30" s="172"/>
      <c r="W30" s="172"/>
      <c r="X30" s="173"/>
      <c r="Y30" s="173"/>
    </row>
    <row r="31" spans="1:25" s="168" customFormat="1" ht="48.75" hidden="1" customHeight="1">
      <c r="A31" s="180"/>
      <c r="B31" s="931"/>
      <c r="C31" s="931"/>
      <c r="D31" s="931"/>
      <c r="E31" s="931"/>
      <c r="F31" s="931"/>
      <c r="G31" s="931"/>
      <c r="H31" s="721">
        <f>SUM(H15:H28)</f>
        <v>0</v>
      </c>
      <c r="I31" s="721">
        <f>SUM(I15:I28)</f>
        <v>0</v>
      </c>
      <c r="J31" s="721">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0" t="s">
        <v>178</v>
      </c>
      <c r="D32" s="932"/>
      <c r="E32" s="932"/>
      <c r="F32" s="932"/>
      <c r="G32" s="932"/>
      <c r="H32" s="722" t="e">
        <f>(1-(H31/I2))</f>
        <v>#DIV/0!</v>
      </c>
      <c r="I32" s="722" t="e">
        <f>(1-(I31/I3))</f>
        <v>#DIV/0!</v>
      </c>
      <c r="J32" s="723"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25" t="s">
        <v>337</v>
      </c>
      <c r="B33" s="925"/>
      <c r="C33" s="925"/>
      <c r="D33" s="925"/>
      <c r="E33" s="925"/>
      <c r="F33" s="925"/>
      <c r="G33" s="925"/>
      <c r="H33" s="724"/>
      <c r="I33" s="724"/>
      <c r="J33" s="724"/>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24"/>
      <c r="I34" s="724"/>
      <c r="J34" s="724"/>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25">
        <f>SUM(H15:H26)</f>
        <v>0</v>
      </c>
      <c r="I35" s="726">
        <f>SUM(I15:I26)</f>
        <v>0</v>
      </c>
      <c r="J35" s="727">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48">
        <f>IF(J6=0,0,1-(H35/J6))</f>
        <v>0</v>
      </c>
      <c r="I36" s="648">
        <f>IF(J7=0,0,1-(I35/J7))</f>
        <v>0</v>
      </c>
      <c r="J36" s="649">
        <f>IF(J8=0,0,1-(J35/J8))</f>
        <v>0</v>
      </c>
      <c r="K36" s="623" t="s">
        <v>360</v>
      </c>
    </row>
    <row r="37" spans="1:25" ht="19.5" customHeight="1">
      <c r="A37" s="190"/>
      <c r="B37" s="190"/>
      <c r="C37" s="191"/>
      <c r="D37" s="189"/>
      <c r="E37" s="187"/>
      <c r="F37" s="187"/>
      <c r="G37" s="617"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68" t="str">
        <f>'Sch-7'!C21:D21</f>
        <v xml:space="preserve">  </v>
      </c>
      <c r="D39" s="194"/>
      <c r="E39" s="195" t="s">
        <v>183</v>
      </c>
      <c r="F39" s="732">
        <f>'Names of Bidder'!D24</f>
        <v>0</v>
      </c>
      <c r="G39" s="733"/>
      <c r="H39" s="448"/>
    </row>
    <row r="40" spans="1:25" ht="23.25" customHeight="1">
      <c r="A40" s="197" t="s">
        <v>184</v>
      </c>
      <c r="B40" s="197"/>
      <c r="C40" s="669" t="str">
        <f>'Sch-7'!C22:D22</f>
        <v/>
      </c>
      <c r="D40" s="198"/>
      <c r="E40" s="195" t="s">
        <v>185</v>
      </c>
      <c r="F40" s="732">
        <f>'Names of Bidder'!D25</f>
        <v>0</v>
      </c>
      <c r="G40" s="733"/>
      <c r="H40" s="153"/>
    </row>
  </sheetData>
  <sheetProtection password="CC6F" sheet="1" formatColumns="0" formatRows="0" selectLockedCells="1"/>
  <customSheetViews>
    <customSheetView guid="{CCA37BAE-906F-43D5-9FD9-B13563E4B9D7}" showPageBreaks="1" zeroValues="0" printArea="1" hiddenRows="1" hiddenColumns="1" view="pageBreakPreview" topLeftCell="A6">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A9345C4-09FE-4F27-BFD9-3D9BCD2DED09}" showPageBreaks="1" zeroValues="0" printArea="1" hiddenRows="1" hiddenColumns="1" view="pageBreakPreview" topLeftCell="A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2"/>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8" t="s">
        <v>186</v>
      </c>
      <c r="B2" s="948"/>
      <c r="C2" s="948"/>
      <c r="D2" s="948"/>
      <c r="E2" s="188"/>
    </row>
    <row r="3" spans="1:6">
      <c r="A3" s="199"/>
      <c r="B3" s="200"/>
      <c r="C3" s="200"/>
      <c r="D3" s="200"/>
      <c r="E3" s="200"/>
    </row>
    <row r="4" spans="1:6" ht="30">
      <c r="A4" s="201" t="s">
        <v>187</v>
      </c>
      <c r="B4" s="202" t="s">
        <v>188</v>
      </c>
      <c r="C4" s="201" t="s">
        <v>140</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CA9345C4-09FE-4F27-BFD9-3D9BCD2DED09}" state="hidden" topLeftCell="A4">
      <selection activeCell="D6" sqref="D6"/>
      <pageMargins left="0.75" right="0.75" top="0.65" bottom="1" header="0.5" footer="0.5"/>
      <pageSetup orientation="portrait" r:id="rId2"/>
      <headerFooter alignWithMargins="0"/>
    </customSheetView>
    <customSheetView guid="{7AB1F867-F01E-4EB9-A93D-DDCFDB9AA444}"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497EA202-A8B8-45C5-9E6C-C3CD104F3979}"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D5521983-A70D-48A3-9506-C0263CBBC57D}" state="hidden" topLeftCell="A4">
      <selection activeCell="D6" sqref="D6"/>
      <pageMargins left="0.75" right="0.75" top="0.65" bottom="1" header="0.5" footer="0.5"/>
      <pageSetup orientation="portrait" r:id="rId10"/>
      <headerFooter alignWithMargins="0"/>
    </customSheetView>
    <customSheetView guid="{12A89170-4F84-482D-A3C5-7890082E7B73}" state="hidden" topLeftCell="A4">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8" t="s">
        <v>197</v>
      </c>
      <c r="B2" s="948"/>
      <c r="C2" s="948"/>
      <c r="D2" s="949"/>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CA9345C4-09FE-4F27-BFD9-3D9BCD2DED09}" state="hidden" topLeftCell="A13">
      <selection activeCell="D6" sqref="D6"/>
      <pageMargins left="0.75" right="0.75" top="0.65" bottom="1" header="0.5" footer="0.5"/>
      <pageSetup orientation="portrait" r:id="rId2"/>
      <headerFooter alignWithMargins="0"/>
    </customSheetView>
    <customSheetView guid="{7AB1F867-F01E-4EB9-A93D-DDCFDB9AA444}"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497EA202-A8B8-45C5-9E6C-C3CD104F3979}"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D5521983-A70D-48A3-9506-C0263CBBC57D}" state="hidden" topLeftCell="A13">
      <selection activeCell="D6" sqref="D6"/>
      <pageMargins left="0.75" right="0.75" top="0.65" bottom="1" header="0.5" footer="0.5"/>
      <pageSetup orientation="portrait" r:id="rId10"/>
      <headerFooter alignWithMargins="0"/>
    </customSheetView>
    <customSheetView guid="{12A89170-4F84-482D-A3C5-7890082E7B73}" state="hidden" topLeftCell="A13">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48" t="s">
        <v>201</v>
      </c>
      <c r="B2" s="948"/>
      <c r="C2" s="948"/>
      <c r="D2" s="948"/>
      <c r="E2" s="949"/>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CA9345C4-09FE-4F27-BFD9-3D9BCD2DED09}" state="hidden" topLeftCell="A5">
      <selection activeCell="D11" sqref="D11"/>
      <pageMargins left="0.75" right="0.62" top="0.65" bottom="1" header="0.5" footer="0.5"/>
      <pageSetup orientation="portrait" r:id="rId2"/>
      <headerFooter alignWithMargins="0"/>
    </customSheetView>
    <customSheetView guid="{7AB1F867-F01E-4EB9-A93D-DDCFDB9AA444}"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497EA202-A8B8-45C5-9E6C-C3CD104F3979}"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D5521983-A70D-48A3-9506-C0263CBBC57D}" state="hidden" topLeftCell="A5">
      <selection activeCell="D11" sqref="D11"/>
      <pageMargins left="0.75" right="0.62" top="0.65" bottom="1" header="0.5" footer="0.5"/>
      <pageSetup orientation="portrait" r:id="rId10"/>
      <headerFooter alignWithMargins="0"/>
    </customSheetView>
    <customSheetView guid="{12A89170-4F84-482D-A3C5-7890082E7B73}" state="hidden" topLeftCell="A5">
      <selection activeCell="D11" sqref="D11"/>
      <pageMargins left="0.75" right="0.62" top="0.65" bottom="1" header="0.5" footer="0.5"/>
      <pageSetup orientation="portrait" r:id="rId11"/>
      <headerFooter alignWithMargins="0"/>
    </customSheetView>
  </customSheetViews>
  <mergeCells count="1">
    <mergeCell ref="A2:E2"/>
  </mergeCells>
  <pageMargins left="0.75" right="0.62" top="0.65"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7"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5002002223/GIS-EXCLUDING/DOM/A00 - CC CS -1</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68" t="s">
        <v>213</v>
      </c>
      <c r="B3" s="968"/>
      <c r="C3" s="968"/>
      <c r="D3" s="968"/>
      <c r="E3" s="968"/>
      <c r="F3" s="968"/>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69"/>
      <c r="D5" s="969"/>
      <c r="E5" s="969"/>
      <c r="F5" s="969"/>
      <c r="AE5" s="222">
        <v>5</v>
      </c>
      <c r="AF5" s="222" t="s">
        <v>216</v>
      </c>
      <c r="AI5" s="222">
        <v>5</v>
      </c>
      <c r="AJ5" s="221" t="s">
        <v>219</v>
      </c>
    </row>
    <row r="6" spans="1:36">
      <c r="A6" s="224" t="s">
        <v>220</v>
      </c>
      <c r="B6" s="959" t="str">
        <f>'Names of Bidder'!D27&amp;'Names of Bidder'!E27&amp;'Names of Bidder'!F27</f>
        <v/>
      </c>
      <c r="C6" s="959"/>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57" customHeight="1">
      <c r="A15" s="600" t="s">
        <v>228</v>
      </c>
      <c r="B15" s="601"/>
      <c r="C15" s="970" t="str">
        <f>Cover!B2</f>
        <v xml:space="preserve">Substation Package SS-92 for Extension of 400/220kV GIS Indore S/S under Transmission System associated with Scheme to control fault level at Indore Substation in Western Region
</v>
      </c>
      <c r="D15" s="970"/>
      <c r="E15" s="970"/>
      <c r="F15" s="970"/>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6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6"/>
      <c r="D17" s="966"/>
      <c r="E17" s="966"/>
      <c r="F17" s="966"/>
      <c r="H17" s="705" t="s">
        <v>303</v>
      </c>
      <c r="Z17" s="233"/>
      <c r="AA17" s="234"/>
      <c r="AB17" s="235"/>
      <c r="AC17" s="236"/>
      <c r="AE17" s="222">
        <v>17</v>
      </c>
      <c r="AF17" s="222" t="s">
        <v>216</v>
      </c>
    </row>
    <row r="18" spans="1:41" ht="24.75" customHeight="1">
      <c r="A18" s="232"/>
      <c r="B18" s="966"/>
      <c r="C18" s="966"/>
      <c r="D18" s="966"/>
      <c r="E18" s="966"/>
      <c r="F18" s="966"/>
      <c r="H18" s="706">
        <f>ROUND('Sch-6 (After Discount)'!D28,2)</f>
        <v>0</v>
      </c>
      <c r="I18" s="219" t="s">
        <v>472</v>
      </c>
      <c r="Z18" s="233"/>
      <c r="AA18" s="234"/>
      <c r="AB18" s="235"/>
      <c r="AC18" s="236"/>
    </row>
    <row r="19" spans="1:41" ht="9" customHeight="1">
      <c r="A19" s="232"/>
      <c r="B19" s="966"/>
      <c r="C19" s="966"/>
      <c r="D19" s="966"/>
      <c r="E19" s="966"/>
      <c r="F19" s="966"/>
      <c r="H19" s="707" t="str">
        <f>'N-W (Cr.)'!P4</f>
        <v/>
      </c>
      <c r="N19" s="219" t="s">
        <v>471</v>
      </c>
      <c r="Z19" s="233"/>
      <c r="AA19" s="234"/>
      <c r="AB19" s="235"/>
      <c r="AC19" s="236"/>
    </row>
    <row r="20" spans="1:41" ht="39" customHeight="1">
      <c r="B20" s="967" t="s">
        <v>230</v>
      </c>
      <c r="C20" s="967"/>
      <c r="D20" s="967"/>
      <c r="E20" s="967"/>
      <c r="F20" s="967"/>
      <c r="H20" s="218" t="s">
        <v>302</v>
      </c>
      <c r="AE20" s="222">
        <v>18</v>
      </c>
      <c r="AF20" s="222" t="s">
        <v>216</v>
      </c>
    </row>
    <row r="21" spans="1:41" s="218" customFormat="1" ht="27.75" customHeight="1">
      <c r="A21" s="237">
        <v>2</v>
      </c>
      <c r="B21" s="965" t="s">
        <v>231</v>
      </c>
      <c r="C21" s="965"/>
      <c r="D21" s="965"/>
      <c r="E21" s="965"/>
      <c r="F21" s="965"/>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60" t="s">
        <v>232</v>
      </c>
      <c r="C22" s="960"/>
      <c r="D22" s="960"/>
      <c r="E22" s="960"/>
      <c r="F22" s="960"/>
      <c r="AE22" s="222">
        <v>20</v>
      </c>
      <c r="AF22" s="222" t="s">
        <v>216</v>
      </c>
    </row>
    <row r="23" spans="1:41" ht="36.75" customHeight="1">
      <c r="B23" s="964" t="s">
        <v>233</v>
      </c>
      <c r="C23" s="964"/>
      <c r="D23" s="960" t="s">
        <v>234</v>
      </c>
      <c r="E23" s="960"/>
      <c r="F23" s="960"/>
      <c r="AE23" s="222">
        <v>21</v>
      </c>
      <c r="AF23" s="222" t="s">
        <v>209</v>
      </c>
    </row>
    <row r="24" spans="1:41" ht="33" customHeight="1">
      <c r="B24" s="964" t="s">
        <v>235</v>
      </c>
      <c r="C24" s="964"/>
      <c r="D24" s="231" t="s">
        <v>304</v>
      </c>
      <c r="E24" s="231"/>
      <c r="F24" s="231"/>
      <c r="AE24" s="222">
        <v>22</v>
      </c>
      <c r="AF24" s="222" t="s">
        <v>216</v>
      </c>
    </row>
    <row r="25" spans="1:41" ht="27.95" customHeight="1">
      <c r="B25" s="964" t="s">
        <v>236</v>
      </c>
      <c r="C25" s="964"/>
      <c r="D25" s="231" t="s">
        <v>237</v>
      </c>
      <c r="E25" s="231"/>
      <c r="F25" s="231"/>
      <c r="H25" s="240" t="str">
        <f>'[6]Names of Bidder'!D6</f>
        <v>Sole Bidder</v>
      </c>
      <c r="AE25" s="222">
        <v>23</v>
      </c>
      <c r="AF25" s="222" t="s">
        <v>216</v>
      </c>
    </row>
    <row r="26" spans="1:41" ht="27.95" customHeight="1">
      <c r="B26" s="964" t="s">
        <v>238</v>
      </c>
      <c r="C26" s="964"/>
      <c r="D26" s="231" t="s">
        <v>239</v>
      </c>
      <c r="E26" s="231"/>
      <c r="F26" s="231"/>
      <c r="AE26" s="222">
        <v>24</v>
      </c>
      <c r="AF26" s="222" t="s">
        <v>216</v>
      </c>
    </row>
    <row r="27" spans="1:41" ht="27.95" customHeight="1">
      <c r="B27" s="964" t="s">
        <v>240</v>
      </c>
      <c r="C27" s="964"/>
      <c r="D27" s="231" t="s">
        <v>241</v>
      </c>
      <c r="E27" s="231"/>
      <c r="F27" s="231"/>
      <c r="AE27" s="222">
        <v>25</v>
      </c>
      <c r="AF27" s="222" t="s">
        <v>216</v>
      </c>
    </row>
    <row r="28" spans="1:41" ht="27.95" customHeight="1">
      <c r="B28" s="964" t="s">
        <v>242</v>
      </c>
      <c r="C28" s="964"/>
      <c r="D28" s="231" t="s">
        <v>243</v>
      </c>
      <c r="E28" s="231"/>
      <c r="F28" s="231"/>
      <c r="AE28" s="222">
        <v>26</v>
      </c>
      <c r="AF28" s="222" t="s">
        <v>216</v>
      </c>
    </row>
    <row r="29" spans="1:41" ht="27.95" customHeight="1">
      <c r="B29" s="964" t="s">
        <v>29</v>
      </c>
      <c r="C29" s="964"/>
      <c r="D29" s="231" t="s">
        <v>244</v>
      </c>
      <c r="E29" s="231"/>
      <c r="F29" s="231"/>
      <c r="AE29" s="222">
        <v>27</v>
      </c>
      <c r="AF29" s="222" t="s">
        <v>216</v>
      </c>
    </row>
    <row r="30" spans="1:41" ht="98.25" customHeight="1">
      <c r="A30" s="241">
        <v>2.2000000000000002</v>
      </c>
      <c r="B30" s="960" t="s">
        <v>245</v>
      </c>
      <c r="C30" s="960"/>
      <c r="D30" s="960"/>
      <c r="E30" s="960"/>
      <c r="F30" s="960"/>
      <c r="AE30" s="222">
        <v>28</v>
      </c>
      <c r="AF30" s="222" t="s">
        <v>216</v>
      </c>
    </row>
    <row r="31" spans="1:41" ht="68.25" customHeight="1">
      <c r="A31" s="241">
        <v>2.2999999999999998</v>
      </c>
      <c r="B31" s="960" t="s">
        <v>246</v>
      </c>
      <c r="C31" s="960"/>
      <c r="D31" s="960"/>
      <c r="E31" s="960"/>
      <c r="F31" s="960"/>
      <c r="AE31" s="222">
        <v>29</v>
      </c>
      <c r="AF31" s="222" t="s">
        <v>216</v>
      </c>
    </row>
    <row r="32" spans="1:41" ht="129.75" customHeight="1">
      <c r="A32" s="241">
        <v>2.4</v>
      </c>
      <c r="B32" s="960" t="s">
        <v>247</v>
      </c>
      <c r="C32" s="960"/>
      <c r="D32" s="960"/>
      <c r="E32" s="960"/>
      <c r="F32" s="960"/>
      <c r="AE32" s="222">
        <v>30</v>
      </c>
      <c r="AF32" s="222" t="s">
        <v>216</v>
      </c>
    </row>
    <row r="33" spans="1:32" ht="79.5" customHeight="1">
      <c r="A33" s="241">
        <v>2.5</v>
      </c>
      <c r="B33" s="960" t="s">
        <v>248</v>
      </c>
      <c r="C33" s="960"/>
      <c r="D33" s="960"/>
      <c r="E33" s="960"/>
      <c r="F33" s="960"/>
      <c r="AE33" s="222">
        <v>31</v>
      </c>
      <c r="AF33" s="222" t="s">
        <v>209</v>
      </c>
    </row>
    <row r="34" spans="1:32" ht="81" customHeight="1">
      <c r="A34" s="232">
        <v>3</v>
      </c>
      <c r="B34" s="960" t="s">
        <v>249</v>
      </c>
      <c r="C34" s="960"/>
      <c r="D34" s="960"/>
      <c r="E34" s="960"/>
      <c r="F34" s="960"/>
    </row>
    <row r="35" spans="1:32" ht="63" customHeight="1">
      <c r="A35" s="232">
        <v>3.1</v>
      </c>
      <c r="B35" s="961" t="s">
        <v>305</v>
      </c>
      <c r="C35" s="961"/>
      <c r="D35" s="961"/>
      <c r="E35" s="961"/>
      <c r="F35" s="961"/>
    </row>
    <row r="36" spans="1:32" ht="114" customHeight="1">
      <c r="A36" s="241">
        <v>3.2</v>
      </c>
      <c r="B36" s="960" t="s">
        <v>306</v>
      </c>
      <c r="C36" s="960"/>
      <c r="D36" s="960"/>
      <c r="E36" s="960"/>
      <c r="F36" s="960"/>
    </row>
    <row r="37" spans="1:32" ht="65.25" customHeight="1">
      <c r="A37" s="241">
        <v>3.3</v>
      </c>
      <c r="B37" s="960" t="s">
        <v>307</v>
      </c>
      <c r="C37" s="960"/>
      <c r="D37" s="960"/>
      <c r="E37" s="960"/>
      <c r="F37" s="960"/>
    </row>
    <row r="38" spans="1:32" ht="66" customHeight="1">
      <c r="A38" s="232">
        <v>4</v>
      </c>
      <c r="B38" s="960" t="s">
        <v>250</v>
      </c>
      <c r="C38" s="960"/>
      <c r="D38" s="960"/>
      <c r="E38" s="960"/>
      <c r="F38" s="960"/>
    </row>
    <row r="39" spans="1:32" ht="93" customHeight="1">
      <c r="A39" s="232">
        <v>5</v>
      </c>
      <c r="B39" s="960" t="s">
        <v>251</v>
      </c>
      <c r="C39" s="960"/>
      <c r="D39" s="960"/>
      <c r="E39" s="960"/>
      <c r="F39" s="960"/>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252</v>
      </c>
      <c r="F44" s="224"/>
    </row>
    <row r="45" spans="1:32" ht="30" customHeight="1">
      <c r="A45" s="250" t="s">
        <v>182</v>
      </c>
      <c r="B45" s="963" t="str">
        <f>Discount!C39</f>
        <v xml:space="preserve">  </v>
      </c>
      <c r="C45" s="959"/>
      <c r="D45" s="219"/>
      <c r="E45" s="249" t="s">
        <v>183</v>
      </c>
      <c r="F45" s="458">
        <f>Discount!F39</f>
        <v>0</v>
      </c>
    </row>
    <row r="46" spans="1:32" ht="30" customHeight="1">
      <c r="A46" s="250" t="s">
        <v>184</v>
      </c>
      <c r="B46" s="958" t="str">
        <f>Discount!C40</f>
        <v/>
      </c>
      <c r="C46" s="959"/>
      <c r="D46" s="219"/>
      <c r="E46" s="249" t="s">
        <v>185</v>
      </c>
      <c r="F46" s="458">
        <f>Discount!F40</f>
        <v>0</v>
      </c>
    </row>
    <row r="47" spans="1:32" ht="30" customHeight="1">
      <c r="B47" s="218"/>
      <c r="D47" s="219"/>
      <c r="E47" s="249" t="s">
        <v>253</v>
      </c>
    </row>
    <row r="48" spans="1:32" ht="30" customHeight="1">
      <c r="A48" s="962" t="str">
        <f>IF(H25="Sole Bidder", "", "In case of bid from a Joint Venture, name &amp; designation of representative of JV partner is to be provided and Bid Form is also to be signed by him.")</f>
        <v/>
      </c>
      <c r="B48" s="962"/>
      <c r="C48" s="962"/>
      <c r="D48" s="962"/>
      <c r="E48" s="962"/>
      <c r="F48" s="962"/>
    </row>
    <row r="49" spans="1:41" ht="5.25" customHeight="1">
      <c r="A49" s="251"/>
      <c r="B49" s="251"/>
      <c r="C49" s="242" t="str">
        <f>IF(Z2="2 or More", "Other Partner-2", "")</f>
        <v/>
      </c>
      <c r="D49" s="251"/>
      <c r="E49" s="252"/>
      <c r="F49" s="252" t="str">
        <f>IF(Z2=1,"Other Partner",IF(Z2="2 or More","Other Partner-1",""))</f>
        <v/>
      </c>
    </row>
    <row r="50" spans="1:41" ht="6"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1.5"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54" t="s">
        <v>255</v>
      </c>
      <c r="B55" s="954"/>
      <c r="C55" s="954"/>
      <c r="D55" s="952"/>
      <c r="E55" s="953"/>
      <c r="F55" s="953"/>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57"/>
      <c r="B56" s="957"/>
      <c r="C56" s="957"/>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55"/>
      <c r="B57" s="955"/>
      <c r="C57" s="955"/>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0" t="s">
        <v>256</v>
      </c>
      <c r="B58" s="950"/>
      <c r="C58" s="950"/>
      <c r="D58" s="952"/>
      <c r="E58" s="953"/>
      <c r="F58" s="953"/>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0" t="s">
        <v>257</v>
      </c>
      <c r="B59" s="950"/>
      <c r="C59" s="950"/>
      <c r="D59" s="952"/>
      <c r="E59" s="953"/>
      <c r="F59" s="953"/>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0" t="s">
        <v>258</v>
      </c>
      <c r="B60" s="950"/>
      <c r="C60" s="950"/>
      <c r="D60" s="952"/>
      <c r="E60" s="953"/>
      <c r="F60" s="953"/>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54" t="s">
        <v>259</v>
      </c>
      <c r="B61" s="954"/>
      <c r="C61" s="954"/>
      <c r="D61" s="952"/>
      <c r="E61" s="953"/>
      <c r="F61" s="953"/>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57"/>
      <c r="B62" s="957"/>
      <c r="C62" s="957"/>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55"/>
      <c r="B63" s="955"/>
      <c r="C63" s="955"/>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5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56"/>
      <c r="C64" s="956"/>
      <c r="D64" s="956"/>
      <c r="E64" s="956"/>
      <c r="F64" s="956"/>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51" t="s">
        <v>114</v>
      </c>
      <c r="B65" s="951"/>
      <c r="C65" s="951"/>
      <c r="D65" s="951"/>
      <c r="E65" s="951"/>
      <c r="F65" s="951"/>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6F" sheet="1" formatColumns="0" formatRows="0" selectLockedCells="1"/>
  <customSheetViews>
    <customSheetView guid="{CCA37BAE-906F-43D5-9FD9-B13563E4B9D7}" showPageBreaks="1" showGridLines="0" zeroValues="0" fitToPage="1" printArea="1" hiddenColumns="1" view="pageBreakPreview" topLeftCell="A7">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A9345C4-09FE-4F27-BFD9-3D9BCD2DED09}" showPageBreaks="1" showGridLines="0" zeroValues="0" fitToPage="1" printArea="1" hiddenColumns="1" view="pageBreakPreview" topLeftCell="A39">
      <selection activeCell="F51" sqref="F51"/>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2"/>
  <headerFooter alignWithMargins="0">
    <oddFooter>&amp;R&amp;"Book Antiqua,Bold"&amp;8Bid Form (1st Envelope)  / Page &amp;P of &amp;N</oddFooter>
  </headerFooter>
  <rowBreaks count="1" manualBreakCount="1">
    <brk id="53" max="5" man="1"/>
  </rowBreaks>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7"/>
      <c r="B2" s="338"/>
      <c r="C2" s="339"/>
      <c r="D2" s="340"/>
      <c r="E2" s="341"/>
      <c r="F2" s="385"/>
      <c r="G2" s="385"/>
      <c r="H2" s="321"/>
      <c r="I2" s="342"/>
    </row>
    <row r="3" spans="1:9" ht="16.5">
      <c r="A3" s="310"/>
      <c r="B3" s="311" t="s">
        <v>268</v>
      </c>
      <c r="C3" s="312"/>
      <c r="D3" s="313"/>
      <c r="E3" s="343"/>
      <c r="F3" s="385"/>
      <c r="G3" s="385"/>
      <c r="H3" s="344">
        <f>SUMIF(I1:I2,"Direct",H1:H2)</f>
        <v>0</v>
      </c>
      <c r="I3" s="314"/>
    </row>
    <row r="4" spans="1:9" ht="33">
      <c r="A4" s="310"/>
      <c r="B4" s="311" t="s">
        <v>269</v>
      </c>
      <c r="C4" s="312"/>
      <c r="D4" s="313"/>
      <c r="E4" s="343"/>
      <c r="F4" s="385"/>
      <c r="G4" s="385"/>
      <c r="H4" s="344">
        <f>SUMIF(J1:J2,"Bought-Out",H1:H2)</f>
        <v>0</v>
      </c>
      <c r="I4" s="314"/>
    </row>
    <row r="5" spans="1:9" ht="16.5">
      <c r="A5" s="315"/>
      <c r="B5" s="311" t="s">
        <v>270</v>
      </c>
      <c r="C5" s="316"/>
      <c r="D5" s="317"/>
      <c r="E5" s="318"/>
      <c r="F5" s="318"/>
      <c r="G5" s="318"/>
      <c r="H5" s="345">
        <f>H3+H4</f>
        <v>0</v>
      </c>
      <c r="I5" s="319"/>
    </row>
    <row r="6" spans="1:9" ht="16.5">
      <c r="A6" s="320"/>
      <c r="B6" s="971" t="s">
        <v>271</v>
      </c>
      <c r="C6" s="971"/>
      <c r="D6" s="971"/>
      <c r="E6" s="321"/>
      <c r="F6" s="385"/>
      <c r="G6" s="385"/>
      <c r="H6" s="344" t="e">
        <f>'Sch-7'!#REF!</f>
        <v>#REF!</v>
      </c>
      <c r="I6" s="322"/>
    </row>
    <row r="7" spans="1:9" ht="17.25" thickBot="1">
      <c r="A7" s="323"/>
      <c r="B7" s="972" t="s">
        <v>272</v>
      </c>
      <c r="C7" s="972"/>
      <c r="D7" s="972"/>
      <c r="E7" s="324"/>
      <c r="F7" s="324"/>
      <c r="G7" s="324"/>
      <c r="H7" s="346" t="e">
        <f>H5+H6</f>
        <v>#REF!</v>
      </c>
      <c r="I7" s="325"/>
    </row>
    <row r="8" spans="1:9" ht="16.5">
      <c r="A8" s="973"/>
      <c r="B8" s="973"/>
      <c r="C8" s="973"/>
      <c r="D8" s="973"/>
      <c r="E8" s="973"/>
      <c r="F8" s="973"/>
      <c r="G8" s="973"/>
    </row>
    <row r="9" spans="1:9" ht="15.75">
      <c r="A9" s="4"/>
      <c r="B9" s="974"/>
      <c r="C9" s="974"/>
      <c r="D9" s="974"/>
      <c r="E9" s="974"/>
      <c r="F9" s="974"/>
      <c r="G9" s="974"/>
    </row>
    <row r="10" spans="1:9" ht="16.5">
      <c r="A10" s="326"/>
      <c r="B10" s="326"/>
      <c r="C10" s="326"/>
      <c r="D10" s="326"/>
      <c r="E10" s="326"/>
      <c r="F10" s="326"/>
      <c r="G10" s="326"/>
    </row>
    <row r="11" spans="1:9" ht="90" customHeight="1">
      <c r="A11" s="327" t="s">
        <v>273</v>
      </c>
      <c r="B11" s="975" t="s">
        <v>274</v>
      </c>
      <c r="C11" s="975"/>
      <c r="D11" s="975"/>
      <c r="E11" s="975"/>
      <c r="F11" s="975"/>
      <c r="G11" s="975"/>
      <c r="H11" s="975"/>
      <c r="I11" s="975"/>
    </row>
    <row r="12" spans="1:9" ht="116.25" customHeight="1">
      <c r="A12" s="328" t="s">
        <v>275</v>
      </c>
      <c r="B12" s="976" t="s">
        <v>276</v>
      </c>
      <c r="C12" s="976"/>
      <c r="D12" s="976"/>
      <c r="E12" s="976"/>
      <c r="F12" s="976"/>
      <c r="G12" s="976"/>
      <c r="H12" s="976"/>
      <c r="I12" s="976"/>
    </row>
    <row r="13" spans="1:9" ht="15.75">
      <c r="A13" s="328"/>
      <c r="B13" s="976"/>
      <c r="C13" s="976"/>
      <c r="D13" s="976"/>
      <c r="E13" s="976"/>
      <c r="F13" s="976"/>
      <c r="G13" s="976"/>
    </row>
    <row r="14" spans="1:9" ht="16.5">
      <c r="A14" s="329" t="s">
        <v>161</v>
      </c>
      <c r="B14" s="330" t="str">
        <f>'Names of Bidder'!D$27&amp;"-"&amp; 'Names of Bidder'!E$27&amp;"-" &amp;'Names of Bidder'!F$27</f>
        <v>--</v>
      </c>
      <c r="C14" s="331"/>
      <c r="D14" s="332"/>
      <c r="E14" s="3"/>
      <c r="F14" s="3"/>
      <c r="G14" s="333"/>
    </row>
    <row r="15" spans="1:9" ht="16.5">
      <c r="A15" s="329" t="s">
        <v>162</v>
      </c>
      <c r="B15" s="330" t="str">
        <f>IF('Names of Bidder'!D$28=0, "", 'Names of Bidder'!D$28)</f>
        <v/>
      </c>
      <c r="C15" s="3"/>
      <c r="D15" s="332" t="s">
        <v>143</v>
      </c>
      <c r="E15" s="333" t="str">
        <f>IF('Names of Bidder'!D$24=0, "", 'Names of Bidder'!D$24)</f>
        <v/>
      </c>
      <c r="F15" s="3"/>
      <c r="G15" s="330" t="str">
        <f>'[6]Names of Bidder'!I14&amp;"-"&amp; '[6]Names of Bidder'!J14&amp;"-" &amp;'[6]Names of Bidder'!K14</f>
        <v>--</v>
      </c>
    </row>
    <row r="16" spans="1:9" ht="16.5">
      <c r="A16" s="334"/>
      <c r="B16" s="335"/>
      <c r="C16" s="336"/>
      <c r="D16" s="332" t="s">
        <v>145</v>
      </c>
      <c r="E16" s="333" t="str">
        <f>IF('Names of Bidder'!D$25=0, "", 'Names of Bidder'!D$25)</f>
        <v/>
      </c>
      <c r="F16" s="336"/>
      <c r="G16" s="336"/>
    </row>
    <row r="18" spans="1:11">
      <c r="A18" t="s">
        <v>282</v>
      </c>
    </row>
    <row r="20" spans="1:11" ht="17.25" thickBot="1">
      <c r="A20" s="347"/>
      <c r="B20" s="348" t="s">
        <v>283</v>
      </c>
      <c r="C20" s="349"/>
      <c r="D20" s="348"/>
      <c r="E20" s="324"/>
      <c r="F20" s="324"/>
      <c r="G20" s="324"/>
      <c r="H20" s="350" t="s">
        <v>297</v>
      </c>
    </row>
    <row r="21" spans="1:11" ht="16.5" thickBot="1">
      <c r="A21" s="351"/>
      <c r="B21" s="977"/>
      <c r="C21" s="977"/>
      <c r="D21" s="977"/>
      <c r="E21" s="977"/>
      <c r="F21" s="977"/>
    </row>
    <row r="22" spans="1:11" ht="15.75">
      <c r="A22" s="352"/>
      <c r="B22" s="978"/>
      <c r="C22" s="978"/>
      <c r="D22" s="978"/>
      <c r="E22" s="978"/>
      <c r="F22" s="978"/>
    </row>
    <row r="23" spans="1:11" ht="16.5">
      <c r="A23" s="329" t="s">
        <v>161</v>
      </c>
      <c r="B23" s="330" t="s">
        <v>262</v>
      </c>
      <c r="C23" s="353"/>
      <c r="D23" s="332"/>
      <c r="E23" s="3"/>
      <c r="F23" s="3"/>
    </row>
    <row r="24" spans="1:11" ht="16.5">
      <c r="A24" s="329" t="s">
        <v>162</v>
      </c>
      <c r="B24" s="330" t="s">
        <v>263</v>
      </c>
      <c r="C24" s="4"/>
      <c r="D24" s="332" t="s">
        <v>143</v>
      </c>
      <c r="E24" s="333" t="s">
        <v>284</v>
      </c>
      <c r="F24" s="3"/>
    </row>
    <row r="25" spans="1:11" ht="16.5">
      <c r="A25" s="334"/>
      <c r="B25" s="335"/>
      <c r="C25" s="334"/>
      <c r="D25" s="332" t="s">
        <v>145</v>
      </c>
      <c r="E25" s="333" t="s">
        <v>285</v>
      </c>
      <c r="F25" s="336"/>
    </row>
    <row r="27" spans="1:11">
      <c r="A27" t="s">
        <v>286</v>
      </c>
    </row>
    <row r="29" spans="1:11" ht="16.5">
      <c r="A29" s="354"/>
      <c r="B29" s="355" t="s">
        <v>287</v>
      </c>
      <c r="C29" s="355"/>
      <c r="D29" s="355"/>
      <c r="E29" s="356"/>
      <c r="F29" s="356"/>
      <c r="G29" s="356"/>
      <c r="H29" s="356"/>
      <c r="I29" s="356"/>
      <c r="J29" s="356"/>
      <c r="K29" s="357" t="e">
        <f>SUM(#REF!)</f>
        <v>#REF!</v>
      </c>
    </row>
    <row r="30" spans="1:11" ht="15.75">
      <c r="A30" s="352"/>
      <c r="B30" s="979"/>
      <c r="C30" s="974"/>
      <c r="D30" s="974"/>
      <c r="E30" s="974"/>
      <c r="F30" s="974"/>
      <c r="G30" s="974"/>
    </row>
    <row r="31" spans="1:11" ht="16.5">
      <c r="A31" s="358" t="s">
        <v>161</v>
      </c>
      <c r="B31" s="359" t="s">
        <v>262</v>
      </c>
      <c r="C31" s="360"/>
      <c r="D31" s="361"/>
      <c r="E31" s="362"/>
      <c r="F31" s="362"/>
      <c r="G31" s="7"/>
    </row>
    <row r="32" spans="1:11" ht="16.5">
      <c r="A32" s="358" t="s">
        <v>162</v>
      </c>
      <c r="B32" s="359" t="s">
        <v>263</v>
      </c>
      <c r="C32" s="362"/>
      <c r="D32" s="361" t="s">
        <v>143</v>
      </c>
      <c r="E32" s="363" t="s">
        <v>284</v>
      </c>
      <c r="F32" s="362"/>
      <c r="G32" s="7"/>
    </row>
    <row r="33" spans="1:8" ht="16.5">
      <c r="A33" s="364"/>
      <c r="B33" s="365"/>
      <c r="C33" s="366"/>
      <c r="D33" s="361" t="s">
        <v>145</v>
      </c>
      <c r="E33" s="363" t="s">
        <v>285</v>
      </c>
      <c r="F33" s="366"/>
      <c r="G33" s="7"/>
    </row>
    <row r="35" spans="1:8">
      <c r="A35" t="s">
        <v>290</v>
      </c>
    </row>
    <row r="37" spans="1:8" ht="30">
      <c r="A37" s="367" t="s">
        <v>161</v>
      </c>
      <c r="B37" s="368" t="s">
        <v>260</v>
      </c>
      <c r="C37" s="369"/>
      <c r="D37" s="912" t="s">
        <v>288</v>
      </c>
      <c r="E37" s="912"/>
      <c r="F37" s="980"/>
    </row>
    <row r="38" spans="1:8" ht="30">
      <c r="A38" s="367" t="s">
        <v>162</v>
      </c>
      <c r="B38" s="368" t="s">
        <v>261</v>
      </c>
      <c r="C38" s="24"/>
      <c r="D38" s="912" t="s">
        <v>289</v>
      </c>
      <c r="E38" s="912"/>
      <c r="F38" s="980"/>
    </row>
    <row r="40" spans="1:8">
      <c r="A40" t="s">
        <v>291</v>
      </c>
    </row>
    <row r="42" spans="1:8" ht="30">
      <c r="A42" s="370"/>
      <c r="B42" s="371" t="s">
        <v>292</v>
      </c>
      <c r="C42" s="371"/>
      <c r="D42" s="371"/>
      <c r="E42" s="371"/>
      <c r="F42" s="371"/>
      <c r="G42" s="371"/>
      <c r="H42" s="372" t="s">
        <v>298</v>
      </c>
    </row>
    <row r="43" spans="1:8" ht="16.5">
      <c r="A43" s="373"/>
      <c r="B43" s="374"/>
      <c r="C43" s="374"/>
      <c r="D43" s="374"/>
      <c r="E43" s="374"/>
      <c r="F43" s="374"/>
      <c r="G43" s="375"/>
    </row>
    <row r="44" spans="1:8">
      <c r="A44" s="374"/>
      <c r="B44" s="374"/>
      <c r="C44" s="374"/>
      <c r="D44" s="374"/>
      <c r="E44" s="374"/>
      <c r="F44" s="374"/>
      <c r="G44" s="376"/>
    </row>
    <row r="45" spans="1:8">
      <c r="A45" s="911"/>
      <c r="B45" s="911"/>
      <c r="C45" s="911"/>
      <c r="D45" s="911"/>
      <c r="E45" s="911"/>
      <c r="F45" s="911"/>
      <c r="G45" s="911"/>
    </row>
    <row r="46" spans="1:8">
      <c r="A46" s="377"/>
      <c r="B46" s="377"/>
      <c r="C46" s="912"/>
      <c r="D46" s="912"/>
      <c r="E46" s="912"/>
      <c r="F46" s="912"/>
      <c r="G46" s="912"/>
    </row>
    <row r="47" spans="1:8">
      <c r="A47" s="378" t="s">
        <v>161</v>
      </c>
      <c r="B47" s="379" t="s">
        <v>262</v>
      </c>
      <c r="C47" s="912" t="s">
        <v>293</v>
      </c>
      <c r="D47" s="912"/>
      <c r="E47" s="912"/>
      <c r="F47" s="912"/>
      <c r="G47" s="912"/>
    </row>
    <row r="48" spans="1:8">
      <c r="A48" s="378" t="s">
        <v>162</v>
      </c>
      <c r="B48" s="380" t="s">
        <v>263</v>
      </c>
      <c r="C48" s="912" t="s">
        <v>294</v>
      </c>
      <c r="D48" s="912"/>
      <c r="E48" s="912"/>
      <c r="F48" s="912"/>
      <c r="G48" s="912"/>
    </row>
    <row r="49" spans="1:7" ht="16.5">
      <c r="A49" s="23"/>
      <c r="B49" s="22"/>
      <c r="C49" s="912"/>
      <c r="D49" s="912"/>
      <c r="E49" s="912"/>
      <c r="F49" s="912"/>
      <c r="G49" s="912"/>
    </row>
    <row r="50" spans="1:7" ht="16.5">
      <c r="A50" s="23"/>
      <c r="B50" s="22"/>
      <c r="C50" s="381"/>
      <c r="D50" s="381"/>
      <c r="E50" s="381"/>
      <c r="F50" s="381"/>
      <c r="G50" s="381"/>
    </row>
    <row r="51" spans="1:7" ht="16.5">
      <c r="A51" s="382" t="s">
        <v>295</v>
      </c>
      <c r="B51" s="914" t="s">
        <v>296</v>
      </c>
      <c r="C51" s="914"/>
      <c r="D51" s="914"/>
      <c r="E51" s="914"/>
      <c r="F51" s="914"/>
      <c r="G51" s="383"/>
    </row>
    <row r="52" spans="1:7" ht="16.5">
      <c r="A52" s="384"/>
      <c r="B52" s="26"/>
      <c r="C52" s="26"/>
      <c r="D52" s="26"/>
      <c r="E52" s="26"/>
      <c r="F52" s="26"/>
      <c r="G52" s="26"/>
    </row>
    <row r="60" spans="1:7">
      <c r="B60" t="s">
        <v>264</v>
      </c>
    </row>
    <row r="61" spans="1:7">
      <c r="B61" t="s">
        <v>265</v>
      </c>
    </row>
  </sheetData>
  <customSheetViews>
    <customSheetView guid="{CCA37BAE-906F-43D5-9FD9-B13563E4B9D7}" state="hidden">
      <selection activeCell="H42" sqref="H42"/>
      <pageMargins left="0.7" right="0.7" top="0.75" bottom="0.75" header="0.3" footer="0.3"/>
    </customSheetView>
    <customSheetView guid="{CA9345C4-09FE-4F27-BFD9-3D9BCD2DED09}" state="hidden">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12A89170-4F84-482D-A3C5-7890082E7B73}"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customSheetView>
    <customSheetView guid="{CA9345C4-09FE-4F27-BFD9-3D9BCD2DED09}" state="hidden">
      <pageMargins left="0.7" right="0.7" top="0.75" bottom="0.75" header="0.3" footer="0.3"/>
    </customSheetView>
    <customSheetView guid="{7AB1F867-F01E-4EB9-A93D-DDCFDB9AA444}"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497EA202-A8B8-45C5-9E6C-C3CD104F3979}" state="hidden">
      <pageMargins left="0.7" right="0.7" top="0.75" bottom="0.75" header="0.3" footer="0.3"/>
    </customSheetView>
    <customSheetView guid="{63D51328-7CBC-4A1E-B96D-BAE91416501B}" state="hidden">
      <pageMargins left="0.7" right="0.7" top="0.75" bottom="0.75" header="0.3" footer="0.3"/>
    </customSheetView>
    <customSheetView guid="{D5521983-A70D-48A3-9506-C0263CBBC57D}" state="hidden">
      <pageMargins left="0.7" right="0.7" top="0.75" bottom="0.75" header="0.3" footer="0.3"/>
    </customSheetView>
    <customSheetView guid="{12A89170-4F84-482D-A3C5-7890082E7B73}"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92" hidden="1" customWidth="1"/>
    <col min="2" max="2" width="13.28515625" style="692" hidden="1" customWidth="1"/>
    <col min="3" max="3" width="0" style="692" hidden="1" customWidth="1"/>
    <col min="4" max="4" width="10.28515625" style="692" hidden="1" customWidth="1"/>
    <col min="5" max="5" width="3.42578125" style="692" hidden="1" customWidth="1"/>
    <col min="6" max="6" width="5.5703125" style="692" hidden="1" customWidth="1"/>
    <col min="7" max="7" width="11.42578125" style="692" hidden="1" customWidth="1"/>
    <col min="8" max="8" width="0" style="692" hidden="1" customWidth="1"/>
    <col min="9" max="9" width="10" style="692" hidden="1" customWidth="1"/>
    <col min="10" max="10" width="3.28515625" style="692" hidden="1" customWidth="1"/>
    <col min="11" max="11" width="5" style="692" hidden="1" customWidth="1"/>
    <col min="12" max="12" width="11.28515625" style="692" hidden="1" customWidth="1"/>
    <col min="13" max="13" width="0" style="692" hidden="1" customWidth="1"/>
    <col min="14" max="14" width="10.28515625" style="692" hidden="1" customWidth="1"/>
    <col min="15" max="15" width="3.7109375" style="692" hidden="1" customWidth="1"/>
    <col min="16" max="16" width="6.42578125" style="692" customWidth="1"/>
    <col min="17" max="17" width="14.85546875" style="692" customWidth="1"/>
    <col min="18" max="18" width="9.140625" style="692" customWidth="1"/>
    <col min="19" max="19" width="12" style="692" customWidth="1"/>
    <col min="20" max="20" width="3.28515625" style="692" hidden="1" customWidth="1"/>
    <col min="21" max="21" width="6.140625" style="692" hidden="1" customWidth="1"/>
    <col min="22" max="22" width="8.5703125" style="692" hidden="1" customWidth="1"/>
    <col min="23" max="23" width="8.42578125" style="692" hidden="1" customWidth="1"/>
    <col min="24" max="24" width="8.85546875" style="692" hidden="1" customWidth="1"/>
    <col min="25" max="116" width="0" style="692" hidden="1" customWidth="1"/>
    <col min="117" max="16384" width="9.140625" style="692"/>
  </cols>
  <sheetData>
    <row r="1" spans="1:27" ht="13.5" thickBot="1">
      <c r="A1" s="992" t="e">
        <v>#REF!</v>
      </c>
      <c r="B1" s="993"/>
      <c r="C1" s="672"/>
      <c r="D1" s="673"/>
      <c r="E1" s="697"/>
      <c r="F1" s="992">
        <v>0</v>
      </c>
      <c r="G1" s="993"/>
      <c r="H1" s="672"/>
      <c r="I1" s="673"/>
      <c r="K1" s="992" t="e">
        <v>#REF!</v>
      </c>
      <c r="L1" s="993"/>
      <c r="M1" s="672"/>
      <c r="N1" s="673"/>
      <c r="P1" s="992">
        <f>'Sch-6 (After Discount)'!D28</f>
        <v>0</v>
      </c>
      <c r="Q1" s="993"/>
      <c r="R1" s="672"/>
      <c r="S1" s="673"/>
      <c r="U1" s="696" t="e">
        <v>#REF!</v>
      </c>
    </row>
    <row r="2" spans="1:27">
      <c r="A2" s="987"/>
      <c r="B2" s="988"/>
      <c r="C2" s="672"/>
      <c r="D2" s="673"/>
      <c r="E2" s="697"/>
      <c r="F2" s="674"/>
      <c r="G2" s="672"/>
      <c r="H2" s="672"/>
      <c r="I2" s="673"/>
      <c r="K2" s="674"/>
      <c r="L2" s="672"/>
      <c r="M2" s="672"/>
      <c r="N2" s="673"/>
      <c r="P2" s="674"/>
      <c r="Q2" s="672"/>
      <c r="R2" s="672"/>
      <c r="S2" s="673"/>
      <c r="U2" s="696" t="e">
        <v>#REF!</v>
      </c>
    </row>
    <row r="3" spans="1:27">
      <c r="A3" s="674"/>
      <c r="B3" s="675"/>
      <c r="C3" s="675"/>
      <c r="D3" s="676"/>
      <c r="E3" s="698"/>
      <c r="F3" s="674"/>
      <c r="G3" s="675"/>
      <c r="H3" s="675"/>
      <c r="I3" s="676"/>
      <c r="K3" s="674"/>
      <c r="L3" s="675"/>
      <c r="M3" s="675"/>
      <c r="N3" s="676"/>
      <c r="P3" s="674"/>
      <c r="Q3" s="675"/>
      <c r="R3" s="675"/>
      <c r="S3" s="676"/>
      <c r="U3" s="696" t="s">
        <v>465</v>
      </c>
    </row>
    <row r="4" spans="1:27" ht="66.75" customHeight="1" thickBot="1">
      <c r="A4" s="989" t="e">
        <f>IF(OR((A1&gt;9999999999),(A1&lt;0)),"Invalid Entry - More than 1000 crore OR -ve value",IF(A1=0, "",+CONCATENATE(#REF!,B11,D11,B10,D10,B9,D9,B8,D8,B7,D7,B6," Only")))</f>
        <v>#REF!</v>
      </c>
      <c r="B4" s="990"/>
      <c r="C4" s="990"/>
      <c r="D4" s="991"/>
      <c r="E4" s="699"/>
      <c r="F4" s="989" t="str">
        <f>IF(OR((F1&gt;9999999999),(F1&lt;0)),"Invalid Entry - More than 1000 crore OR -ve value",IF(F1=0, "",+CONCATENATE(U1, G11,I11,G10,I10,G9,I9,G8,I8,G7,I7,G6," Only")))</f>
        <v/>
      </c>
      <c r="G4" s="990"/>
      <c r="H4" s="990"/>
      <c r="I4" s="991"/>
      <c r="J4" s="699"/>
      <c r="K4" s="989" t="e">
        <f>IF(OR((K1&gt;9999999999),(K1&lt;0)),"Invalid Entry - More than 1000 crore OR -ve value",IF(K1=0, "",+CONCATENATE(U2, L11,N11,L10,N10,L9,N9,L8,N8,L7,N7,L6," Only")))</f>
        <v>#REF!</v>
      </c>
      <c r="L4" s="990"/>
      <c r="M4" s="990"/>
      <c r="N4" s="991"/>
      <c r="P4" s="989" t="str">
        <f>IF(OR((P1&gt;9999999999),(P1&lt;0)),"Invalid Entry - More than 1000 crore OR -ve value",IF(P1=0, "",+CONCATENATE(U3, Q11,S11,Q10,S10,Q9,S9,Q8,S8,Q7,S7,Q6," Only")))</f>
        <v/>
      </c>
      <c r="Q4" s="990"/>
      <c r="R4" s="990"/>
      <c r="S4" s="991"/>
      <c r="U4" s="981" t="e">
        <f>VLOOKUP(1,T28:Y43,6,FALSE)</f>
        <v>#N/A</v>
      </c>
      <c r="V4" s="981"/>
      <c r="W4" s="981"/>
      <c r="X4" s="981"/>
      <c r="Y4" s="981"/>
      <c r="Z4" s="981"/>
      <c r="AA4" s="981"/>
    </row>
    <row r="5" spans="1:27" ht="18.75" customHeight="1" thickBot="1">
      <c r="A5" s="674"/>
      <c r="B5" s="675"/>
      <c r="C5" s="675"/>
      <c r="D5" s="676"/>
      <c r="E5" s="698"/>
      <c r="F5" s="674"/>
      <c r="G5" s="675"/>
      <c r="H5" s="675"/>
      <c r="I5" s="676"/>
      <c r="K5" s="674"/>
      <c r="L5" s="675"/>
      <c r="M5" s="675"/>
      <c r="N5" s="676"/>
      <c r="P5" s="674"/>
      <c r="Q5" s="675"/>
      <c r="R5" s="675"/>
      <c r="S5" s="676"/>
      <c r="U5" s="982" t="e">
        <f>VLOOKUP(1,T8:Y23,6,FALSE)</f>
        <v>#N/A</v>
      </c>
      <c r="V5" s="983"/>
      <c r="W5" s="983"/>
      <c r="X5" s="983"/>
      <c r="Y5" s="983"/>
      <c r="Z5" s="983"/>
      <c r="AA5" s="984"/>
    </row>
    <row r="6" spans="1:27">
      <c r="A6" s="677" t="e">
        <f>-INT(A1/100)*100+ROUND(A1,0)</f>
        <v>#REF!</v>
      </c>
      <c r="B6" s="675" t="e">
        <f t="shared" ref="B6:B11" si="0">IF(A6=0,"",LOOKUP(A6,$A$13:$A$112,$B$13:$B$112))</f>
        <v>#REF!</v>
      </c>
      <c r="C6" s="675"/>
      <c r="D6" s="678"/>
      <c r="E6" s="698"/>
      <c r="F6" s="677">
        <f>-INT(F1/100)*100+ROUND(F1,0)</f>
        <v>0</v>
      </c>
      <c r="G6" s="675" t="str">
        <f t="shared" ref="G6:G11" si="1">IF(F6=0,"",LOOKUP(F6,$A$13:$A$112,$B$13:$B$112))</f>
        <v/>
      </c>
      <c r="H6" s="675"/>
      <c r="I6" s="678"/>
      <c r="K6" s="677" t="e">
        <f>-INT(K1/100)*100+ROUND(K1,0)</f>
        <v>#REF!</v>
      </c>
      <c r="L6" s="675" t="e">
        <f t="shared" ref="L6:L11" si="2">IF(K6=0,"",LOOKUP(K6,$A$13:$A$112,$B$13:$B$112))</f>
        <v>#REF!</v>
      </c>
      <c r="M6" s="675"/>
      <c r="N6" s="678"/>
      <c r="P6" s="677">
        <f>-INT(P1/100)*100+ROUND(P1,0)</f>
        <v>0</v>
      </c>
      <c r="Q6" s="675" t="str">
        <f t="shared" ref="Q6:Q11" si="3">IF(P6=0,"",LOOKUP(P6,$A$13:$A$112,$B$13:$B$112))</f>
        <v/>
      </c>
      <c r="R6" s="675"/>
      <c r="S6" s="678"/>
    </row>
    <row r="7" spans="1:27">
      <c r="A7" s="677" t="e">
        <f>-INT(A1/1000)*10+INT(A1/100)</f>
        <v>#REF!</v>
      </c>
      <c r="B7" s="675" t="e">
        <f t="shared" si="0"/>
        <v>#REF!</v>
      </c>
      <c r="C7" s="675"/>
      <c r="D7" s="678" t="e">
        <f>+IF(B7="",""," Hundred ")</f>
        <v>#REF!</v>
      </c>
      <c r="E7" s="698"/>
      <c r="F7" s="677">
        <f>-INT(F1/1000)*10+INT(F1/100)</f>
        <v>0</v>
      </c>
      <c r="G7" s="675" t="str">
        <f t="shared" si="1"/>
        <v/>
      </c>
      <c r="H7" s="675"/>
      <c r="I7" s="678" t="str">
        <f>+IF(G7="",""," Hundred ")</f>
        <v/>
      </c>
      <c r="K7" s="677" t="e">
        <f>-INT(K1/1000)*10+INT(K1/100)</f>
        <v>#REF!</v>
      </c>
      <c r="L7" s="675" t="e">
        <f t="shared" si="2"/>
        <v>#REF!</v>
      </c>
      <c r="M7" s="675"/>
      <c r="N7" s="678" t="e">
        <f>+IF(L7="",""," Hundred ")</f>
        <v>#REF!</v>
      </c>
      <c r="P7" s="677">
        <f>-INT(P1/1000)*10+INT(P1/100)</f>
        <v>0</v>
      </c>
      <c r="Q7" s="675" t="str">
        <f t="shared" si="3"/>
        <v/>
      </c>
      <c r="R7" s="675"/>
      <c r="S7" s="678" t="str">
        <f>+IF(Q7="",""," Hundred ")</f>
        <v/>
      </c>
    </row>
    <row r="8" spans="1:27">
      <c r="A8" s="677" t="e">
        <f>-INT(A1/100000)*100+INT(A1/1000)</f>
        <v>#REF!</v>
      </c>
      <c r="B8" s="675" t="e">
        <f t="shared" si="0"/>
        <v>#REF!</v>
      </c>
      <c r="C8" s="675"/>
      <c r="D8" s="678" t="e">
        <f>IF((B8=""),IF(C8="",""," Thousand ")," Thousand ")</f>
        <v>#REF!</v>
      </c>
      <c r="E8" s="698"/>
      <c r="F8" s="677">
        <f>-INT(F1/100000)*100+INT(F1/1000)</f>
        <v>0</v>
      </c>
      <c r="G8" s="675" t="str">
        <f t="shared" si="1"/>
        <v/>
      </c>
      <c r="H8" s="675"/>
      <c r="I8" s="678" t="str">
        <f>IF((G8=""),IF(H8="",""," Thousand ")," Thousand ")</f>
        <v/>
      </c>
      <c r="K8" s="677" t="e">
        <f>-INT(K1/100000)*100+INT(K1/1000)</f>
        <v>#REF!</v>
      </c>
      <c r="L8" s="675" t="e">
        <f t="shared" si="2"/>
        <v>#REF!</v>
      </c>
      <c r="M8" s="675"/>
      <c r="N8" s="678" t="e">
        <f>IF((L8=""),IF(M8="",""," Thousand ")," Thousand ")</f>
        <v>#REF!</v>
      </c>
      <c r="P8" s="677">
        <f>-INT(P1/100000)*100+INT(P1/1000)</f>
        <v>0</v>
      </c>
      <c r="Q8" s="675" t="str">
        <f t="shared" si="3"/>
        <v/>
      </c>
      <c r="R8" s="675"/>
      <c r="S8" s="678" t="str">
        <f>IF((Q8=""),IF(R8="",""," Thousand ")," Thousand ")</f>
        <v/>
      </c>
      <c r="T8" s="700" t="e">
        <f>IF(Y8="",0, 1)</f>
        <v>#REF!</v>
      </c>
      <c r="U8" s="692">
        <v>0</v>
      </c>
      <c r="V8" s="692">
        <v>0</v>
      </c>
      <c r="W8" s="692">
        <v>0</v>
      </c>
      <c r="X8" s="692">
        <v>0</v>
      </c>
      <c r="Y8" s="701" t="e">
        <f>IF(AND($A$1=0,$F$1=0,$K$1=0,$P$1=0)," Zero only", "")</f>
        <v>#REF!</v>
      </c>
      <c r="AA8" s="692" t="s">
        <v>466</v>
      </c>
    </row>
    <row r="9" spans="1:27">
      <c r="A9" s="677" t="e">
        <f>-INT(A1/10000000)*100+INT(A1/100000)</f>
        <v>#REF!</v>
      </c>
      <c r="B9" s="675" t="e">
        <f t="shared" si="0"/>
        <v>#REF!</v>
      </c>
      <c r="C9" s="675"/>
      <c r="D9" s="678" t="e">
        <f>IF((B9=""),IF(C9="",""," Lac ")," Lac ")</f>
        <v>#REF!</v>
      </c>
      <c r="E9" s="698"/>
      <c r="F9" s="677">
        <f>-INT(F1/10000000)*100+INT(F1/100000)</f>
        <v>0</v>
      </c>
      <c r="G9" s="675" t="str">
        <f t="shared" si="1"/>
        <v/>
      </c>
      <c r="H9" s="675"/>
      <c r="I9" s="678" t="str">
        <f>IF((G9=""),IF(H9="",""," Lac ")," Lac ")</f>
        <v/>
      </c>
      <c r="K9" s="677" t="e">
        <f>-INT(K1/10000000)*100+INT(K1/100000)</f>
        <v>#REF!</v>
      </c>
      <c r="L9" s="675" t="e">
        <f t="shared" si="2"/>
        <v>#REF!</v>
      </c>
      <c r="M9" s="675"/>
      <c r="N9" s="678" t="e">
        <f>IF((L9=""),IF(M9="",""," Lac ")," Lac ")</f>
        <v>#REF!</v>
      </c>
      <c r="P9" s="677">
        <f>-INT(P1/10000000)*100+INT(P1/100000)</f>
        <v>0</v>
      </c>
      <c r="Q9" s="675" t="str">
        <f t="shared" si="3"/>
        <v/>
      </c>
      <c r="R9" s="675"/>
      <c r="S9" s="678" t="str">
        <f>IF((Q9=""),IF(R9="",""," Lac ")," Lac ")</f>
        <v/>
      </c>
      <c r="T9" s="700" t="e">
        <f t="shared" ref="T9:T23" si="4">IF(Y9="",0, 1)</f>
        <v>#REF!</v>
      </c>
      <c r="U9" s="692">
        <v>0</v>
      </c>
      <c r="V9" s="692">
        <v>0</v>
      </c>
      <c r="W9" s="692">
        <v>0</v>
      </c>
      <c r="X9" s="692">
        <v>1</v>
      </c>
      <c r="Y9" s="702" t="e">
        <f>IF(AND($A$1=0,$F$1=0,$K$1=0,$P$1&gt;0),$P$4, "")</f>
        <v>#REF!</v>
      </c>
    </row>
    <row r="10" spans="1:27">
      <c r="A10" s="677" t="e">
        <f>-INT(A1/1000000000)*100+INT(A1/10000000)</f>
        <v>#REF!</v>
      </c>
      <c r="B10" s="679" t="e">
        <f t="shared" si="0"/>
        <v>#REF!</v>
      </c>
      <c r="C10" s="675"/>
      <c r="D10" s="678" t="e">
        <f>IF((B10=""),IF(C10="",""," Crore ")," Crore ")</f>
        <v>#REF!</v>
      </c>
      <c r="E10" s="698"/>
      <c r="F10" s="677">
        <f>-INT(F1/1000000000)*100+INT(F1/10000000)</f>
        <v>0</v>
      </c>
      <c r="G10" s="679" t="str">
        <f t="shared" si="1"/>
        <v/>
      </c>
      <c r="H10" s="675"/>
      <c r="I10" s="678" t="str">
        <f>IF((G10=""),IF(H10="",""," Crore ")," Crore ")</f>
        <v/>
      </c>
      <c r="K10" s="677" t="e">
        <f>-INT(K1/1000000000)*100+INT(K1/10000000)</f>
        <v>#REF!</v>
      </c>
      <c r="L10" s="679" t="e">
        <f t="shared" si="2"/>
        <v>#REF!</v>
      </c>
      <c r="M10" s="675"/>
      <c r="N10" s="678" t="e">
        <f>IF((L10=""),IF(M10="",""," Crore ")," Crore ")</f>
        <v>#REF!</v>
      </c>
      <c r="P10" s="677">
        <f>-INT(P1/1000000000)*100+INT(P1/10000000)</f>
        <v>0</v>
      </c>
      <c r="Q10" s="679" t="str">
        <f t="shared" si="3"/>
        <v/>
      </c>
      <c r="R10" s="675"/>
      <c r="S10" s="678" t="str">
        <f>IF((Q10=""),IF(R10="",""," Crore ")," Crore ")</f>
        <v/>
      </c>
      <c r="T10" s="700" t="e">
        <f t="shared" si="4"/>
        <v>#REF!</v>
      </c>
      <c r="U10" s="692">
        <v>0</v>
      </c>
      <c r="V10" s="692">
        <v>0</v>
      </c>
      <c r="W10" s="692">
        <v>1</v>
      </c>
      <c r="X10" s="692">
        <v>0</v>
      </c>
      <c r="Y10" s="702" t="e">
        <f>IF(AND($A$1=0,$F$1=0,$K$1&gt;0,$P$1=0),$K$4, "")</f>
        <v>#REF!</v>
      </c>
    </row>
    <row r="11" spans="1:27">
      <c r="A11" s="680" t="e">
        <f>-INT(A1/10000000000)*1000+INT(A1/1000000000)</f>
        <v>#REF!</v>
      </c>
      <c r="B11" s="679" t="e">
        <f t="shared" si="0"/>
        <v>#REF!</v>
      </c>
      <c r="C11" s="675"/>
      <c r="D11" s="678" t="e">
        <f>IF((B11=""),IF(C11="",""," Hundred ")," Hundred ")</f>
        <v>#REF!</v>
      </c>
      <c r="E11" s="698"/>
      <c r="F11" s="680">
        <f>-INT(F1/10000000000)*1000+INT(F1/1000000000)</f>
        <v>0</v>
      </c>
      <c r="G11" s="679" t="str">
        <f t="shared" si="1"/>
        <v/>
      </c>
      <c r="H11" s="675"/>
      <c r="I11" s="678" t="str">
        <f>IF((G11=""),IF(H11="",""," Hundred ")," Hundred ")</f>
        <v/>
      </c>
      <c r="K11" s="680" t="e">
        <f>-INT(K1/10000000000)*1000+INT(K1/1000000000)</f>
        <v>#REF!</v>
      </c>
      <c r="L11" s="679" t="e">
        <f t="shared" si="2"/>
        <v>#REF!</v>
      </c>
      <c r="M11" s="675"/>
      <c r="N11" s="678" t="e">
        <f>IF((L11=""),IF(M11="",""," Hundred ")," Hundred ")</f>
        <v>#REF!</v>
      </c>
      <c r="P11" s="680">
        <f>-INT(P1/10000000000)*1000+INT(P1/1000000000)</f>
        <v>0</v>
      </c>
      <c r="Q11" s="679" t="str">
        <f t="shared" si="3"/>
        <v/>
      </c>
      <c r="R11" s="675"/>
      <c r="S11" s="678" t="str">
        <f>IF((Q11=""),IF(R11="",""," Hundred ")," Hundred ")</f>
        <v/>
      </c>
      <c r="T11" s="700" t="e">
        <f t="shared" si="4"/>
        <v>#REF!</v>
      </c>
      <c r="U11" s="692">
        <v>0</v>
      </c>
      <c r="V11" s="692">
        <v>0</v>
      </c>
      <c r="W11" s="692">
        <v>1</v>
      </c>
      <c r="X11" s="692">
        <v>1</v>
      </c>
      <c r="Y11" s="702" t="e">
        <f>IF(AND($A$1=0,$F$1=0,$K$1&gt;0,$P$1&gt;0),$K$4&amp;$AA$8&amp;$P$4, "")</f>
        <v>#REF!</v>
      </c>
    </row>
    <row r="12" spans="1:27">
      <c r="A12" s="681"/>
      <c r="B12" s="675"/>
      <c r="C12" s="675"/>
      <c r="D12" s="676"/>
      <c r="E12" s="698"/>
      <c r="F12" s="681"/>
      <c r="G12" s="675"/>
      <c r="H12" s="675"/>
      <c r="I12" s="676"/>
      <c r="K12" s="681"/>
      <c r="L12" s="675"/>
      <c r="M12" s="675"/>
      <c r="N12" s="676"/>
      <c r="P12" s="681"/>
      <c r="Q12" s="675"/>
      <c r="R12" s="675"/>
      <c r="S12" s="676"/>
      <c r="T12" s="700" t="e">
        <f t="shared" si="4"/>
        <v>#REF!</v>
      </c>
      <c r="U12" s="692">
        <v>0</v>
      </c>
      <c r="V12" s="692">
        <v>1</v>
      </c>
      <c r="W12" s="692">
        <v>0</v>
      </c>
      <c r="X12" s="692">
        <v>0</v>
      </c>
      <c r="Y12" s="702" t="e">
        <f>IF(AND($A$1=0,$F$1&gt;0,$K$1=0,$P$1=0),$F$4, "")</f>
        <v>#REF!</v>
      </c>
    </row>
    <row r="13" spans="1:27">
      <c r="A13" s="682">
        <v>1</v>
      </c>
      <c r="B13" s="683" t="s">
        <v>365</v>
      </c>
      <c r="C13" s="675"/>
      <c r="D13" s="676"/>
      <c r="E13" s="698"/>
      <c r="F13" s="682">
        <v>1</v>
      </c>
      <c r="G13" s="683" t="s">
        <v>365</v>
      </c>
      <c r="H13" s="675"/>
      <c r="I13" s="676"/>
      <c r="K13" s="682">
        <v>1</v>
      </c>
      <c r="L13" s="683" t="s">
        <v>365</v>
      </c>
      <c r="M13" s="675"/>
      <c r="N13" s="676"/>
      <c r="P13" s="682">
        <v>1</v>
      </c>
      <c r="Q13" s="683" t="s">
        <v>365</v>
      </c>
      <c r="R13" s="675"/>
      <c r="S13" s="676"/>
      <c r="T13" s="700" t="e">
        <f t="shared" si="4"/>
        <v>#REF!</v>
      </c>
      <c r="U13" s="692">
        <v>0</v>
      </c>
      <c r="V13" s="692">
        <v>1</v>
      </c>
      <c r="W13" s="692">
        <v>0</v>
      </c>
      <c r="X13" s="692">
        <v>1</v>
      </c>
      <c r="Y13" s="702" t="e">
        <f>IF(AND($A$1=0,$F$1&gt;0,$K$1=0,$P$1&gt;0),$F$4&amp;$AA$8&amp;$P$4, "")</f>
        <v>#REF!</v>
      </c>
    </row>
    <row r="14" spans="1:27">
      <c r="A14" s="682">
        <v>2</v>
      </c>
      <c r="B14" s="683" t="s">
        <v>366</v>
      </c>
      <c r="C14" s="675"/>
      <c r="D14" s="676"/>
      <c r="E14" s="698"/>
      <c r="F14" s="682">
        <v>2</v>
      </c>
      <c r="G14" s="683" t="s">
        <v>366</v>
      </c>
      <c r="H14" s="675"/>
      <c r="I14" s="676"/>
      <c r="K14" s="682">
        <v>2</v>
      </c>
      <c r="L14" s="683" t="s">
        <v>366</v>
      </c>
      <c r="M14" s="675"/>
      <c r="N14" s="676"/>
      <c r="P14" s="682">
        <v>2</v>
      </c>
      <c r="Q14" s="683" t="s">
        <v>366</v>
      </c>
      <c r="R14" s="675"/>
      <c r="S14" s="676"/>
      <c r="T14" s="700" t="e">
        <f t="shared" si="4"/>
        <v>#REF!</v>
      </c>
      <c r="U14" s="692">
        <v>0</v>
      </c>
      <c r="V14" s="692">
        <v>1</v>
      </c>
      <c r="W14" s="692">
        <v>1</v>
      </c>
      <c r="X14" s="692">
        <v>0</v>
      </c>
      <c r="Y14" s="702" t="e">
        <f>IF(AND($A$1=0,$F$1&gt;0,$K$1&gt;0,$P$1=0),$F$4&amp;$AA$8&amp;$K$4, "")</f>
        <v>#REF!</v>
      </c>
    </row>
    <row r="15" spans="1:27">
      <c r="A15" s="682">
        <v>3</v>
      </c>
      <c r="B15" s="683" t="s">
        <v>367</v>
      </c>
      <c r="C15" s="675"/>
      <c r="D15" s="676"/>
      <c r="E15" s="698"/>
      <c r="F15" s="682">
        <v>3</v>
      </c>
      <c r="G15" s="683" t="s">
        <v>367</v>
      </c>
      <c r="H15" s="675"/>
      <c r="I15" s="676"/>
      <c r="K15" s="682">
        <v>3</v>
      </c>
      <c r="L15" s="683" t="s">
        <v>367</v>
      </c>
      <c r="M15" s="675"/>
      <c r="N15" s="676"/>
      <c r="P15" s="682">
        <v>3</v>
      </c>
      <c r="Q15" s="683" t="s">
        <v>367</v>
      </c>
      <c r="R15" s="675"/>
      <c r="S15" s="676"/>
      <c r="T15" s="700" t="e">
        <f t="shared" si="4"/>
        <v>#REF!</v>
      </c>
      <c r="U15" s="692">
        <v>0</v>
      </c>
      <c r="V15" s="692">
        <v>1</v>
      </c>
      <c r="W15" s="692">
        <v>1</v>
      </c>
      <c r="X15" s="692">
        <v>1</v>
      </c>
      <c r="Y15" s="703" t="e">
        <f>IF(AND($A$1=0,$F$1&gt;0,$K$1&gt;0,$P$1&gt;0),$F$4&amp;$AA$8&amp;$K$4&amp;$AA$8&amp;$P$4, "")</f>
        <v>#REF!</v>
      </c>
    </row>
    <row r="16" spans="1:27">
      <c r="A16" s="682">
        <v>4</v>
      </c>
      <c r="B16" s="683" t="s">
        <v>368</v>
      </c>
      <c r="C16" s="675"/>
      <c r="D16" s="676"/>
      <c r="E16" s="698"/>
      <c r="F16" s="682">
        <v>4</v>
      </c>
      <c r="G16" s="683" t="s">
        <v>368</v>
      </c>
      <c r="H16" s="675"/>
      <c r="I16" s="676"/>
      <c r="K16" s="682">
        <v>4</v>
      </c>
      <c r="L16" s="683" t="s">
        <v>368</v>
      </c>
      <c r="M16" s="675"/>
      <c r="N16" s="676"/>
      <c r="P16" s="682">
        <v>4</v>
      </c>
      <c r="Q16" s="683" t="s">
        <v>368</v>
      </c>
      <c r="R16" s="675"/>
      <c r="S16" s="676"/>
      <c r="T16" s="700" t="e">
        <f t="shared" si="4"/>
        <v>#REF!</v>
      </c>
      <c r="U16" s="692">
        <v>1</v>
      </c>
      <c r="V16" s="692">
        <v>0</v>
      </c>
      <c r="W16" s="692">
        <v>0</v>
      </c>
      <c r="X16" s="692">
        <v>0</v>
      </c>
      <c r="Y16" s="701" t="e">
        <f>IF(AND($A$1&gt;0,$F$1=0,$K$1=0,$P$1=0), $A$4, "")</f>
        <v>#REF!</v>
      </c>
    </row>
    <row r="17" spans="1:27">
      <c r="A17" s="682">
        <v>5</v>
      </c>
      <c r="B17" s="683" t="s">
        <v>369</v>
      </c>
      <c r="C17" s="675"/>
      <c r="D17" s="676"/>
      <c r="E17" s="698"/>
      <c r="F17" s="682">
        <v>5</v>
      </c>
      <c r="G17" s="683" t="s">
        <v>369</v>
      </c>
      <c r="H17" s="675"/>
      <c r="I17" s="676"/>
      <c r="K17" s="682">
        <v>5</v>
      </c>
      <c r="L17" s="683" t="s">
        <v>369</v>
      </c>
      <c r="M17" s="675"/>
      <c r="N17" s="676"/>
      <c r="P17" s="682">
        <v>5</v>
      </c>
      <c r="Q17" s="683" t="s">
        <v>369</v>
      </c>
      <c r="R17" s="675"/>
      <c r="S17" s="676"/>
      <c r="T17" s="700" t="e">
        <f t="shared" si="4"/>
        <v>#REF!</v>
      </c>
      <c r="U17" s="692">
        <v>1</v>
      </c>
      <c r="V17" s="692">
        <v>0</v>
      </c>
      <c r="W17" s="692">
        <v>0</v>
      </c>
      <c r="X17" s="692">
        <v>1</v>
      </c>
      <c r="Y17" s="702" t="e">
        <f>IF(AND($A$1&gt;0,$F$1=0,$K$1=0,$P$1&gt;0),$A$4&amp;$AA$8&amp;$P$4, "")</f>
        <v>#REF!</v>
      </c>
    </row>
    <row r="18" spans="1:27">
      <c r="A18" s="682">
        <v>6</v>
      </c>
      <c r="B18" s="683" t="s">
        <v>370</v>
      </c>
      <c r="C18" s="675"/>
      <c r="D18" s="676"/>
      <c r="E18" s="698"/>
      <c r="F18" s="682">
        <v>6</v>
      </c>
      <c r="G18" s="683" t="s">
        <v>370</v>
      </c>
      <c r="H18" s="675"/>
      <c r="I18" s="676"/>
      <c r="K18" s="682">
        <v>6</v>
      </c>
      <c r="L18" s="683" t="s">
        <v>370</v>
      </c>
      <c r="M18" s="675"/>
      <c r="N18" s="676"/>
      <c r="P18" s="682">
        <v>6</v>
      </c>
      <c r="Q18" s="683" t="s">
        <v>370</v>
      </c>
      <c r="R18" s="675"/>
      <c r="S18" s="676"/>
      <c r="T18" s="700" t="e">
        <f t="shared" si="4"/>
        <v>#REF!</v>
      </c>
      <c r="U18" s="692">
        <v>1</v>
      </c>
      <c r="V18" s="692">
        <v>0</v>
      </c>
      <c r="W18" s="692">
        <v>1</v>
      </c>
      <c r="X18" s="692">
        <v>0</v>
      </c>
      <c r="Y18" s="702" t="e">
        <f>IF(AND($A$1&gt;0,$F$1=0,$K$1&gt;0,$P$1=0),$A$4&amp;$AA$8&amp;$K$4, "")</f>
        <v>#REF!</v>
      </c>
    </row>
    <row r="19" spans="1:27">
      <c r="A19" s="682">
        <v>7</v>
      </c>
      <c r="B19" s="683" t="s">
        <v>371</v>
      </c>
      <c r="C19" s="675"/>
      <c r="D19" s="676"/>
      <c r="E19" s="698"/>
      <c r="F19" s="682">
        <v>7</v>
      </c>
      <c r="G19" s="683" t="s">
        <v>371</v>
      </c>
      <c r="H19" s="675"/>
      <c r="I19" s="676"/>
      <c r="K19" s="682">
        <v>7</v>
      </c>
      <c r="L19" s="683" t="s">
        <v>371</v>
      </c>
      <c r="M19" s="675"/>
      <c r="N19" s="676"/>
      <c r="P19" s="682">
        <v>7</v>
      </c>
      <c r="Q19" s="683" t="s">
        <v>371</v>
      </c>
      <c r="R19" s="675"/>
      <c r="S19" s="676"/>
      <c r="T19" s="700" t="e">
        <f t="shared" si="4"/>
        <v>#REF!</v>
      </c>
      <c r="U19" s="692">
        <v>1</v>
      </c>
      <c r="V19" s="692">
        <v>0</v>
      </c>
      <c r="W19" s="692">
        <v>1</v>
      </c>
      <c r="X19" s="692">
        <v>1</v>
      </c>
      <c r="Y19" s="702" t="e">
        <f>IF(AND($A$1&gt;0,$F$1=0,$K$1&gt;0,$P$1&gt;0),$A$4&amp;$AA$8&amp;$K$4&amp;$AA$8&amp;$P$4, "")</f>
        <v>#REF!</v>
      </c>
    </row>
    <row r="20" spans="1:27">
      <c r="A20" s="682">
        <v>8</v>
      </c>
      <c r="B20" s="683" t="s">
        <v>372</v>
      </c>
      <c r="C20" s="675"/>
      <c r="D20" s="676"/>
      <c r="E20" s="698"/>
      <c r="F20" s="682">
        <v>8</v>
      </c>
      <c r="G20" s="683" t="s">
        <v>372</v>
      </c>
      <c r="H20" s="675"/>
      <c r="I20" s="676"/>
      <c r="K20" s="682">
        <v>8</v>
      </c>
      <c r="L20" s="683" t="s">
        <v>372</v>
      </c>
      <c r="M20" s="675"/>
      <c r="N20" s="676"/>
      <c r="P20" s="682">
        <v>8</v>
      </c>
      <c r="Q20" s="683" t="s">
        <v>372</v>
      </c>
      <c r="R20" s="675"/>
      <c r="S20" s="676"/>
      <c r="T20" s="700" t="e">
        <f t="shared" si="4"/>
        <v>#REF!</v>
      </c>
      <c r="U20" s="692">
        <v>1</v>
      </c>
      <c r="V20" s="692">
        <v>1</v>
      </c>
      <c r="W20" s="692">
        <v>0</v>
      </c>
      <c r="X20" s="692">
        <v>0</v>
      </c>
      <c r="Y20" s="702" t="e">
        <f>IF(AND($A$1&gt;0,$F$1&gt;0,$K$1=0,$P$1=0),$A$4&amp;$AA$8&amp;$F$4, "")</f>
        <v>#REF!</v>
      </c>
    </row>
    <row r="21" spans="1:27">
      <c r="A21" s="682">
        <v>9</v>
      </c>
      <c r="B21" s="683" t="s">
        <v>373</v>
      </c>
      <c r="C21" s="675"/>
      <c r="D21" s="676"/>
      <c r="E21" s="698"/>
      <c r="F21" s="682">
        <v>9</v>
      </c>
      <c r="G21" s="683" t="s">
        <v>373</v>
      </c>
      <c r="H21" s="675"/>
      <c r="I21" s="676"/>
      <c r="K21" s="682">
        <v>9</v>
      </c>
      <c r="L21" s="683" t="s">
        <v>373</v>
      </c>
      <c r="M21" s="675"/>
      <c r="N21" s="676"/>
      <c r="P21" s="682">
        <v>9</v>
      </c>
      <c r="Q21" s="683" t="s">
        <v>373</v>
      </c>
      <c r="R21" s="675"/>
      <c r="S21" s="676"/>
      <c r="T21" s="700" t="e">
        <f t="shared" si="4"/>
        <v>#REF!</v>
      </c>
      <c r="U21" s="692">
        <v>1</v>
      </c>
      <c r="V21" s="692">
        <v>1</v>
      </c>
      <c r="W21" s="692">
        <v>0</v>
      </c>
      <c r="X21" s="692">
        <v>1</v>
      </c>
      <c r="Y21" s="702" t="e">
        <f>IF(AND($A$1&gt;0,$F$1&gt;0,$K$1=0,$P$1&gt;0),$A$4&amp;$AA$8&amp;$F$4&amp;$AA$8&amp;$P$4, "")</f>
        <v>#REF!</v>
      </c>
    </row>
    <row r="22" spans="1:27">
      <c r="A22" s="682">
        <v>10</v>
      </c>
      <c r="B22" s="683" t="s">
        <v>374</v>
      </c>
      <c r="C22" s="675"/>
      <c r="D22" s="676"/>
      <c r="E22" s="698"/>
      <c r="F22" s="682">
        <v>10</v>
      </c>
      <c r="G22" s="683" t="s">
        <v>374</v>
      </c>
      <c r="H22" s="675"/>
      <c r="I22" s="676"/>
      <c r="K22" s="682">
        <v>10</v>
      </c>
      <c r="L22" s="683" t="s">
        <v>374</v>
      </c>
      <c r="M22" s="675"/>
      <c r="N22" s="676"/>
      <c r="P22" s="682">
        <v>10</v>
      </c>
      <c r="Q22" s="683" t="s">
        <v>374</v>
      </c>
      <c r="R22" s="675"/>
      <c r="S22" s="676"/>
      <c r="T22" s="700" t="e">
        <f t="shared" si="4"/>
        <v>#REF!</v>
      </c>
      <c r="U22" s="692">
        <v>1</v>
      </c>
      <c r="V22" s="692">
        <v>1</v>
      </c>
      <c r="W22" s="692">
        <v>1</v>
      </c>
      <c r="X22" s="692">
        <v>0</v>
      </c>
      <c r="Y22" s="702" t="e">
        <f>IF(AND($A$1&gt;0,$F$1&gt;0,$K$1&gt;0,$P$1=0),$A$4&amp;$AA$8&amp;$F$4&amp;$AA$8&amp;$K$4, "")</f>
        <v>#REF!</v>
      </c>
    </row>
    <row r="23" spans="1:27">
      <c r="A23" s="682">
        <v>11</v>
      </c>
      <c r="B23" s="683" t="s">
        <v>375</v>
      </c>
      <c r="C23" s="675"/>
      <c r="D23" s="676"/>
      <c r="E23" s="698"/>
      <c r="F23" s="682">
        <v>11</v>
      </c>
      <c r="G23" s="683" t="s">
        <v>375</v>
      </c>
      <c r="H23" s="675"/>
      <c r="I23" s="676"/>
      <c r="K23" s="682">
        <v>11</v>
      </c>
      <c r="L23" s="683" t="s">
        <v>375</v>
      </c>
      <c r="M23" s="675"/>
      <c r="N23" s="676"/>
      <c r="P23" s="682">
        <v>11</v>
      </c>
      <c r="Q23" s="683" t="s">
        <v>375</v>
      </c>
      <c r="R23" s="675"/>
      <c r="S23" s="676"/>
      <c r="T23" s="700" t="e">
        <f t="shared" si="4"/>
        <v>#REF!</v>
      </c>
      <c r="U23" s="692">
        <v>1</v>
      </c>
      <c r="V23" s="692">
        <v>1</v>
      </c>
      <c r="W23" s="692">
        <v>1</v>
      </c>
      <c r="X23" s="692">
        <v>1</v>
      </c>
      <c r="Y23" s="703" t="e">
        <f>IF(AND($A$1&gt;0,$F$1&gt;0,$K$1&gt;0,$P$1&gt;0),$A$4&amp;$AA$8&amp;$F$4&amp;$AA$8&amp;$K$4&amp;$AA$8&amp;$P$4, "")</f>
        <v>#REF!</v>
      </c>
    </row>
    <row r="24" spans="1:27">
      <c r="A24" s="682">
        <v>12</v>
      </c>
      <c r="B24" s="683" t="s">
        <v>376</v>
      </c>
      <c r="C24" s="675"/>
      <c r="D24" s="676"/>
      <c r="E24" s="698"/>
      <c r="F24" s="682">
        <v>12</v>
      </c>
      <c r="G24" s="683" t="s">
        <v>376</v>
      </c>
      <c r="H24" s="675"/>
      <c r="I24" s="676"/>
      <c r="K24" s="682">
        <v>12</v>
      </c>
      <c r="L24" s="683" t="s">
        <v>376</v>
      </c>
      <c r="M24" s="675"/>
      <c r="N24" s="676"/>
      <c r="P24" s="682">
        <v>12</v>
      </c>
      <c r="Q24" s="683" t="s">
        <v>376</v>
      </c>
      <c r="R24" s="675"/>
      <c r="S24" s="676"/>
    </row>
    <row r="25" spans="1:27">
      <c r="A25" s="682">
        <v>13</v>
      </c>
      <c r="B25" s="683" t="s">
        <v>377</v>
      </c>
      <c r="C25" s="675"/>
      <c r="D25" s="676"/>
      <c r="E25" s="698"/>
      <c r="F25" s="682">
        <v>13</v>
      </c>
      <c r="G25" s="683" t="s">
        <v>377</v>
      </c>
      <c r="H25" s="675"/>
      <c r="I25" s="676"/>
      <c r="K25" s="682">
        <v>13</v>
      </c>
      <c r="L25" s="683" t="s">
        <v>377</v>
      </c>
      <c r="M25" s="675"/>
      <c r="N25" s="676"/>
      <c r="P25" s="682">
        <v>13</v>
      </c>
      <c r="Q25" s="683" t="s">
        <v>377</v>
      </c>
      <c r="R25" s="675"/>
      <c r="S25" s="676"/>
    </row>
    <row r="26" spans="1:27">
      <c r="A26" s="682">
        <v>14</v>
      </c>
      <c r="B26" s="683" t="s">
        <v>378</v>
      </c>
      <c r="C26" s="675"/>
      <c r="D26" s="676"/>
      <c r="E26" s="698"/>
      <c r="F26" s="682">
        <v>14</v>
      </c>
      <c r="G26" s="683" t="s">
        <v>378</v>
      </c>
      <c r="H26" s="675"/>
      <c r="I26" s="676"/>
      <c r="K26" s="682">
        <v>14</v>
      </c>
      <c r="L26" s="683" t="s">
        <v>378</v>
      </c>
      <c r="M26" s="675"/>
      <c r="N26" s="676"/>
      <c r="P26" s="682">
        <v>14</v>
      </c>
      <c r="Q26" s="683" t="s">
        <v>378</v>
      </c>
      <c r="R26" s="675"/>
      <c r="S26" s="676"/>
    </row>
    <row r="27" spans="1:27">
      <c r="A27" s="682">
        <v>15</v>
      </c>
      <c r="B27" s="683" t="s">
        <v>379</v>
      </c>
      <c r="C27" s="675"/>
      <c r="D27" s="676"/>
      <c r="E27" s="698"/>
      <c r="F27" s="682">
        <v>15</v>
      </c>
      <c r="G27" s="683" t="s">
        <v>379</v>
      </c>
      <c r="H27" s="675"/>
      <c r="I27" s="676"/>
      <c r="K27" s="682">
        <v>15</v>
      </c>
      <c r="L27" s="683" t="s">
        <v>379</v>
      </c>
      <c r="M27" s="675"/>
      <c r="N27" s="676"/>
      <c r="P27" s="682">
        <v>15</v>
      </c>
      <c r="Q27" s="683" t="s">
        <v>379</v>
      </c>
      <c r="R27" s="675"/>
      <c r="S27" s="676"/>
    </row>
    <row r="28" spans="1:27">
      <c r="A28" s="682">
        <v>16</v>
      </c>
      <c r="B28" s="683" t="s">
        <v>380</v>
      </c>
      <c r="C28" s="675"/>
      <c r="D28" s="676"/>
      <c r="E28" s="698"/>
      <c r="F28" s="682">
        <v>16</v>
      </c>
      <c r="G28" s="683" t="s">
        <v>380</v>
      </c>
      <c r="H28" s="675"/>
      <c r="I28" s="676"/>
      <c r="K28" s="682">
        <v>16</v>
      </c>
      <c r="L28" s="683" t="s">
        <v>380</v>
      </c>
      <c r="M28" s="675"/>
      <c r="N28" s="676"/>
      <c r="P28" s="682">
        <v>16</v>
      </c>
      <c r="Q28" s="683" t="s">
        <v>380</v>
      </c>
      <c r="R28" s="675"/>
      <c r="S28" s="676"/>
      <c r="T28" s="700" t="e">
        <f>IF(Y28="",0, 1)</f>
        <v>#REF!</v>
      </c>
      <c r="U28" s="692">
        <v>0</v>
      </c>
      <c r="V28" s="692">
        <v>0</v>
      </c>
      <c r="W28" s="692">
        <v>0</v>
      </c>
      <c r="X28" s="692">
        <v>0</v>
      </c>
      <c r="Y28" s="701" t="e">
        <f>IF(AND($A$1=0,$F$1=0,$K$1=0,$P$1=0)," 0/-", "")</f>
        <v>#REF!</v>
      </c>
      <c r="AA28" s="692" t="s">
        <v>467</v>
      </c>
    </row>
    <row r="29" spans="1:27">
      <c r="A29" s="682">
        <v>17</v>
      </c>
      <c r="B29" s="683" t="s">
        <v>381</v>
      </c>
      <c r="C29" s="675"/>
      <c r="D29" s="676"/>
      <c r="E29" s="698"/>
      <c r="F29" s="682">
        <v>17</v>
      </c>
      <c r="G29" s="683" t="s">
        <v>381</v>
      </c>
      <c r="H29" s="675"/>
      <c r="I29" s="676"/>
      <c r="K29" s="682">
        <v>17</v>
      </c>
      <c r="L29" s="683" t="s">
        <v>381</v>
      </c>
      <c r="M29" s="675"/>
      <c r="N29" s="676"/>
      <c r="P29" s="682">
        <v>17</v>
      </c>
      <c r="Q29" s="683" t="s">
        <v>381</v>
      </c>
      <c r="R29" s="675"/>
      <c r="S29" s="676"/>
      <c r="T29" s="700" t="e">
        <f t="shared" ref="T29:T43" si="5">IF(Y29="",0, 1)</f>
        <v>#REF!</v>
      </c>
      <c r="U29" s="692">
        <v>0</v>
      </c>
      <c r="V29" s="692">
        <v>0</v>
      </c>
      <c r="W29" s="692">
        <v>0</v>
      </c>
      <c r="X29" s="692">
        <v>1</v>
      </c>
      <c r="Y29" s="702" t="e">
        <f>IF(AND($A$1=0,$F$1=0,$K$1=0,$P$1&gt;0),$U$3&amp;$P$1&amp;$AA$30, "")</f>
        <v>#REF!</v>
      </c>
      <c r="AA29" s="692" t="s">
        <v>468</v>
      </c>
    </row>
    <row r="30" spans="1:27">
      <c r="A30" s="682">
        <v>18</v>
      </c>
      <c r="B30" s="683" t="s">
        <v>382</v>
      </c>
      <c r="C30" s="675"/>
      <c r="D30" s="676"/>
      <c r="E30" s="698"/>
      <c r="F30" s="682">
        <v>18</v>
      </c>
      <c r="G30" s="683" t="s">
        <v>382</v>
      </c>
      <c r="H30" s="675"/>
      <c r="I30" s="676"/>
      <c r="K30" s="682">
        <v>18</v>
      </c>
      <c r="L30" s="683" t="s">
        <v>382</v>
      </c>
      <c r="M30" s="675"/>
      <c r="N30" s="676"/>
      <c r="P30" s="682">
        <v>18</v>
      </c>
      <c r="Q30" s="683" t="s">
        <v>382</v>
      </c>
      <c r="R30" s="675"/>
      <c r="S30" s="676"/>
      <c r="T30" s="700" t="e">
        <f t="shared" si="5"/>
        <v>#REF!</v>
      </c>
      <c r="U30" s="692">
        <v>0</v>
      </c>
      <c r="V30" s="692">
        <v>0</v>
      </c>
      <c r="W30" s="692">
        <v>1</v>
      </c>
      <c r="X30" s="692">
        <v>0</v>
      </c>
      <c r="Y30" s="702" t="e">
        <f>IF(AND($A$1=0,$F$1=0,$K$1&gt;0,$P$1=0),$U$2&amp;$K$1&amp;$AA$30, "")</f>
        <v>#REF!</v>
      </c>
      <c r="AA30" s="692" t="s">
        <v>469</v>
      </c>
    </row>
    <row r="31" spans="1:27">
      <c r="A31" s="682">
        <v>19</v>
      </c>
      <c r="B31" s="683" t="s">
        <v>383</v>
      </c>
      <c r="C31" s="675"/>
      <c r="D31" s="676"/>
      <c r="E31" s="698"/>
      <c r="F31" s="682">
        <v>19</v>
      </c>
      <c r="G31" s="683" t="s">
        <v>383</v>
      </c>
      <c r="H31" s="675"/>
      <c r="I31" s="676"/>
      <c r="K31" s="682">
        <v>19</v>
      </c>
      <c r="L31" s="683" t="s">
        <v>383</v>
      </c>
      <c r="M31" s="675"/>
      <c r="N31" s="676"/>
      <c r="P31" s="682">
        <v>19</v>
      </c>
      <c r="Q31" s="683" t="s">
        <v>383</v>
      </c>
      <c r="R31" s="675"/>
      <c r="S31" s="676"/>
      <c r="T31" s="700" t="e">
        <f t="shared" si="5"/>
        <v>#REF!</v>
      </c>
      <c r="U31" s="692">
        <v>0</v>
      </c>
      <c r="V31" s="692">
        <v>0</v>
      </c>
      <c r="W31" s="692">
        <v>1</v>
      </c>
      <c r="X31" s="692">
        <v>1</v>
      </c>
      <c r="Y31" s="702" t="e">
        <f>IF(AND($A$1=0,$F$1=0,$K$1&gt;0,$P$1&gt;0),$U$2&amp;$K$1&amp;$AA$29&amp;$U$3&amp;$P$1&amp;$AA$30, "")</f>
        <v>#REF!</v>
      </c>
    </row>
    <row r="32" spans="1:27">
      <c r="A32" s="682">
        <v>20</v>
      </c>
      <c r="B32" s="683" t="s">
        <v>384</v>
      </c>
      <c r="C32" s="675"/>
      <c r="D32" s="676"/>
      <c r="E32" s="698"/>
      <c r="F32" s="682">
        <v>20</v>
      </c>
      <c r="G32" s="683" t="s">
        <v>384</v>
      </c>
      <c r="H32" s="675"/>
      <c r="I32" s="676"/>
      <c r="K32" s="682">
        <v>20</v>
      </c>
      <c r="L32" s="683" t="s">
        <v>384</v>
      </c>
      <c r="M32" s="675"/>
      <c r="N32" s="676"/>
      <c r="P32" s="682">
        <v>20</v>
      </c>
      <c r="Q32" s="683" t="s">
        <v>384</v>
      </c>
      <c r="R32" s="675"/>
      <c r="S32" s="676"/>
      <c r="T32" s="700" t="e">
        <f t="shared" si="5"/>
        <v>#REF!</v>
      </c>
      <c r="U32" s="692">
        <v>0</v>
      </c>
      <c r="V32" s="692">
        <v>1</v>
      </c>
      <c r="W32" s="692">
        <v>0</v>
      </c>
      <c r="X32" s="692">
        <v>0</v>
      </c>
      <c r="Y32" s="702" t="e">
        <f>IF(AND($A$1=0,$F$1&gt;0,$K$1=0,$P$1=0),$U$1&amp;$F$1&amp;$AA$30, "")</f>
        <v>#REF!</v>
      </c>
    </row>
    <row r="33" spans="1:25">
      <c r="A33" s="682">
        <v>21</v>
      </c>
      <c r="B33" s="683" t="s">
        <v>385</v>
      </c>
      <c r="C33" s="675"/>
      <c r="D33" s="676"/>
      <c r="E33" s="698"/>
      <c r="F33" s="682">
        <v>21</v>
      </c>
      <c r="G33" s="683" t="s">
        <v>385</v>
      </c>
      <c r="H33" s="675"/>
      <c r="I33" s="676"/>
      <c r="K33" s="682">
        <v>21</v>
      </c>
      <c r="L33" s="683" t="s">
        <v>385</v>
      </c>
      <c r="M33" s="675"/>
      <c r="N33" s="676"/>
      <c r="P33" s="682">
        <v>21</v>
      </c>
      <c r="Q33" s="683" t="s">
        <v>385</v>
      </c>
      <c r="R33" s="675"/>
      <c r="S33" s="676"/>
      <c r="T33" s="700" t="e">
        <f t="shared" si="5"/>
        <v>#REF!</v>
      </c>
      <c r="U33" s="692">
        <v>0</v>
      </c>
      <c r="V33" s="692">
        <v>1</v>
      </c>
      <c r="W33" s="692">
        <v>0</v>
      </c>
      <c r="X33" s="692">
        <v>1</v>
      </c>
      <c r="Y33" s="702" t="e">
        <f>IF(AND($A$1=0,$F$1&gt;0,$K$1=0,$P$1&gt;0),$U$1&amp;$F$1&amp;$AA$29&amp;$U$3&amp;$P$1&amp;$AA$30, "")</f>
        <v>#REF!</v>
      </c>
    </row>
    <row r="34" spans="1:25">
      <c r="A34" s="682">
        <v>22</v>
      </c>
      <c r="B34" s="683" t="s">
        <v>386</v>
      </c>
      <c r="C34" s="675"/>
      <c r="D34" s="676"/>
      <c r="E34" s="698"/>
      <c r="F34" s="682">
        <v>22</v>
      </c>
      <c r="G34" s="683" t="s">
        <v>386</v>
      </c>
      <c r="H34" s="675"/>
      <c r="I34" s="676"/>
      <c r="K34" s="682">
        <v>22</v>
      </c>
      <c r="L34" s="683" t="s">
        <v>386</v>
      </c>
      <c r="M34" s="675"/>
      <c r="N34" s="676"/>
      <c r="P34" s="682">
        <v>22</v>
      </c>
      <c r="Q34" s="683" t="s">
        <v>386</v>
      </c>
      <c r="R34" s="675"/>
      <c r="S34" s="676"/>
      <c r="T34" s="700" t="e">
        <f t="shared" si="5"/>
        <v>#REF!</v>
      </c>
      <c r="U34" s="692">
        <v>0</v>
      </c>
      <c r="V34" s="692">
        <v>1</v>
      </c>
      <c r="W34" s="692">
        <v>1</v>
      </c>
      <c r="X34" s="692">
        <v>0</v>
      </c>
      <c r="Y34" s="702" t="e">
        <f>IF(AND($A$1=0,$F$1&gt;0,$K$1&gt;0,$P$1=0),$U$1&amp;$F$1&amp;$AA$29&amp;$U$2&amp;$K$1, "")</f>
        <v>#REF!</v>
      </c>
    </row>
    <row r="35" spans="1:25">
      <c r="A35" s="682">
        <v>23</v>
      </c>
      <c r="B35" s="683" t="s">
        <v>387</v>
      </c>
      <c r="C35" s="675"/>
      <c r="D35" s="676"/>
      <c r="E35" s="698"/>
      <c r="F35" s="682">
        <v>23</v>
      </c>
      <c r="G35" s="683" t="s">
        <v>387</v>
      </c>
      <c r="H35" s="675"/>
      <c r="I35" s="676"/>
      <c r="K35" s="682">
        <v>23</v>
      </c>
      <c r="L35" s="683" t="s">
        <v>387</v>
      </c>
      <c r="M35" s="675"/>
      <c r="N35" s="676"/>
      <c r="P35" s="682">
        <v>23</v>
      </c>
      <c r="Q35" s="683" t="s">
        <v>387</v>
      </c>
      <c r="R35" s="675"/>
      <c r="S35" s="676"/>
      <c r="T35" s="700" t="e">
        <f t="shared" si="5"/>
        <v>#REF!</v>
      </c>
      <c r="U35" s="692">
        <v>0</v>
      </c>
      <c r="V35" s="692">
        <v>1</v>
      </c>
      <c r="W35" s="692">
        <v>1</v>
      </c>
      <c r="X35" s="692">
        <v>1</v>
      </c>
      <c r="Y35" s="703" t="e">
        <f>IF(AND($A$1=0,$F$1&gt;0,$K$1&gt;0,$P$1&gt;0),$U$1&amp;$F$1&amp;$AA$29&amp;$U$2&amp;$K$1&amp;$AA$29&amp;$U$3&amp;$P$1&amp;$AA$30, "")</f>
        <v>#REF!</v>
      </c>
    </row>
    <row r="36" spans="1:25">
      <c r="A36" s="682">
        <v>24</v>
      </c>
      <c r="B36" s="683" t="s">
        <v>388</v>
      </c>
      <c r="C36" s="675"/>
      <c r="D36" s="676"/>
      <c r="E36" s="698"/>
      <c r="F36" s="682">
        <v>24</v>
      </c>
      <c r="G36" s="683" t="s">
        <v>388</v>
      </c>
      <c r="H36" s="675"/>
      <c r="I36" s="676"/>
      <c r="K36" s="682">
        <v>24</v>
      </c>
      <c r="L36" s="683" t="s">
        <v>388</v>
      </c>
      <c r="M36" s="675"/>
      <c r="N36" s="676"/>
      <c r="P36" s="682">
        <v>24</v>
      </c>
      <c r="Q36" s="683" t="s">
        <v>388</v>
      </c>
      <c r="R36" s="675"/>
      <c r="S36" s="676"/>
      <c r="T36" s="700" t="e">
        <f t="shared" si="5"/>
        <v>#REF!</v>
      </c>
      <c r="U36" s="692">
        <v>1</v>
      </c>
      <c r="V36" s="692">
        <v>0</v>
      </c>
      <c r="W36" s="692">
        <v>0</v>
      </c>
      <c r="X36" s="692">
        <v>0</v>
      </c>
      <c r="Y36" s="701" t="e">
        <f>IF(AND($A$1&gt;0,$F$1=0,$K$1=0,$P$1=0),#REF!&amp; $A$1&amp;$AA$30, "")</f>
        <v>#REF!</v>
      </c>
    </row>
    <row r="37" spans="1:25">
      <c r="A37" s="682">
        <v>25</v>
      </c>
      <c r="B37" s="683" t="s">
        <v>389</v>
      </c>
      <c r="C37" s="675"/>
      <c r="D37" s="676"/>
      <c r="E37" s="698"/>
      <c r="F37" s="682">
        <v>25</v>
      </c>
      <c r="G37" s="683" t="s">
        <v>389</v>
      </c>
      <c r="H37" s="675"/>
      <c r="I37" s="676"/>
      <c r="K37" s="682">
        <v>25</v>
      </c>
      <c r="L37" s="683" t="s">
        <v>389</v>
      </c>
      <c r="M37" s="675"/>
      <c r="N37" s="676"/>
      <c r="P37" s="682">
        <v>25</v>
      </c>
      <c r="Q37" s="683" t="s">
        <v>389</v>
      </c>
      <c r="R37" s="675"/>
      <c r="S37" s="676"/>
      <c r="T37" s="700" t="e">
        <f t="shared" si="5"/>
        <v>#REF!</v>
      </c>
      <c r="U37" s="692">
        <v>1</v>
      </c>
      <c r="V37" s="692">
        <v>0</v>
      </c>
      <c r="W37" s="692">
        <v>0</v>
      </c>
      <c r="X37" s="692">
        <v>1</v>
      </c>
      <c r="Y37" s="702" t="e">
        <f>IF(AND($A$1&gt;0,$F$1=0,$K$1=0,$P$1&gt;0),#REF!&amp;$A$1&amp;$AA$29&amp;$U$3&amp;$P$1&amp;$AA$30, "")</f>
        <v>#REF!</v>
      </c>
    </row>
    <row r="38" spans="1:25">
      <c r="A38" s="682">
        <v>26</v>
      </c>
      <c r="B38" s="683" t="s">
        <v>390</v>
      </c>
      <c r="C38" s="675"/>
      <c r="D38" s="676"/>
      <c r="E38" s="698"/>
      <c r="F38" s="682">
        <v>26</v>
      </c>
      <c r="G38" s="683" t="s">
        <v>390</v>
      </c>
      <c r="H38" s="675"/>
      <c r="I38" s="676"/>
      <c r="K38" s="682">
        <v>26</v>
      </c>
      <c r="L38" s="683" t="s">
        <v>390</v>
      </c>
      <c r="M38" s="675"/>
      <c r="N38" s="676"/>
      <c r="P38" s="682">
        <v>26</v>
      </c>
      <c r="Q38" s="683" t="s">
        <v>390</v>
      </c>
      <c r="R38" s="675"/>
      <c r="S38" s="676"/>
      <c r="T38" s="700" t="e">
        <f t="shared" si="5"/>
        <v>#REF!</v>
      </c>
      <c r="U38" s="692">
        <v>1</v>
      </c>
      <c r="V38" s="692">
        <v>0</v>
      </c>
      <c r="W38" s="692">
        <v>1</v>
      </c>
      <c r="X38" s="692">
        <v>0</v>
      </c>
      <c r="Y38" s="702" t="e">
        <f>IF(AND($A$1&gt;0,$F$1=0,$K$1&gt;0,$P$1=0),#REF!&amp;$A$1&amp;$AA$29&amp;$U$2&amp;$K$1, "")</f>
        <v>#REF!</v>
      </c>
    </row>
    <row r="39" spans="1:25">
      <c r="A39" s="682">
        <v>27</v>
      </c>
      <c r="B39" s="683" t="s">
        <v>391</v>
      </c>
      <c r="C39" s="675"/>
      <c r="D39" s="676"/>
      <c r="E39" s="698"/>
      <c r="F39" s="682">
        <v>27</v>
      </c>
      <c r="G39" s="683" t="s">
        <v>391</v>
      </c>
      <c r="H39" s="675"/>
      <c r="I39" s="676"/>
      <c r="K39" s="682">
        <v>27</v>
      </c>
      <c r="L39" s="683" t="s">
        <v>391</v>
      </c>
      <c r="M39" s="675"/>
      <c r="N39" s="676"/>
      <c r="P39" s="682">
        <v>27</v>
      </c>
      <c r="Q39" s="683" t="s">
        <v>391</v>
      </c>
      <c r="R39" s="675"/>
      <c r="S39" s="676"/>
      <c r="T39" s="700" t="e">
        <f t="shared" si="5"/>
        <v>#REF!</v>
      </c>
      <c r="U39" s="692">
        <v>1</v>
      </c>
      <c r="V39" s="692">
        <v>0</v>
      </c>
      <c r="W39" s="692">
        <v>1</v>
      </c>
      <c r="X39" s="692">
        <v>1</v>
      </c>
      <c r="Y39" s="702" t="e">
        <f>IF(AND($A$1&gt;0,$F$1=0,$K$1&gt;0,$P$1&gt;0),#REF!&amp;$A$1&amp;$AA$29&amp;$U$2&amp;$K$1&amp;$AA$29&amp;$U$3&amp;$P$1&amp;$AA$30, "")</f>
        <v>#REF!</v>
      </c>
    </row>
    <row r="40" spans="1:25">
      <c r="A40" s="682">
        <v>28</v>
      </c>
      <c r="B40" s="683" t="s">
        <v>392</v>
      </c>
      <c r="C40" s="675"/>
      <c r="D40" s="676"/>
      <c r="E40" s="698"/>
      <c r="F40" s="682">
        <v>28</v>
      </c>
      <c r="G40" s="683" t="s">
        <v>392</v>
      </c>
      <c r="H40" s="675"/>
      <c r="I40" s="676"/>
      <c r="K40" s="682">
        <v>28</v>
      </c>
      <c r="L40" s="683" t="s">
        <v>392</v>
      </c>
      <c r="M40" s="675"/>
      <c r="N40" s="676"/>
      <c r="P40" s="682">
        <v>28</v>
      </c>
      <c r="Q40" s="683" t="s">
        <v>392</v>
      </c>
      <c r="R40" s="675"/>
      <c r="S40" s="676"/>
      <c r="T40" s="700" t="e">
        <f t="shared" si="5"/>
        <v>#REF!</v>
      </c>
      <c r="U40" s="692">
        <v>1</v>
      </c>
      <c r="V40" s="692">
        <v>1</v>
      </c>
      <c r="W40" s="692">
        <v>0</v>
      </c>
      <c r="X40" s="692">
        <v>0</v>
      </c>
      <c r="Y40" s="702" t="e">
        <f>IF(AND($A$1&gt;0,$F$1&gt;0,$K$1=0,$P$1=0),#REF!&amp;$A$1&amp;$AA$29&amp;$U$1&amp;$F$1, "")</f>
        <v>#REF!</v>
      </c>
    </row>
    <row r="41" spans="1:25">
      <c r="A41" s="682">
        <v>29</v>
      </c>
      <c r="B41" s="683" t="s">
        <v>393</v>
      </c>
      <c r="C41" s="675"/>
      <c r="D41" s="676"/>
      <c r="E41" s="698"/>
      <c r="F41" s="682">
        <v>29</v>
      </c>
      <c r="G41" s="683" t="s">
        <v>393</v>
      </c>
      <c r="H41" s="675"/>
      <c r="I41" s="676"/>
      <c r="K41" s="682">
        <v>29</v>
      </c>
      <c r="L41" s="683" t="s">
        <v>393</v>
      </c>
      <c r="M41" s="675"/>
      <c r="N41" s="676"/>
      <c r="P41" s="682">
        <v>29</v>
      </c>
      <c r="Q41" s="683" t="s">
        <v>393</v>
      </c>
      <c r="R41" s="675"/>
      <c r="S41" s="676"/>
      <c r="T41" s="700" t="e">
        <f t="shared" si="5"/>
        <v>#REF!</v>
      </c>
      <c r="U41" s="692">
        <v>1</v>
      </c>
      <c r="V41" s="692">
        <v>1</v>
      </c>
      <c r="W41" s="692">
        <v>0</v>
      </c>
      <c r="X41" s="692">
        <v>1</v>
      </c>
      <c r="Y41" s="702" t="e">
        <f>IF(AND($A$1&gt;0,$F$1&gt;0,$K$1=0,$P$1&gt;0),#REF!&amp;$A$1&amp;$AA$29&amp;$U$1&amp;$F$1&amp;$AA$29&amp;$U$3&amp;$P$1&amp;$AA$30, "")</f>
        <v>#REF!</v>
      </c>
    </row>
    <row r="42" spans="1:25">
      <c r="A42" s="682">
        <v>30</v>
      </c>
      <c r="B42" s="683" t="s">
        <v>394</v>
      </c>
      <c r="C42" s="675"/>
      <c r="D42" s="676"/>
      <c r="E42" s="698"/>
      <c r="F42" s="682">
        <v>30</v>
      </c>
      <c r="G42" s="683" t="s">
        <v>394</v>
      </c>
      <c r="H42" s="675"/>
      <c r="I42" s="676"/>
      <c r="K42" s="682">
        <v>30</v>
      </c>
      <c r="L42" s="683" t="s">
        <v>394</v>
      </c>
      <c r="M42" s="675"/>
      <c r="N42" s="676"/>
      <c r="P42" s="682">
        <v>30</v>
      </c>
      <c r="Q42" s="683" t="s">
        <v>394</v>
      </c>
      <c r="R42" s="675"/>
      <c r="S42" s="676"/>
      <c r="T42" s="700" t="e">
        <f t="shared" si="5"/>
        <v>#REF!</v>
      </c>
      <c r="U42" s="692">
        <v>1</v>
      </c>
      <c r="V42" s="692">
        <v>1</v>
      </c>
      <c r="W42" s="692">
        <v>1</v>
      </c>
      <c r="X42" s="692">
        <v>0</v>
      </c>
      <c r="Y42" s="702" t="e">
        <f>IF(AND($A$1&gt;0,$F$1&gt;0,$K$1&gt;0,$P$1=0),#REF!&amp;$A$1&amp;$AA$29&amp;$U$1&amp;$F$1&amp;$AA$29&amp;$U$2&amp;$K$1, "")</f>
        <v>#REF!</v>
      </c>
    </row>
    <row r="43" spans="1:25">
      <c r="A43" s="682">
        <v>31</v>
      </c>
      <c r="B43" s="683" t="s">
        <v>395</v>
      </c>
      <c r="C43" s="675"/>
      <c r="D43" s="676"/>
      <c r="E43" s="698"/>
      <c r="F43" s="682">
        <v>31</v>
      </c>
      <c r="G43" s="683" t="s">
        <v>395</v>
      </c>
      <c r="H43" s="675"/>
      <c r="I43" s="676"/>
      <c r="K43" s="682">
        <v>31</v>
      </c>
      <c r="L43" s="683" t="s">
        <v>395</v>
      </c>
      <c r="M43" s="675"/>
      <c r="N43" s="676"/>
      <c r="P43" s="682">
        <v>31</v>
      </c>
      <c r="Q43" s="683" t="s">
        <v>395</v>
      </c>
      <c r="R43" s="675"/>
      <c r="S43" s="676"/>
      <c r="T43" s="700" t="e">
        <f t="shared" si="5"/>
        <v>#REF!</v>
      </c>
      <c r="U43" s="692">
        <v>1</v>
      </c>
      <c r="V43" s="692">
        <v>1</v>
      </c>
      <c r="W43" s="692">
        <v>1</v>
      </c>
      <c r="X43" s="692">
        <v>1</v>
      </c>
      <c r="Y43" s="703" t="e">
        <f>IF(AND($A$1&gt;0,$F$1&gt;0,$K$1&gt;0,$P$1&gt;0),#REF!&amp;$A$1&amp;$AA$29&amp;$U$1&amp;$F$1&amp;$AA$29&amp;$U$2&amp;$K$1&amp;$AA$29&amp;$U$3&amp;$P$1&amp;$AA$30, "")</f>
        <v>#REF!</v>
      </c>
    </row>
    <row r="44" spans="1:25">
      <c r="A44" s="682">
        <v>32</v>
      </c>
      <c r="B44" s="683" t="s">
        <v>396</v>
      </c>
      <c r="C44" s="675"/>
      <c r="D44" s="676"/>
      <c r="E44" s="698"/>
      <c r="F44" s="682">
        <v>32</v>
      </c>
      <c r="G44" s="683" t="s">
        <v>396</v>
      </c>
      <c r="H44" s="675"/>
      <c r="I44" s="676"/>
      <c r="K44" s="682">
        <v>32</v>
      </c>
      <c r="L44" s="683" t="s">
        <v>396</v>
      </c>
      <c r="M44" s="675"/>
      <c r="N44" s="676"/>
      <c r="P44" s="682">
        <v>32</v>
      </c>
      <c r="Q44" s="683" t="s">
        <v>396</v>
      </c>
      <c r="R44" s="675"/>
      <c r="S44" s="676"/>
    </row>
    <row r="45" spans="1:25">
      <c r="A45" s="682">
        <v>33</v>
      </c>
      <c r="B45" s="683" t="s">
        <v>397</v>
      </c>
      <c r="C45" s="675"/>
      <c r="D45" s="676"/>
      <c r="E45" s="698"/>
      <c r="F45" s="682">
        <v>33</v>
      </c>
      <c r="G45" s="683" t="s">
        <v>397</v>
      </c>
      <c r="H45" s="675"/>
      <c r="I45" s="676"/>
      <c r="K45" s="682">
        <v>33</v>
      </c>
      <c r="L45" s="683" t="s">
        <v>397</v>
      </c>
      <c r="M45" s="675"/>
      <c r="N45" s="676"/>
      <c r="P45" s="682">
        <v>33</v>
      </c>
      <c r="Q45" s="683" t="s">
        <v>397</v>
      </c>
      <c r="R45" s="675"/>
      <c r="S45" s="676"/>
    </row>
    <row r="46" spans="1:25">
      <c r="A46" s="682">
        <v>34</v>
      </c>
      <c r="B46" s="683" t="s">
        <v>398</v>
      </c>
      <c r="C46" s="675"/>
      <c r="D46" s="676"/>
      <c r="E46" s="698"/>
      <c r="F46" s="682">
        <v>34</v>
      </c>
      <c r="G46" s="683" t="s">
        <v>398</v>
      </c>
      <c r="H46" s="675"/>
      <c r="I46" s="676"/>
      <c r="K46" s="682">
        <v>34</v>
      </c>
      <c r="L46" s="683" t="s">
        <v>398</v>
      </c>
      <c r="M46" s="675"/>
      <c r="N46" s="676"/>
      <c r="P46" s="682">
        <v>34</v>
      </c>
      <c r="Q46" s="683" t="s">
        <v>398</v>
      </c>
      <c r="R46" s="675"/>
      <c r="S46" s="676"/>
    </row>
    <row r="47" spans="1:25">
      <c r="A47" s="682">
        <v>35</v>
      </c>
      <c r="B47" s="683" t="s">
        <v>399</v>
      </c>
      <c r="C47" s="675"/>
      <c r="D47" s="676"/>
      <c r="E47" s="698"/>
      <c r="F47" s="682">
        <v>35</v>
      </c>
      <c r="G47" s="683" t="s">
        <v>399</v>
      </c>
      <c r="H47" s="675"/>
      <c r="I47" s="676"/>
      <c r="K47" s="682">
        <v>35</v>
      </c>
      <c r="L47" s="683" t="s">
        <v>399</v>
      </c>
      <c r="M47" s="675"/>
      <c r="N47" s="676"/>
      <c r="P47" s="682">
        <v>35</v>
      </c>
      <c r="Q47" s="683" t="s">
        <v>399</v>
      </c>
      <c r="R47" s="675"/>
      <c r="S47" s="676"/>
    </row>
    <row r="48" spans="1:25">
      <c r="A48" s="682">
        <v>36</v>
      </c>
      <c r="B48" s="683" t="s">
        <v>400</v>
      </c>
      <c r="C48" s="675"/>
      <c r="D48" s="676"/>
      <c r="E48" s="698"/>
      <c r="F48" s="682">
        <v>36</v>
      </c>
      <c r="G48" s="683" t="s">
        <v>400</v>
      </c>
      <c r="H48" s="675"/>
      <c r="I48" s="676"/>
      <c r="K48" s="682">
        <v>36</v>
      </c>
      <c r="L48" s="683" t="s">
        <v>400</v>
      </c>
      <c r="M48" s="675"/>
      <c r="N48" s="676"/>
      <c r="P48" s="682">
        <v>36</v>
      </c>
      <c r="Q48" s="683" t="s">
        <v>400</v>
      </c>
      <c r="R48" s="675"/>
      <c r="S48" s="676"/>
    </row>
    <row r="49" spans="1:19">
      <c r="A49" s="682">
        <v>37</v>
      </c>
      <c r="B49" s="683" t="s">
        <v>401</v>
      </c>
      <c r="C49" s="675"/>
      <c r="D49" s="676"/>
      <c r="E49" s="698"/>
      <c r="F49" s="682">
        <v>37</v>
      </c>
      <c r="G49" s="683" t="s">
        <v>401</v>
      </c>
      <c r="H49" s="675"/>
      <c r="I49" s="676"/>
      <c r="K49" s="682">
        <v>37</v>
      </c>
      <c r="L49" s="683" t="s">
        <v>401</v>
      </c>
      <c r="M49" s="675"/>
      <c r="N49" s="676"/>
      <c r="P49" s="682">
        <v>37</v>
      </c>
      <c r="Q49" s="683" t="s">
        <v>401</v>
      </c>
      <c r="R49" s="675"/>
      <c r="S49" s="676"/>
    </row>
    <row r="50" spans="1:19">
      <c r="A50" s="682">
        <v>38</v>
      </c>
      <c r="B50" s="683" t="s">
        <v>402</v>
      </c>
      <c r="C50" s="675"/>
      <c r="D50" s="676"/>
      <c r="E50" s="698"/>
      <c r="F50" s="682">
        <v>38</v>
      </c>
      <c r="G50" s="683" t="s">
        <v>402</v>
      </c>
      <c r="H50" s="675"/>
      <c r="I50" s="676"/>
      <c r="K50" s="682">
        <v>38</v>
      </c>
      <c r="L50" s="683" t="s">
        <v>402</v>
      </c>
      <c r="M50" s="675"/>
      <c r="N50" s="676"/>
      <c r="P50" s="682">
        <v>38</v>
      </c>
      <c r="Q50" s="683" t="s">
        <v>402</v>
      </c>
      <c r="R50" s="675"/>
      <c r="S50" s="676"/>
    </row>
    <row r="51" spans="1:19">
      <c r="A51" s="682">
        <v>39</v>
      </c>
      <c r="B51" s="683" t="s">
        <v>403</v>
      </c>
      <c r="C51" s="675"/>
      <c r="D51" s="676"/>
      <c r="E51" s="698"/>
      <c r="F51" s="682">
        <v>39</v>
      </c>
      <c r="G51" s="683" t="s">
        <v>403</v>
      </c>
      <c r="H51" s="675"/>
      <c r="I51" s="676"/>
      <c r="K51" s="682">
        <v>39</v>
      </c>
      <c r="L51" s="683" t="s">
        <v>403</v>
      </c>
      <c r="M51" s="675"/>
      <c r="N51" s="676"/>
      <c r="P51" s="682">
        <v>39</v>
      </c>
      <c r="Q51" s="683" t="s">
        <v>403</v>
      </c>
      <c r="R51" s="675"/>
      <c r="S51" s="676"/>
    </row>
    <row r="52" spans="1:19">
      <c r="A52" s="682">
        <v>40</v>
      </c>
      <c r="B52" s="683" t="s">
        <v>404</v>
      </c>
      <c r="C52" s="675"/>
      <c r="D52" s="676"/>
      <c r="E52" s="698"/>
      <c r="F52" s="682">
        <v>40</v>
      </c>
      <c r="G52" s="683" t="s">
        <v>404</v>
      </c>
      <c r="H52" s="675"/>
      <c r="I52" s="676"/>
      <c r="K52" s="682">
        <v>40</v>
      </c>
      <c r="L52" s="683" t="s">
        <v>404</v>
      </c>
      <c r="M52" s="675"/>
      <c r="N52" s="676"/>
      <c r="P52" s="682">
        <v>40</v>
      </c>
      <c r="Q52" s="683" t="s">
        <v>404</v>
      </c>
      <c r="R52" s="675"/>
      <c r="S52" s="676"/>
    </row>
    <row r="53" spans="1:19">
      <c r="A53" s="682">
        <v>41</v>
      </c>
      <c r="B53" s="683" t="s">
        <v>405</v>
      </c>
      <c r="C53" s="675"/>
      <c r="D53" s="676"/>
      <c r="E53" s="698"/>
      <c r="F53" s="682">
        <v>41</v>
      </c>
      <c r="G53" s="683" t="s">
        <v>405</v>
      </c>
      <c r="H53" s="675"/>
      <c r="I53" s="676"/>
      <c r="K53" s="682">
        <v>41</v>
      </c>
      <c r="L53" s="683" t="s">
        <v>405</v>
      </c>
      <c r="M53" s="675"/>
      <c r="N53" s="676"/>
      <c r="P53" s="682">
        <v>41</v>
      </c>
      <c r="Q53" s="683" t="s">
        <v>405</v>
      </c>
      <c r="R53" s="675"/>
      <c r="S53" s="676"/>
    </row>
    <row r="54" spans="1:19">
      <c r="A54" s="682">
        <v>42</v>
      </c>
      <c r="B54" s="683" t="s">
        <v>406</v>
      </c>
      <c r="C54" s="675"/>
      <c r="D54" s="676"/>
      <c r="E54" s="698"/>
      <c r="F54" s="682">
        <v>42</v>
      </c>
      <c r="G54" s="683" t="s">
        <v>406</v>
      </c>
      <c r="H54" s="675"/>
      <c r="I54" s="676"/>
      <c r="K54" s="682">
        <v>42</v>
      </c>
      <c r="L54" s="683" t="s">
        <v>406</v>
      </c>
      <c r="M54" s="675"/>
      <c r="N54" s="676"/>
      <c r="P54" s="682">
        <v>42</v>
      </c>
      <c r="Q54" s="683" t="s">
        <v>406</v>
      </c>
      <c r="R54" s="675"/>
      <c r="S54" s="676"/>
    </row>
    <row r="55" spans="1:19">
      <c r="A55" s="682">
        <v>43</v>
      </c>
      <c r="B55" s="683" t="s">
        <v>407</v>
      </c>
      <c r="C55" s="675"/>
      <c r="D55" s="676"/>
      <c r="E55" s="698"/>
      <c r="F55" s="682">
        <v>43</v>
      </c>
      <c r="G55" s="683" t="s">
        <v>407</v>
      </c>
      <c r="H55" s="675"/>
      <c r="I55" s="676"/>
      <c r="K55" s="682">
        <v>43</v>
      </c>
      <c r="L55" s="683" t="s">
        <v>407</v>
      </c>
      <c r="M55" s="675"/>
      <c r="N55" s="676"/>
      <c r="P55" s="682">
        <v>43</v>
      </c>
      <c r="Q55" s="683" t="s">
        <v>407</v>
      </c>
      <c r="R55" s="675"/>
      <c r="S55" s="676"/>
    </row>
    <row r="56" spans="1:19">
      <c r="A56" s="682">
        <v>44</v>
      </c>
      <c r="B56" s="683" t="s">
        <v>408</v>
      </c>
      <c r="C56" s="675"/>
      <c r="D56" s="676"/>
      <c r="E56" s="698"/>
      <c r="F56" s="682">
        <v>44</v>
      </c>
      <c r="G56" s="683" t="s">
        <v>408</v>
      </c>
      <c r="H56" s="675"/>
      <c r="I56" s="676"/>
      <c r="K56" s="682">
        <v>44</v>
      </c>
      <c r="L56" s="683" t="s">
        <v>408</v>
      </c>
      <c r="M56" s="675"/>
      <c r="N56" s="676"/>
      <c r="P56" s="682">
        <v>44</v>
      </c>
      <c r="Q56" s="683" t="s">
        <v>408</v>
      </c>
      <c r="R56" s="675"/>
      <c r="S56" s="676"/>
    </row>
    <row r="57" spans="1:19">
      <c r="A57" s="682">
        <v>45</v>
      </c>
      <c r="B57" s="683" t="s">
        <v>409</v>
      </c>
      <c r="C57" s="675"/>
      <c r="D57" s="676"/>
      <c r="E57" s="698"/>
      <c r="F57" s="682">
        <v>45</v>
      </c>
      <c r="G57" s="683" t="s">
        <v>409</v>
      </c>
      <c r="H57" s="675"/>
      <c r="I57" s="676"/>
      <c r="K57" s="682">
        <v>45</v>
      </c>
      <c r="L57" s="683" t="s">
        <v>409</v>
      </c>
      <c r="M57" s="675"/>
      <c r="N57" s="676"/>
      <c r="P57" s="682">
        <v>45</v>
      </c>
      <c r="Q57" s="683" t="s">
        <v>409</v>
      </c>
      <c r="R57" s="675"/>
      <c r="S57" s="676"/>
    </row>
    <row r="58" spans="1:19">
      <c r="A58" s="682">
        <v>46</v>
      </c>
      <c r="B58" s="683" t="s">
        <v>410</v>
      </c>
      <c r="C58" s="675"/>
      <c r="D58" s="676"/>
      <c r="E58" s="698"/>
      <c r="F58" s="682">
        <v>46</v>
      </c>
      <c r="G58" s="683" t="s">
        <v>410</v>
      </c>
      <c r="H58" s="675"/>
      <c r="I58" s="676"/>
      <c r="K58" s="682">
        <v>46</v>
      </c>
      <c r="L58" s="683" t="s">
        <v>410</v>
      </c>
      <c r="M58" s="675"/>
      <c r="N58" s="676"/>
      <c r="P58" s="682">
        <v>46</v>
      </c>
      <c r="Q58" s="683" t="s">
        <v>410</v>
      </c>
      <c r="R58" s="675"/>
      <c r="S58" s="676"/>
    </row>
    <row r="59" spans="1:19">
      <c r="A59" s="682">
        <v>47</v>
      </c>
      <c r="B59" s="683" t="s">
        <v>411</v>
      </c>
      <c r="C59" s="675"/>
      <c r="D59" s="676"/>
      <c r="E59" s="698"/>
      <c r="F59" s="682">
        <v>47</v>
      </c>
      <c r="G59" s="683" t="s">
        <v>411</v>
      </c>
      <c r="H59" s="675"/>
      <c r="I59" s="676"/>
      <c r="K59" s="682">
        <v>47</v>
      </c>
      <c r="L59" s="683" t="s">
        <v>411</v>
      </c>
      <c r="M59" s="675"/>
      <c r="N59" s="676"/>
      <c r="P59" s="682">
        <v>47</v>
      </c>
      <c r="Q59" s="683" t="s">
        <v>411</v>
      </c>
      <c r="R59" s="675"/>
      <c r="S59" s="676"/>
    </row>
    <row r="60" spans="1:19">
      <c r="A60" s="682">
        <v>48</v>
      </c>
      <c r="B60" s="683" t="s">
        <v>412</v>
      </c>
      <c r="C60" s="675"/>
      <c r="D60" s="676"/>
      <c r="E60" s="698"/>
      <c r="F60" s="682">
        <v>48</v>
      </c>
      <c r="G60" s="683" t="s">
        <v>412</v>
      </c>
      <c r="H60" s="675"/>
      <c r="I60" s="676"/>
      <c r="K60" s="682">
        <v>48</v>
      </c>
      <c r="L60" s="683" t="s">
        <v>412</v>
      </c>
      <c r="M60" s="675"/>
      <c r="N60" s="676"/>
      <c r="P60" s="682">
        <v>48</v>
      </c>
      <c r="Q60" s="683" t="s">
        <v>412</v>
      </c>
      <c r="R60" s="675"/>
      <c r="S60" s="676"/>
    </row>
    <row r="61" spans="1:19">
      <c r="A61" s="682">
        <v>49</v>
      </c>
      <c r="B61" s="683" t="s">
        <v>413</v>
      </c>
      <c r="C61" s="675"/>
      <c r="D61" s="676"/>
      <c r="E61" s="698"/>
      <c r="F61" s="682">
        <v>49</v>
      </c>
      <c r="G61" s="683" t="s">
        <v>413</v>
      </c>
      <c r="H61" s="675"/>
      <c r="I61" s="676"/>
      <c r="K61" s="682">
        <v>49</v>
      </c>
      <c r="L61" s="683" t="s">
        <v>413</v>
      </c>
      <c r="M61" s="675"/>
      <c r="N61" s="676"/>
      <c r="P61" s="682">
        <v>49</v>
      </c>
      <c r="Q61" s="683" t="s">
        <v>413</v>
      </c>
      <c r="R61" s="675"/>
      <c r="S61" s="676"/>
    </row>
    <row r="62" spans="1:19">
      <c r="A62" s="682">
        <v>50</v>
      </c>
      <c r="B62" s="683" t="s">
        <v>414</v>
      </c>
      <c r="C62" s="675"/>
      <c r="D62" s="676"/>
      <c r="E62" s="698"/>
      <c r="F62" s="682">
        <v>50</v>
      </c>
      <c r="G62" s="683" t="s">
        <v>414</v>
      </c>
      <c r="H62" s="675"/>
      <c r="I62" s="676"/>
      <c r="K62" s="682">
        <v>50</v>
      </c>
      <c r="L62" s="683" t="s">
        <v>414</v>
      </c>
      <c r="M62" s="675"/>
      <c r="N62" s="676"/>
      <c r="P62" s="682">
        <v>50</v>
      </c>
      <c r="Q62" s="683" t="s">
        <v>414</v>
      </c>
      <c r="R62" s="675"/>
      <c r="S62" s="676"/>
    </row>
    <row r="63" spans="1:19">
      <c r="A63" s="682">
        <v>51</v>
      </c>
      <c r="B63" s="683" t="s">
        <v>415</v>
      </c>
      <c r="C63" s="675"/>
      <c r="D63" s="676"/>
      <c r="E63" s="698"/>
      <c r="F63" s="682">
        <v>51</v>
      </c>
      <c r="G63" s="683" t="s">
        <v>415</v>
      </c>
      <c r="H63" s="675"/>
      <c r="I63" s="676"/>
      <c r="K63" s="682">
        <v>51</v>
      </c>
      <c r="L63" s="683" t="s">
        <v>415</v>
      </c>
      <c r="M63" s="675"/>
      <c r="N63" s="676"/>
      <c r="P63" s="682">
        <v>51</v>
      </c>
      <c r="Q63" s="683" t="s">
        <v>415</v>
      </c>
      <c r="R63" s="675"/>
      <c r="S63" s="676"/>
    </row>
    <row r="64" spans="1:19">
      <c r="A64" s="682">
        <v>52</v>
      </c>
      <c r="B64" s="683" t="s">
        <v>416</v>
      </c>
      <c r="C64" s="675"/>
      <c r="D64" s="676"/>
      <c r="E64" s="698"/>
      <c r="F64" s="682">
        <v>52</v>
      </c>
      <c r="G64" s="683" t="s">
        <v>416</v>
      </c>
      <c r="H64" s="675"/>
      <c r="I64" s="676"/>
      <c r="K64" s="682">
        <v>52</v>
      </c>
      <c r="L64" s="683" t="s">
        <v>416</v>
      </c>
      <c r="M64" s="675"/>
      <c r="N64" s="676"/>
      <c r="P64" s="682">
        <v>52</v>
      </c>
      <c r="Q64" s="683" t="s">
        <v>416</v>
      </c>
      <c r="R64" s="675"/>
      <c r="S64" s="676"/>
    </row>
    <row r="65" spans="1:19">
      <c r="A65" s="682">
        <v>53</v>
      </c>
      <c r="B65" s="683" t="s">
        <v>417</v>
      </c>
      <c r="C65" s="675"/>
      <c r="D65" s="676"/>
      <c r="E65" s="698"/>
      <c r="F65" s="682">
        <v>53</v>
      </c>
      <c r="G65" s="683" t="s">
        <v>417</v>
      </c>
      <c r="H65" s="675"/>
      <c r="I65" s="676"/>
      <c r="K65" s="682">
        <v>53</v>
      </c>
      <c r="L65" s="683" t="s">
        <v>417</v>
      </c>
      <c r="M65" s="675"/>
      <c r="N65" s="676"/>
      <c r="P65" s="682">
        <v>53</v>
      </c>
      <c r="Q65" s="683" t="s">
        <v>417</v>
      </c>
      <c r="R65" s="675"/>
      <c r="S65" s="676"/>
    </row>
    <row r="66" spans="1:19">
      <c r="A66" s="682">
        <v>54</v>
      </c>
      <c r="B66" s="683" t="s">
        <v>418</v>
      </c>
      <c r="C66" s="675"/>
      <c r="D66" s="676"/>
      <c r="E66" s="698"/>
      <c r="F66" s="682">
        <v>54</v>
      </c>
      <c r="G66" s="683" t="s">
        <v>418</v>
      </c>
      <c r="H66" s="675"/>
      <c r="I66" s="676"/>
      <c r="K66" s="682">
        <v>54</v>
      </c>
      <c r="L66" s="683" t="s">
        <v>418</v>
      </c>
      <c r="M66" s="675"/>
      <c r="N66" s="676"/>
      <c r="P66" s="682">
        <v>54</v>
      </c>
      <c r="Q66" s="683" t="s">
        <v>418</v>
      </c>
      <c r="R66" s="675"/>
      <c r="S66" s="676"/>
    </row>
    <row r="67" spans="1:19">
      <c r="A67" s="682">
        <v>55</v>
      </c>
      <c r="B67" s="683" t="s">
        <v>419</v>
      </c>
      <c r="C67" s="675"/>
      <c r="D67" s="676"/>
      <c r="E67" s="698"/>
      <c r="F67" s="682">
        <v>55</v>
      </c>
      <c r="G67" s="683" t="s">
        <v>419</v>
      </c>
      <c r="H67" s="675"/>
      <c r="I67" s="676"/>
      <c r="K67" s="682">
        <v>55</v>
      </c>
      <c r="L67" s="683" t="s">
        <v>419</v>
      </c>
      <c r="M67" s="675"/>
      <c r="N67" s="676"/>
      <c r="P67" s="682">
        <v>55</v>
      </c>
      <c r="Q67" s="683" t="s">
        <v>419</v>
      </c>
      <c r="R67" s="675"/>
      <c r="S67" s="676"/>
    </row>
    <row r="68" spans="1:19">
      <c r="A68" s="682">
        <v>56</v>
      </c>
      <c r="B68" s="683" t="s">
        <v>420</v>
      </c>
      <c r="C68" s="675"/>
      <c r="D68" s="676"/>
      <c r="E68" s="698"/>
      <c r="F68" s="682">
        <v>56</v>
      </c>
      <c r="G68" s="683" t="s">
        <v>420</v>
      </c>
      <c r="H68" s="675"/>
      <c r="I68" s="676"/>
      <c r="K68" s="682">
        <v>56</v>
      </c>
      <c r="L68" s="683" t="s">
        <v>420</v>
      </c>
      <c r="M68" s="675"/>
      <c r="N68" s="676"/>
      <c r="P68" s="682">
        <v>56</v>
      </c>
      <c r="Q68" s="683" t="s">
        <v>420</v>
      </c>
      <c r="R68" s="675"/>
      <c r="S68" s="676"/>
    </row>
    <row r="69" spans="1:19">
      <c r="A69" s="682">
        <v>57</v>
      </c>
      <c r="B69" s="683" t="s">
        <v>421</v>
      </c>
      <c r="C69" s="675"/>
      <c r="D69" s="676"/>
      <c r="E69" s="698"/>
      <c r="F69" s="682">
        <v>57</v>
      </c>
      <c r="G69" s="683" t="s">
        <v>421</v>
      </c>
      <c r="H69" s="675"/>
      <c r="I69" s="676"/>
      <c r="K69" s="682">
        <v>57</v>
      </c>
      <c r="L69" s="683" t="s">
        <v>421</v>
      </c>
      <c r="M69" s="675"/>
      <c r="N69" s="676"/>
      <c r="P69" s="682">
        <v>57</v>
      </c>
      <c r="Q69" s="683" t="s">
        <v>421</v>
      </c>
      <c r="R69" s="675"/>
      <c r="S69" s="676"/>
    </row>
    <row r="70" spans="1:19">
      <c r="A70" s="682">
        <v>58</v>
      </c>
      <c r="B70" s="683" t="s">
        <v>422</v>
      </c>
      <c r="C70" s="675"/>
      <c r="D70" s="676"/>
      <c r="E70" s="698"/>
      <c r="F70" s="682">
        <v>58</v>
      </c>
      <c r="G70" s="683" t="s">
        <v>422</v>
      </c>
      <c r="H70" s="675"/>
      <c r="I70" s="676"/>
      <c r="K70" s="682">
        <v>58</v>
      </c>
      <c r="L70" s="683" t="s">
        <v>422</v>
      </c>
      <c r="M70" s="675"/>
      <c r="N70" s="676"/>
      <c r="P70" s="682">
        <v>58</v>
      </c>
      <c r="Q70" s="683" t="s">
        <v>422</v>
      </c>
      <c r="R70" s="675"/>
      <c r="S70" s="676"/>
    </row>
    <row r="71" spans="1:19">
      <c r="A71" s="682">
        <v>59</v>
      </c>
      <c r="B71" s="683" t="s">
        <v>423</v>
      </c>
      <c r="C71" s="675"/>
      <c r="D71" s="676"/>
      <c r="E71" s="698"/>
      <c r="F71" s="682">
        <v>59</v>
      </c>
      <c r="G71" s="683" t="s">
        <v>423</v>
      </c>
      <c r="H71" s="675"/>
      <c r="I71" s="676"/>
      <c r="K71" s="682">
        <v>59</v>
      </c>
      <c r="L71" s="683" t="s">
        <v>423</v>
      </c>
      <c r="M71" s="675"/>
      <c r="N71" s="676"/>
      <c r="P71" s="682">
        <v>59</v>
      </c>
      <c r="Q71" s="683" t="s">
        <v>423</v>
      </c>
      <c r="R71" s="675"/>
      <c r="S71" s="676"/>
    </row>
    <row r="72" spans="1:19">
      <c r="A72" s="682">
        <v>60</v>
      </c>
      <c r="B72" s="683" t="s">
        <v>424</v>
      </c>
      <c r="C72" s="675"/>
      <c r="D72" s="676"/>
      <c r="E72" s="698"/>
      <c r="F72" s="682">
        <v>60</v>
      </c>
      <c r="G72" s="683" t="s">
        <v>424</v>
      </c>
      <c r="H72" s="675"/>
      <c r="I72" s="676"/>
      <c r="K72" s="682">
        <v>60</v>
      </c>
      <c r="L72" s="683" t="s">
        <v>424</v>
      </c>
      <c r="M72" s="675"/>
      <c r="N72" s="676"/>
      <c r="P72" s="682">
        <v>60</v>
      </c>
      <c r="Q72" s="683" t="s">
        <v>424</v>
      </c>
      <c r="R72" s="675"/>
      <c r="S72" s="676"/>
    </row>
    <row r="73" spans="1:19">
      <c r="A73" s="682">
        <v>61</v>
      </c>
      <c r="B73" s="683" t="s">
        <v>425</v>
      </c>
      <c r="C73" s="675"/>
      <c r="D73" s="676"/>
      <c r="E73" s="698"/>
      <c r="F73" s="682">
        <v>61</v>
      </c>
      <c r="G73" s="683" t="s">
        <v>425</v>
      </c>
      <c r="H73" s="675"/>
      <c r="I73" s="676"/>
      <c r="K73" s="682">
        <v>61</v>
      </c>
      <c r="L73" s="683" t="s">
        <v>425</v>
      </c>
      <c r="M73" s="675"/>
      <c r="N73" s="676"/>
      <c r="P73" s="682">
        <v>61</v>
      </c>
      <c r="Q73" s="683" t="s">
        <v>425</v>
      </c>
      <c r="R73" s="675"/>
      <c r="S73" s="676"/>
    </row>
    <row r="74" spans="1:19">
      <c r="A74" s="682">
        <v>62</v>
      </c>
      <c r="B74" s="683" t="s">
        <v>426</v>
      </c>
      <c r="C74" s="675"/>
      <c r="D74" s="676"/>
      <c r="E74" s="698"/>
      <c r="F74" s="682">
        <v>62</v>
      </c>
      <c r="G74" s="683" t="s">
        <v>426</v>
      </c>
      <c r="H74" s="675"/>
      <c r="I74" s="676"/>
      <c r="K74" s="682">
        <v>62</v>
      </c>
      <c r="L74" s="683" t="s">
        <v>426</v>
      </c>
      <c r="M74" s="675"/>
      <c r="N74" s="676"/>
      <c r="P74" s="682">
        <v>62</v>
      </c>
      <c r="Q74" s="683" t="s">
        <v>426</v>
      </c>
      <c r="R74" s="675"/>
      <c r="S74" s="676"/>
    </row>
    <row r="75" spans="1:19">
      <c r="A75" s="682">
        <v>63</v>
      </c>
      <c r="B75" s="684" t="s">
        <v>427</v>
      </c>
      <c r="C75" s="675"/>
      <c r="D75" s="676"/>
      <c r="E75" s="698"/>
      <c r="F75" s="682">
        <v>63</v>
      </c>
      <c r="G75" s="684" t="s">
        <v>427</v>
      </c>
      <c r="H75" s="675"/>
      <c r="I75" s="676"/>
      <c r="K75" s="682">
        <v>63</v>
      </c>
      <c r="L75" s="684" t="s">
        <v>427</v>
      </c>
      <c r="M75" s="675"/>
      <c r="N75" s="676"/>
      <c r="P75" s="682">
        <v>63</v>
      </c>
      <c r="Q75" s="684" t="s">
        <v>427</v>
      </c>
      <c r="R75" s="675"/>
      <c r="S75" s="676"/>
    </row>
    <row r="76" spans="1:19">
      <c r="A76" s="682">
        <v>64</v>
      </c>
      <c r="B76" s="684" t="s">
        <v>428</v>
      </c>
      <c r="C76" s="675"/>
      <c r="D76" s="676"/>
      <c r="E76" s="698"/>
      <c r="F76" s="682">
        <v>64</v>
      </c>
      <c r="G76" s="684" t="s">
        <v>428</v>
      </c>
      <c r="H76" s="675"/>
      <c r="I76" s="676"/>
      <c r="K76" s="682">
        <v>64</v>
      </c>
      <c r="L76" s="684" t="s">
        <v>428</v>
      </c>
      <c r="M76" s="675"/>
      <c r="N76" s="676"/>
      <c r="P76" s="682">
        <v>64</v>
      </c>
      <c r="Q76" s="684" t="s">
        <v>428</v>
      </c>
      <c r="R76" s="675"/>
      <c r="S76" s="676"/>
    </row>
    <row r="77" spans="1:19">
      <c r="A77" s="682">
        <v>65</v>
      </c>
      <c r="B77" s="684" t="s">
        <v>429</v>
      </c>
      <c r="C77" s="675"/>
      <c r="D77" s="676"/>
      <c r="E77" s="698"/>
      <c r="F77" s="682">
        <v>65</v>
      </c>
      <c r="G77" s="684" t="s">
        <v>429</v>
      </c>
      <c r="H77" s="675"/>
      <c r="I77" s="676"/>
      <c r="K77" s="682">
        <v>65</v>
      </c>
      <c r="L77" s="684" t="s">
        <v>429</v>
      </c>
      <c r="M77" s="675"/>
      <c r="N77" s="676"/>
      <c r="P77" s="682">
        <v>65</v>
      </c>
      <c r="Q77" s="684" t="s">
        <v>429</v>
      </c>
      <c r="R77" s="675"/>
      <c r="S77" s="676"/>
    </row>
    <row r="78" spans="1:19">
      <c r="A78" s="682">
        <v>66</v>
      </c>
      <c r="B78" s="684" t="s">
        <v>430</v>
      </c>
      <c r="C78" s="675"/>
      <c r="D78" s="676"/>
      <c r="E78" s="698"/>
      <c r="F78" s="682">
        <v>66</v>
      </c>
      <c r="G78" s="684" t="s">
        <v>430</v>
      </c>
      <c r="H78" s="675"/>
      <c r="I78" s="676"/>
      <c r="K78" s="682">
        <v>66</v>
      </c>
      <c r="L78" s="684" t="s">
        <v>430</v>
      </c>
      <c r="M78" s="675"/>
      <c r="N78" s="676"/>
      <c r="P78" s="682">
        <v>66</v>
      </c>
      <c r="Q78" s="684" t="s">
        <v>430</v>
      </c>
      <c r="R78" s="675"/>
      <c r="S78" s="676"/>
    </row>
    <row r="79" spans="1:19">
      <c r="A79" s="682">
        <v>67</v>
      </c>
      <c r="B79" s="684" t="s">
        <v>431</v>
      </c>
      <c r="C79" s="675"/>
      <c r="D79" s="676"/>
      <c r="E79" s="698"/>
      <c r="F79" s="682">
        <v>67</v>
      </c>
      <c r="G79" s="684" t="s">
        <v>431</v>
      </c>
      <c r="H79" s="675"/>
      <c r="I79" s="676"/>
      <c r="K79" s="682">
        <v>67</v>
      </c>
      <c r="L79" s="684" t="s">
        <v>431</v>
      </c>
      <c r="M79" s="675"/>
      <c r="N79" s="676"/>
      <c r="P79" s="682">
        <v>67</v>
      </c>
      <c r="Q79" s="684" t="s">
        <v>431</v>
      </c>
      <c r="R79" s="675"/>
      <c r="S79" s="676"/>
    </row>
    <row r="80" spans="1:19">
      <c r="A80" s="682">
        <v>68</v>
      </c>
      <c r="B80" s="684" t="s">
        <v>432</v>
      </c>
      <c r="C80" s="675"/>
      <c r="D80" s="676"/>
      <c r="E80" s="698"/>
      <c r="F80" s="682">
        <v>68</v>
      </c>
      <c r="G80" s="684" t="s">
        <v>432</v>
      </c>
      <c r="H80" s="675"/>
      <c r="I80" s="676"/>
      <c r="K80" s="682">
        <v>68</v>
      </c>
      <c r="L80" s="684" t="s">
        <v>432</v>
      </c>
      <c r="M80" s="675"/>
      <c r="N80" s="676"/>
      <c r="P80" s="682">
        <v>68</v>
      </c>
      <c r="Q80" s="684" t="s">
        <v>432</v>
      </c>
      <c r="R80" s="675"/>
      <c r="S80" s="676"/>
    </row>
    <row r="81" spans="1:19">
      <c r="A81" s="682">
        <v>69</v>
      </c>
      <c r="B81" s="684" t="s">
        <v>433</v>
      </c>
      <c r="C81" s="675"/>
      <c r="D81" s="676"/>
      <c r="E81" s="698"/>
      <c r="F81" s="682">
        <v>69</v>
      </c>
      <c r="G81" s="684" t="s">
        <v>433</v>
      </c>
      <c r="H81" s="675"/>
      <c r="I81" s="676"/>
      <c r="K81" s="682">
        <v>69</v>
      </c>
      <c r="L81" s="684" t="s">
        <v>433</v>
      </c>
      <c r="M81" s="675"/>
      <c r="N81" s="676"/>
      <c r="P81" s="682">
        <v>69</v>
      </c>
      <c r="Q81" s="684" t="s">
        <v>433</v>
      </c>
      <c r="R81" s="675"/>
      <c r="S81" s="676"/>
    </row>
    <row r="82" spans="1:19">
      <c r="A82" s="682">
        <v>70</v>
      </c>
      <c r="B82" s="684" t="s">
        <v>434</v>
      </c>
      <c r="C82" s="675"/>
      <c r="D82" s="676"/>
      <c r="E82" s="698"/>
      <c r="F82" s="682">
        <v>70</v>
      </c>
      <c r="G82" s="684" t="s">
        <v>434</v>
      </c>
      <c r="H82" s="675"/>
      <c r="I82" s="676"/>
      <c r="K82" s="682">
        <v>70</v>
      </c>
      <c r="L82" s="684" t="s">
        <v>434</v>
      </c>
      <c r="M82" s="675"/>
      <c r="N82" s="676"/>
      <c r="P82" s="682">
        <v>70</v>
      </c>
      <c r="Q82" s="684" t="s">
        <v>434</v>
      </c>
      <c r="R82" s="675"/>
      <c r="S82" s="676"/>
    </row>
    <row r="83" spans="1:19">
      <c r="A83" s="682">
        <v>71</v>
      </c>
      <c r="B83" s="684" t="s">
        <v>435</v>
      </c>
      <c r="C83" s="675"/>
      <c r="D83" s="676"/>
      <c r="E83" s="698"/>
      <c r="F83" s="682">
        <v>71</v>
      </c>
      <c r="G83" s="684" t="s">
        <v>435</v>
      </c>
      <c r="H83" s="675"/>
      <c r="I83" s="676"/>
      <c r="K83" s="682">
        <v>71</v>
      </c>
      <c r="L83" s="684" t="s">
        <v>435</v>
      </c>
      <c r="M83" s="675"/>
      <c r="N83" s="676"/>
      <c r="P83" s="682">
        <v>71</v>
      </c>
      <c r="Q83" s="684" t="s">
        <v>435</v>
      </c>
      <c r="R83" s="675"/>
      <c r="S83" s="676"/>
    </row>
    <row r="84" spans="1:19">
      <c r="A84" s="682">
        <v>72</v>
      </c>
      <c r="B84" s="684" t="s">
        <v>436</v>
      </c>
      <c r="C84" s="675"/>
      <c r="D84" s="676"/>
      <c r="E84" s="698"/>
      <c r="F84" s="682">
        <v>72</v>
      </c>
      <c r="G84" s="684" t="s">
        <v>436</v>
      </c>
      <c r="H84" s="675"/>
      <c r="I84" s="676"/>
      <c r="K84" s="682">
        <v>72</v>
      </c>
      <c r="L84" s="684" t="s">
        <v>436</v>
      </c>
      <c r="M84" s="675"/>
      <c r="N84" s="676"/>
      <c r="P84" s="682">
        <v>72</v>
      </c>
      <c r="Q84" s="684" t="s">
        <v>436</v>
      </c>
      <c r="R84" s="675"/>
      <c r="S84" s="676"/>
    </row>
    <row r="85" spans="1:19">
      <c r="A85" s="682">
        <v>73</v>
      </c>
      <c r="B85" s="684" t="s">
        <v>437</v>
      </c>
      <c r="C85" s="675"/>
      <c r="D85" s="676"/>
      <c r="E85" s="698"/>
      <c r="F85" s="682">
        <v>73</v>
      </c>
      <c r="G85" s="684" t="s">
        <v>437</v>
      </c>
      <c r="H85" s="675"/>
      <c r="I85" s="676"/>
      <c r="K85" s="682">
        <v>73</v>
      </c>
      <c r="L85" s="684" t="s">
        <v>437</v>
      </c>
      <c r="M85" s="675"/>
      <c r="N85" s="676"/>
      <c r="P85" s="682">
        <v>73</v>
      </c>
      <c r="Q85" s="684" t="s">
        <v>437</v>
      </c>
      <c r="R85" s="675"/>
      <c r="S85" s="676"/>
    </row>
    <row r="86" spans="1:19">
      <c r="A86" s="682">
        <v>74</v>
      </c>
      <c r="B86" s="684" t="s">
        <v>438</v>
      </c>
      <c r="C86" s="675"/>
      <c r="D86" s="676"/>
      <c r="E86" s="698"/>
      <c r="F86" s="682">
        <v>74</v>
      </c>
      <c r="G86" s="684" t="s">
        <v>438</v>
      </c>
      <c r="H86" s="675"/>
      <c r="I86" s="676"/>
      <c r="K86" s="682">
        <v>74</v>
      </c>
      <c r="L86" s="684" t="s">
        <v>438</v>
      </c>
      <c r="M86" s="675"/>
      <c r="N86" s="676"/>
      <c r="P86" s="682">
        <v>74</v>
      </c>
      <c r="Q86" s="684" t="s">
        <v>438</v>
      </c>
      <c r="R86" s="675"/>
      <c r="S86" s="676"/>
    </row>
    <row r="87" spans="1:19">
      <c r="A87" s="682">
        <v>75</v>
      </c>
      <c r="B87" s="684" t="s">
        <v>439</v>
      </c>
      <c r="C87" s="675"/>
      <c r="D87" s="676"/>
      <c r="E87" s="698"/>
      <c r="F87" s="682">
        <v>75</v>
      </c>
      <c r="G87" s="684" t="s">
        <v>439</v>
      </c>
      <c r="H87" s="675"/>
      <c r="I87" s="676"/>
      <c r="K87" s="682">
        <v>75</v>
      </c>
      <c r="L87" s="684" t="s">
        <v>439</v>
      </c>
      <c r="M87" s="675"/>
      <c r="N87" s="676"/>
      <c r="P87" s="682">
        <v>75</v>
      </c>
      <c r="Q87" s="684" t="s">
        <v>439</v>
      </c>
      <c r="R87" s="675"/>
      <c r="S87" s="676"/>
    </row>
    <row r="88" spans="1:19">
      <c r="A88" s="682">
        <v>76</v>
      </c>
      <c r="B88" s="684" t="s">
        <v>440</v>
      </c>
      <c r="C88" s="675"/>
      <c r="D88" s="676"/>
      <c r="E88" s="698"/>
      <c r="F88" s="682">
        <v>76</v>
      </c>
      <c r="G88" s="684" t="s">
        <v>440</v>
      </c>
      <c r="H88" s="675"/>
      <c r="I88" s="676"/>
      <c r="K88" s="682">
        <v>76</v>
      </c>
      <c r="L88" s="684" t="s">
        <v>440</v>
      </c>
      <c r="M88" s="675"/>
      <c r="N88" s="676"/>
      <c r="P88" s="682">
        <v>76</v>
      </c>
      <c r="Q88" s="684" t="s">
        <v>440</v>
      </c>
      <c r="R88" s="675"/>
      <c r="S88" s="676"/>
    </row>
    <row r="89" spans="1:19">
      <c r="A89" s="682">
        <v>77</v>
      </c>
      <c r="B89" s="684" t="s">
        <v>441</v>
      </c>
      <c r="C89" s="675"/>
      <c r="D89" s="676"/>
      <c r="E89" s="698"/>
      <c r="F89" s="682">
        <v>77</v>
      </c>
      <c r="G89" s="684" t="s">
        <v>441</v>
      </c>
      <c r="H89" s="675"/>
      <c r="I89" s="676"/>
      <c r="K89" s="682">
        <v>77</v>
      </c>
      <c r="L89" s="684" t="s">
        <v>441</v>
      </c>
      <c r="M89" s="675"/>
      <c r="N89" s="676"/>
      <c r="P89" s="682">
        <v>77</v>
      </c>
      <c r="Q89" s="684" t="s">
        <v>441</v>
      </c>
      <c r="R89" s="675"/>
      <c r="S89" s="676"/>
    </row>
    <row r="90" spans="1:19">
      <c r="A90" s="682">
        <v>78</v>
      </c>
      <c r="B90" s="684" t="s">
        <v>442</v>
      </c>
      <c r="C90" s="675"/>
      <c r="D90" s="676"/>
      <c r="E90" s="698"/>
      <c r="F90" s="682">
        <v>78</v>
      </c>
      <c r="G90" s="684" t="s">
        <v>442</v>
      </c>
      <c r="H90" s="675"/>
      <c r="I90" s="676"/>
      <c r="K90" s="682">
        <v>78</v>
      </c>
      <c r="L90" s="684" t="s">
        <v>442</v>
      </c>
      <c r="M90" s="675"/>
      <c r="N90" s="676"/>
      <c r="P90" s="682">
        <v>78</v>
      </c>
      <c r="Q90" s="684" t="s">
        <v>442</v>
      </c>
      <c r="R90" s="675"/>
      <c r="S90" s="676"/>
    </row>
    <row r="91" spans="1:19">
      <c r="A91" s="682">
        <v>79</v>
      </c>
      <c r="B91" s="684" t="s">
        <v>443</v>
      </c>
      <c r="C91" s="675"/>
      <c r="D91" s="676"/>
      <c r="E91" s="698"/>
      <c r="F91" s="682">
        <v>79</v>
      </c>
      <c r="G91" s="684" t="s">
        <v>443</v>
      </c>
      <c r="H91" s="675"/>
      <c r="I91" s="676"/>
      <c r="K91" s="682">
        <v>79</v>
      </c>
      <c r="L91" s="684" t="s">
        <v>443</v>
      </c>
      <c r="M91" s="675"/>
      <c r="N91" s="676"/>
      <c r="P91" s="682">
        <v>79</v>
      </c>
      <c r="Q91" s="684" t="s">
        <v>443</v>
      </c>
      <c r="R91" s="675"/>
      <c r="S91" s="676"/>
    </row>
    <row r="92" spans="1:19">
      <c r="A92" s="682">
        <v>80</v>
      </c>
      <c r="B92" s="684" t="s">
        <v>444</v>
      </c>
      <c r="C92" s="675"/>
      <c r="D92" s="676"/>
      <c r="E92" s="698"/>
      <c r="F92" s="682">
        <v>80</v>
      </c>
      <c r="G92" s="684" t="s">
        <v>444</v>
      </c>
      <c r="H92" s="675"/>
      <c r="I92" s="676"/>
      <c r="K92" s="682">
        <v>80</v>
      </c>
      <c r="L92" s="684" t="s">
        <v>444</v>
      </c>
      <c r="M92" s="675"/>
      <c r="N92" s="676"/>
      <c r="P92" s="682">
        <v>80</v>
      </c>
      <c r="Q92" s="684" t="s">
        <v>444</v>
      </c>
      <c r="R92" s="675"/>
      <c r="S92" s="676"/>
    </row>
    <row r="93" spans="1:19">
      <c r="A93" s="682">
        <v>81</v>
      </c>
      <c r="B93" s="684" t="s">
        <v>445</v>
      </c>
      <c r="C93" s="675"/>
      <c r="D93" s="676"/>
      <c r="E93" s="698"/>
      <c r="F93" s="682">
        <v>81</v>
      </c>
      <c r="G93" s="684" t="s">
        <v>445</v>
      </c>
      <c r="H93" s="675"/>
      <c r="I93" s="676"/>
      <c r="K93" s="682">
        <v>81</v>
      </c>
      <c r="L93" s="684" t="s">
        <v>445</v>
      </c>
      <c r="M93" s="675"/>
      <c r="N93" s="676"/>
      <c r="P93" s="682">
        <v>81</v>
      </c>
      <c r="Q93" s="684" t="s">
        <v>445</v>
      </c>
      <c r="R93" s="675"/>
      <c r="S93" s="676"/>
    </row>
    <row r="94" spans="1:19">
      <c r="A94" s="682">
        <v>82</v>
      </c>
      <c r="B94" s="684" t="s">
        <v>446</v>
      </c>
      <c r="C94" s="675"/>
      <c r="D94" s="676"/>
      <c r="E94" s="698"/>
      <c r="F94" s="682">
        <v>82</v>
      </c>
      <c r="G94" s="684" t="s">
        <v>446</v>
      </c>
      <c r="H94" s="675"/>
      <c r="I94" s="676"/>
      <c r="K94" s="682">
        <v>82</v>
      </c>
      <c r="L94" s="684" t="s">
        <v>446</v>
      </c>
      <c r="M94" s="675"/>
      <c r="N94" s="676"/>
      <c r="P94" s="682">
        <v>82</v>
      </c>
      <c r="Q94" s="684" t="s">
        <v>446</v>
      </c>
      <c r="R94" s="675"/>
      <c r="S94" s="676"/>
    </row>
    <row r="95" spans="1:19">
      <c r="A95" s="682">
        <v>83</v>
      </c>
      <c r="B95" s="684" t="s">
        <v>447</v>
      </c>
      <c r="C95" s="675"/>
      <c r="D95" s="676"/>
      <c r="E95" s="698"/>
      <c r="F95" s="682">
        <v>83</v>
      </c>
      <c r="G95" s="684" t="s">
        <v>447</v>
      </c>
      <c r="H95" s="675"/>
      <c r="I95" s="676"/>
      <c r="K95" s="682">
        <v>83</v>
      </c>
      <c r="L95" s="684" t="s">
        <v>447</v>
      </c>
      <c r="M95" s="675"/>
      <c r="N95" s="676"/>
      <c r="P95" s="682">
        <v>83</v>
      </c>
      <c r="Q95" s="684" t="s">
        <v>447</v>
      </c>
      <c r="R95" s="675"/>
      <c r="S95" s="676"/>
    </row>
    <row r="96" spans="1:19">
      <c r="A96" s="682">
        <v>84</v>
      </c>
      <c r="B96" s="684" t="s">
        <v>448</v>
      </c>
      <c r="C96" s="675"/>
      <c r="D96" s="676"/>
      <c r="E96" s="698"/>
      <c r="F96" s="682">
        <v>84</v>
      </c>
      <c r="G96" s="684" t="s">
        <v>448</v>
      </c>
      <c r="H96" s="675"/>
      <c r="I96" s="676"/>
      <c r="K96" s="682">
        <v>84</v>
      </c>
      <c r="L96" s="684" t="s">
        <v>448</v>
      </c>
      <c r="M96" s="675"/>
      <c r="N96" s="676"/>
      <c r="P96" s="682">
        <v>84</v>
      </c>
      <c r="Q96" s="684" t="s">
        <v>448</v>
      </c>
      <c r="R96" s="675"/>
      <c r="S96" s="676"/>
    </row>
    <row r="97" spans="1:19">
      <c r="A97" s="682">
        <v>85</v>
      </c>
      <c r="B97" s="684" t="s">
        <v>449</v>
      </c>
      <c r="C97" s="675"/>
      <c r="D97" s="676"/>
      <c r="E97" s="698"/>
      <c r="F97" s="682">
        <v>85</v>
      </c>
      <c r="G97" s="684" t="s">
        <v>449</v>
      </c>
      <c r="H97" s="675"/>
      <c r="I97" s="676"/>
      <c r="K97" s="682">
        <v>85</v>
      </c>
      <c r="L97" s="684" t="s">
        <v>449</v>
      </c>
      <c r="M97" s="675"/>
      <c r="N97" s="676"/>
      <c r="P97" s="682">
        <v>85</v>
      </c>
      <c r="Q97" s="684" t="s">
        <v>449</v>
      </c>
      <c r="R97" s="675"/>
      <c r="S97" s="676"/>
    </row>
    <row r="98" spans="1:19">
      <c r="A98" s="682">
        <v>86</v>
      </c>
      <c r="B98" s="684" t="s">
        <v>450</v>
      </c>
      <c r="C98" s="675"/>
      <c r="D98" s="676"/>
      <c r="E98" s="698"/>
      <c r="F98" s="682">
        <v>86</v>
      </c>
      <c r="G98" s="684" t="s">
        <v>450</v>
      </c>
      <c r="H98" s="675"/>
      <c r="I98" s="676"/>
      <c r="K98" s="682">
        <v>86</v>
      </c>
      <c r="L98" s="684" t="s">
        <v>450</v>
      </c>
      <c r="M98" s="675"/>
      <c r="N98" s="676"/>
      <c r="P98" s="682">
        <v>86</v>
      </c>
      <c r="Q98" s="684" t="s">
        <v>450</v>
      </c>
      <c r="R98" s="675"/>
      <c r="S98" s="676"/>
    </row>
    <row r="99" spans="1:19">
      <c r="A99" s="682">
        <v>87</v>
      </c>
      <c r="B99" s="684" t="s">
        <v>451</v>
      </c>
      <c r="C99" s="675"/>
      <c r="D99" s="676"/>
      <c r="E99" s="698"/>
      <c r="F99" s="682">
        <v>87</v>
      </c>
      <c r="G99" s="684" t="s">
        <v>451</v>
      </c>
      <c r="H99" s="675"/>
      <c r="I99" s="676"/>
      <c r="K99" s="682">
        <v>87</v>
      </c>
      <c r="L99" s="684" t="s">
        <v>451</v>
      </c>
      <c r="M99" s="675"/>
      <c r="N99" s="676"/>
      <c r="P99" s="682">
        <v>87</v>
      </c>
      <c r="Q99" s="684" t="s">
        <v>451</v>
      </c>
      <c r="R99" s="675"/>
      <c r="S99" s="676"/>
    </row>
    <row r="100" spans="1:19">
      <c r="A100" s="682">
        <v>88</v>
      </c>
      <c r="B100" s="684" t="s">
        <v>452</v>
      </c>
      <c r="C100" s="675"/>
      <c r="D100" s="676"/>
      <c r="E100" s="698"/>
      <c r="F100" s="682">
        <v>88</v>
      </c>
      <c r="G100" s="684" t="s">
        <v>452</v>
      </c>
      <c r="H100" s="675"/>
      <c r="I100" s="676"/>
      <c r="K100" s="682">
        <v>88</v>
      </c>
      <c r="L100" s="684" t="s">
        <v>452</v>
      </c>
      <c r="M100" s="675"/>
      <c r="N100" s="676"/>
      <c r="P100" s="682">
        <v>88</v>
      </c>
      <c r="Q100" s="684" t="s">
        <v>452</v>
      </c>
      <c r="R100" s="675"/>
      <c r="S100" s="676"/>
    </row>
    <row r="101" spans="1:19">
      <c r="A101" s="682">
        <v>89</v>
      </c>
      <c r="B101" s="684" t="s">
        <v>453</v>
      </c>
      <c r="C101" s="675"/>
      <c r="D101" s="676"/>
      <c r="E101" s="698"/>
      <c r="F101" s="682">
        <v>89</v>
      </c>
      <c r="G101" s="684" t="s">
        <v>453</v>
      </c>
      <c r="H101" s="675"/>
      <c r="I101" s="676"/>
      <c r="K101" s="682">
        <v>89</v>
      </c>
      <c r="L101" s="684" t="s">
        <v>453</v>
      </c>
      <c r="M101" s="675"/>
      <c r="N101" s="676"/>
      <c r="P101" s="682">
        <v>89</v>
      </c>
      <c r="Q101" s="684" t="s">
        <v>453</v>
      </c>
      <c r="R101" s="675"/>
      <c r="S101" s="676"/>
    </row>
    <row r="102" spans="1:19">
      <c r="A102" s="682">
        <v>90</v>
      </c>
      <c r="B102" s="684" t="s">
        <v>454</v>
      </c>
      <c r="C102" s="675"/>
      <c r="D102" s="676"/>
      <c r="E102" s="698"/>
      <c r="F102" s="682">
        <v>90</v>
      </c>
      <c r="G102" s="684" t="s">
        <v>454</v>
      </c>
      <c r="H102" s="675"/>
      <c r="I102" s="676"/>
      <c r="K102" s="682">
        <v>90</v>
      </c>
      <c r="L102" s="684" t="s">
        <v>454</v>
      </c>
      <c r="M102" s="675"/>
      <c r="N102" s="676"/>
      <c r="P102" s="682">
        <v>90</v>
      </c>
      <c r="Q102" s="684" t="s">
        <v>454</v>
      </c>
      <c r="R102" s="675"/>
      <c r="S102" s="676"/>
    </row>
    <row r="103" spans="1:19">
      <c r="A103" s="682">
        <v>91</v>
      </c>
      <c r="B103" s="684" t="s">
        <v>455</v>
      </c>
      <c r="C103" s="675"/>
      <c r="D103" s="676"/>
      <c r="E103" s="698"/>
      <c r="F103" s="682">
        <v>91</v>
      </c>
      <c r="G103" s="684" t="s">
        <v>455</v>
      </c>
      <c r="H103" s="675"/>
      <c r="I103" s="676"/>
      <c r="K103" s="682">
        <v>91</v>
      </c>
      <c r="L103" s="684" t="s">
        <v>455</v>
      </c>
      <c r="M103" s="675"/>
      <c r="N103" s="676"/>
      <c r="P103" s="682">
        <v>91</v>
      </c>
      <c r="Q103" s="684" t="s">
        <v>455</v>
      </c>
      <c r="R103" s="675"/>
      <c r="S103" s="676"/>
    </row>
    <row r="104" spans="1:19">
      <c r="A104" s="682">
        <v>92</v>
      </c>
      <c r="B104" s="684" t="s">
        <v>456</v>
      </c>
      <c r="C104" s="675"/>
      <c r="D104" s="676"/>
      <c r="E104" s="698"/>
      <c r="F104" s="682">
        <v>92</v>
      </c>
      <c r="G104" s="684" t="s">
        <v>456</v>
      </c>
      <c r="H104" s="675"/>
      <c r="I104" s="676"/>
      <c r="K104" s="682">
        <v>92</v>
      </c>
      <c r="L104" s="684" t="s">
        <v>456</v>
      </c>
      <c r="M104" s="675"/>
      <c r="N104" s="676"/>
      <c r="P104" s="682">
        <v>92</v>
      </c>
      <c r="Q104" s="684" t="s">
        <v>456</v>
      </c>
      <c r="R104" s="675"/>
      <c r="S104" s="676"/>
    </row>
    <row r="105" spans="1:19">
      <c r="A105" s="682">
        <v>93</v>
      </c>
      <c r="B105" s="684" t="s">
        <v>457</v>
      </c>
      <c r="C105" s="675"/>
      <c r="D105" s="676"/>
      <c r="E105" s="698"/>
      <c r="F105" s="682">
        <v>93</v>
      </c>
      <c r="G105" s="684" t="s">
        <v>457</v>
      </c>
      <c r="H105" s="675"/>
      <c r="I105" s="676"/>
      <c r="K105" s="682">
        <v>93</v>
      </c>
      <c r="L105" s="684" t="s">
        <v>457</v>
      </c>
      <c r="M105" s="675"/>
      <c r="N105" s="676"/>
      <c r="P105" s="682">
        <v>93</v>
      </c>
      <c r="Q105" s="684" t="s">
        <v>457</v>
      </c>
      <c r="R105" s="675"/>
      <c r="S105" s="676"/>
    </row>
    <row r="106" spans="1:19">
      <c r="A106" s="682">
        <v>94</v>
      </c>
      <c r="B106" s="684" t="s">
        <v>458</v>
      </c>
      <c r="C106" s="675"/>
      <c r="D106" s="676"/>
      <c r="E106" s="698"/>
      <c r="F106" s="682">
        <v>94</v>
      </c>
      <c r="G106" s="684" t="s">
        <v>458</v>
      </c>
      <c r="H106" s="675"/>
      <c r="I106" s="676"/>
      <c r="K106" s="682">
        <v>94</v>
      </c>
      <c r="L106" s="684" t="s">
        <v>458</v>
      </c>
      <c r="M106" s="675"/>
      <c r="N106" s="676"/>
      <c r="P106" s="682">
        <v>94</v>
      </c>
      <c r="Q106" s="684" t="s">
        <v>458</v>
      </c>
      <c r="R106" s="675"/>
      <c r="S106" s="676"/>
    </row>
    <row r="107" spans="1:19">
      <c r="A107" s="682">
        <v>95</v>
      </c>
      <c r="B107" s="684" t="s">
        <v>459</v>
      </c>
      <c r="C107" s="675"/>
      <c r="D107" s="676"/>
      <c r="E107" s="698"/>
      <c r="F107" s="682">
        <v>95</v>
      </c>
      <c r="G107" s="684" t="s">
        <v>459</v>
      </c>
      <c r="H107" s="675"/>
      <c r="I107" s="676"/>
      <c r="K107" s="682">
        <v>95</v>
      </c>
      <c r="L107" s="684" t="s">
        <v>459</v>
      </c>
      <c r="M107" s="675"/>
      <c r="N107" s="676"/>
      <c r="P107" s="682">
        <v>95</v>
      </c>
      <c r="Q107" s="684" t="s">
        <v>459</v>
      </c>
      <c r="R107" s="675"/>
      <c r="S107" s="676"/>
    </row>
    <row r="108" spans="1:19">
      <c r="A108" s="682">
        <v>96</v>
      </c>
      <c r="B108" s="684" t="s">
        <v>460</v>
      </c>
      <c r="C108" s="675"/>
      <c r="D108" s="676"/>
      <c r="E108" s="698"/>
      <c r="F108" s="682">
        <v>96</v>
      </c>
      <c r="G108" s="684" t="s">
        <v>460</v>
      </c>
      <c r="H108" s="675"/>
      <c r="I108" s="676"/>
      <c r="K108" s="682">
        <v>96</v>
      </c>
      <c r="L108" s="684" t="s">
        <v>460</v>
      </c>
      <c r="M108" s="675"/>
      <c r="N108" s="676"/>
      <c r="P108" s="682">
        <v>96</v>
      </c>
      <c r="Q108" s="684" t="s">
        <v>460</v>
      </c>
      <c r="R108" s="675"/>
      <c r="S108" s="676"/>
    </row>
    <row r="109" spans="1:19">
      <c r="A109" s="682">
        <v>97</v>
      </c>
      <c r="B109" s="684" t="s">
        <v>461</v>
      </c>
      <c r="C109" s="675"/>
      <c r="D109" s="676"/>
      <c r="E109" s="698"/>
      <c r="F109" s="682">
        <v>97</v>
      </c>
      <c r="G109" s="684" t="s">
        <v>461</v>
      </c>
      <c r="H109" s="675"/>
      <c r="I109" s="676"/>
      <c r="K109" s="682">
        <v>97</v>
      </c>
      <c r="L109" s="684" t="s">
        <v>461</v>
      </c>
      <c r="M109" s="675"/>
      <c r="N109" s="676"/>
      <c r="P109" s="682">
        <v>97</v>
      </c>
      <c r="Q109" s="684" t="s">
        <v>461</v>
      </c>
      <c r="R109" s="675"/>
      <c r="S109" s="676"/>
    </row>
    <row r="110" spans="1:19">
      <c r="A110" s="682">
        <v>98</v>
      </c>
      <c r="B110" s="684" t="s">
        <v>462</v>
      </c>
      <c r="C110" s="675"/>
      <c r="D110" s="676"/>
      <c r="E110" s="698"/>
      <c r="F110" s="682">
        <v>98</v>
      </c>
      <c r="G110" s="684" t="s">
        <v>462</v>
      </c>
      <c r="H110" s="675"/>
      <c r="I110" s="676"/>
      <c r="K110" s="682">
        <v>98</v>
      </c>
      <c r="L110" s="684" t="s">
        <v>462</v>
      </c>
      <c r="M110" s="675"/>
      <c r="N110" s="676"/>
      <c r="P110" s="682">
        <v>98</v>
      </c>
      <c r="Q110" s="684" t="s">
        <v>462</v>
      </c>
      <c r="R110" s="675"/>
      <c r="S110" s="676"/>
    </row>
    <row r="111" spans="1:19">
      <c r="A111" s="682">
        <v>99</v>
      </c>
      <c r="B111" s="684" t="s">
        <v>463</v>
      </c>
      <c r="C111" s="675"/>
      <c r="D111" s="676"/>
      <c r="E111" s="698"/>
      <c r="F111" s="682">
        <v>99</v>
      </c>
      <c r="G111" s="684" t="s">
        <v>463</v>
      </c>
      <c r="H111" s="675"/>
      <c r="I111" s="676"/>
      <c r="K111" s="682">
        <v>99</v>
      </c>
      <c r="L111" s="684" t="s">
        <v>463</v>
      </c>
      <c r="M111" s="675"/>
      <c r="N111" s="676"/>
      <c r="P111" s="682">
        <v>99</v>
      </c>
      <c r="Q111" s="684" t="s">
        <v>463</v>
      </c>
      <c r="R111" s="675"/>
      <c r="S111" s="676"/>
    </row>
    <row r="112" spans="1:19" ht="13.5" thickBot="1">
      <c r="A112" s="685">
        <v>100</v>
      </c>
      <c r="B112" s="686" t="s">
        <v>464</v>
      </c>
      <c r="C112" s="687"/>
      <c r="D112" s="688"/>
      <c r="E112" s="698"/>
      <c r="F112" s="685">
        <v>100</v>
      </c>
      <c r="G112" s="686" t="s">
        <v>464</v>
      </c>
      <c r="H112" s="687"/>
      <c r="I112" s="688"/>
      <c r="K112" s="685">
        <v>100</v>
      </c>
      <c r="L112" s="686" t="s">
        <v>464</v>
      </c>
      <c r="M112" s="687"/>
      <c r="N112" s="688"/>
      <c r="P112" s="685">
        <v>100</v>
      </c>
      <c r="Q112" s="686" t="s">
        <v>464</v>
      </c>
      <c r="R112" s="687"/>
      <c r="S112" s="688"/>
    </row>
    <row r="118" spans="1:4">
      <c r="A118" s="704" t="s">
        <v>470</v>
      </c>
    </row>
    <row r="119" spans="1:4" ht="13.5" thickBot="1"/>
    <row r="120" spans="1:4" ht="13.5" thickBot="1">
      <c r="A120" s="689"/>
      <c r="B120" s="690"/>
      <c r="C120" s="690"/>
      <c r="D120" s="691"/>
    </row>
    <row r="121" spans="1:4" ht="13.5" thickBot="1">
      <c r="A121" s="693"/>
      <c r="B121" s="694"/>
      <c r="C121" s="694"/>
      <c r="D121" s="695"/>
    </row>
    <row r="122" spans="1:4" ht="15.75" thickBot="1">
      <c r="A122" s="985" t="e">
        <v>#REF!</v>
      </c>
      <c r="B122" s="986"/>
      <c r="C122" s="672"/>
      <c r="D122" s="673"/>
    </row>
    <row r="123" spans="1:4">
      <c r="A123" s="987"/>
      <c r="B123" s="988"/>
      <c r="C123" s="672"/>
      <c r="D123" s="673"/>
    </row>
    <row r="124" spans="1:4">
      <c r="A124" s="674"/>
      <c r="B124" s="675"/>
      <c r="C124" s="675"/>
      <c r="D124" s="676"/>
    </row>
    <row r="125" spans="1:4">
      <c r="A125" s="989" t="e">
        <f>IF(OR((A122&gt;9999999999),(A122&lt;0)),"Invalid Entry - More than 1000 crore OR -ve value",IF(A122=0, "",+CONCATENATE(U121,B132,D132,B131,D131,B130,D130,B129,D129,B128,D128,B127," Only")))</f>
        <v>#REF!</v>
      </c>
      <c r="B125" s="990"/>
      <c r="C125" s="990"/>
      <c r="D125" s="991"/>
    </row>
    <row r="126" spans="1:4">
      <c r="A126" s="674"/>
      <c r="B126" s="675"/>
      <c r="C126" s="675"/>
      <c r="D126" s="676"/>
    </row>
    <row r="127" spans="1:4">
      <c r="A127" s="677" t="e">
        <f>-INT(A122/100)*100+ROUND(A122,0)</f>
        <v>#REF!</v>
      </c>
      <c r="B127" s="675" t="e">
        <f t="shared" ref="B127:B132" si="6">IF(A127=0,"",LOOKUP(A127,$A$13:$A$112,$B$13:$B$112))</f>
        <v>#REF!</v>
      </c>
      <c r="C127" s="675"/>
      <c r="D127" s="678"/>
    </row>
    <row r="128" spans="1:4">
      <c r="A128" s="677" t="e">
        <f>-INT(A122/1000)*10+INT(A122/100)</f>
        <v>#REF!</v>
      </c>
      <c r="B128" s="675" t="e">
        <f t="shared" si="6"/>
        <v>#REF!</v>
      </c>
      <c r="C128" s="675"/>
      <c r="D128" s="678" t="e">
        <f>+IF(B128="",""," Hundred ")</f>
        <v>#REF!</v>
      </c>
    </row>
    <row r="129" spans="1:4">
      <c r="A129" s="677" t="e">
        <f>-INT(A122/100000)*100+INT(A122/1000)</f>
        <v>#REF!</v>
      </c>
      <c r="B129" s="675" t="e">
        <f t="shared" si="6"/>
        <v>#REF!</v>
      </c>
      <c r="C129" s="675"/>
      <c r="D129" s="678" t="e">
        <f>IF((B129=""),IF(C129="",""," Thousand ")," Thousand ")</f>
        <v>#REF!</v>
      </c>
    </row>
    <row r="130" spans="1:4">
      <c r="A130" s="677" t="e">
        <f>-INT(A122/10000000)*100+INT(A122/100000)</f>
        <v>#REF!</v>
      </c>
      <c r="B130" s="675" t="e">
        <f t="shared" si="6"/>
        <v>#REF!</v>
      </c>
      <c r="C130" s="675"/>
      <c r="D130" s="678" t="e">
        <f>IF((B130=""),IF(C130="",""," Lac ")," Lac ")</f>
        <v>#REF!</v>
      </c>
    </row>
    <row r="131" spans="1:4">
      <c r="A131" s="677" t="e">
        <f>-INT(A122/1000000000)*100+INT(A122/10000000)</f>
        <v>#REF!</v>
      </c>
      <c r="B131" s="679" t="e">
        <f t="shared" si="6"/>
        <v>#REF!</v>
      </c>
      <c r="C131" s="675"/>
      <c r="D131" s="678" t="e">
        <f>IF((B131=""),IF(C131="",""," Crore ")," Crore ")</f>
        <v>#REF!</v>
      </c>
    </row>
    <row r="132" spans="1:4">
      <c r="A132" s="680" t="e">
        <f>-INT(A122/10000000000)*1000+INT(A122/1000000000)</f>
        <v>#REF!</v>
      </c>
      <c r="B132" s="679" t="e">
        <f t="shared" si="6"/>
        <v>#REF!</v>
      </c>
      <c r="C132" s="675"/>
      <c r="D132" s="678" t="e">
        <f>IF((B132=""),IF(C132="",""," Hundred ")," Hundred ")</f>
        <v>#REF!</v>
      </c>
    </row>
    <row r="133" spans="1:4">
      <c r="A133" s="681"/>
      <c r="B133" s="675"/>
      <c r="C133" s="675"/>
      <c r="D133" s="676"/>
    </row>
    <row r="134" spans="1:4">
      <c r="A134" s="682">
        <v>1</v>
      </c>
      <c r="B134" s="683" t="s">
        <v>365</v>
      </c>
      <c r="C134" s="675"/>
      <c r="D134" s="676"/>
    </row>
    <row r="135" spans="1:4">
      <c r="A135" s="682">
        <v>2</v>
      </c>
      <c r="B135" s="683" t="s">
        <v>366</v>
      </c>
      <c r="C135" s="675"/>
      <c r="D135" s="676"/>
    </row>
    <row r="136" spans="1:4">
      <c r="A136" s="682">
        <v>3</v>
      </c>
      <c r="B136" s="683" t="s">
        <v>367</v>
      </c>
      <c r="C136" s="675"/>
      <c r="D136" s="676"/>
    </row>
    <row r="137" spans="1:4">
      <c r="A137" s="682">
        <v>4</v>
      </c>
      <c r="B137" s="683" t="s">
        <v>368</v>
      </c>
      <c r="C137" s="675"/>
      <c r="D137" s="676"/>
    </row>
    <row r="138" spans="1:4">
      <c r="A138" s="682">
        <v>5</v>
      </c>
      <c r="B138" s="683" t="s">
        <v>369</v>
      </c>
      <c r="C138" s="675"/>
      <c r="D138" s="676"/>
    </row>
    <row r="139" spans="1:4">
      <c r="A139" s="682">
        <v>6</v>
      </c>
      <c r="B139" s="683" t="s">
        <v>370</v>
      </c>
      <c r="C139" s="675"/>
      <c r="D139" s="676"/>
    </row>
    <row r="140" spans="1:4">
      <c r="A140" s="682">
        <v>7</v>
      </c>
      <c r="B140" s="683" t="s">
        <v>371</v>
      </c>
      <c r="C140" s="675"/>
      <c r="D140" s="676"/>
    </row>
    <row r="141" spans="1:4">
      <c r="A141" s="682">
        <v>8</v>
      </c>
      <c r="B141" s="683" t="s">
        <v>372</v>
      </c>
      <c r="C141" s="675"/>
      <c r="D141" s="676"/>
    </row>
    <row r="142" spans="1:4">
      <c r="A142" s="682">
        <v>9</v>
      </c>
      <c r="B142" s="683" t="s">
        <v>373</v>
      </c>
      <c r="C142" s="675"/>
      <c r="D142" s="676"/>
    </row>
    <row r="143" spans="1:4">
      <c r="A143" s="682">
        <v>10</v>
      </c>
      <c r="B143" s="683" t="s">
        <v>374</v>
      </c>
      <c r="C143" s="675"/>
      <c r="D143" s="676"/>
    </row>
    <row r="144" spans="1:4">
      <c r="A144" s="682">
        <v>11</v>
      </c>
      <c r="B144" s="683" t="s">
        <v>375</v>
      </c>
      <c r="C144" s="675"/>
      <c r="D144" s="676"/>
    </row>
    <row r="145" spans="1:4">
      <c r="A145" s="682">
        <v>12</v>
      </c>
      <c r="B145" s="683" t="s">
        <v>376</v>
      </c>
      <c r="C145" s="675"/>
      <c r="D145" s="676"/>
    </row>
    <row r="146" spans="1:4">
      <c r="A146" s="682">
        <v>13</v>
      </c>
      <c r="B146" s="683" t="s">
        <v>377</v>
      </c>
      <c r="C146" s="675"/>
      <c r="D146" s="676"/>
    </row>
    <row r="147" spans="1:4">
      <c r="A147" s="682">
        <v>14</v>
      </c>
      <c r="B147" s="683" t="s">
        <v>378</v>
      </c>
      <c r="C147" s="675"/>
      <c r="D147" s="676"/>
    </row>
    <row r="148" spans="1:4">
      <c r="A148" s="682">
        <v>15</v>
      </c>
      <c r="B148" s="683" t="s">
        <v>379</v>
      </c>
      <c r="C148" s="675"/>
      <c r="D148" s="676"/>
    </row>
    <row r="149" spans="1:4">
      <c r="A149" s="682">
        <v>16</v>
      </c>
      <c r="B149" s="683" t="s">
        <v>380</v>
      </c>
      <c r="C149" s="675"/>
      <c r="D149" s="676"/>
    </row>
    <row r="150" spans="1:4">
      <c r="A150" s="682">
        <v>17</v>
      </c>
      <c r="B150" s="683" t="s">
        <v>381</v>
      </c>
      <c r="C150" s="675"/>
      <c r="D150" s="676"/>
    </row>
    <row r="151" spans="1:4">
      <c r="A151" s="682">
        <v>18</v>
      </c>
      <c r="B151" s="683" t="s">
        <v>382</v>
      </c>
      <c r="C151" s="675"/>
      <c r="D151" s="676"/>
    </row>
    <row r="152" spans="1:4">
      <c r="A152" s="682">
        <v>19</v>
      </c>
      <c r="B152" s="683" t="s">
        <v>383</v>
      </c>
      <c r="C152" s="675"/>
      <c r="D152" s="676"/>
    </row>
    <row r="153" spans="1:4">
      <c r="A153" s="682">
        <v>20</v>
      </c>
      <c r="B153" s="683" t="s">
        <v>384</v>
      </c>
      <c r="C153" s="675"/>
      <c r="D153" s="676"/>
    </row>
    <row r="154" spans="1:4">
      <c r="A154" s="682">
        <v>21</v>
      </c>
      <c r="B154" s="683" t="s">
        <v>385</v>
      </c>
      <c r="C154" s="675"/>
      <c r="D154" s="676"/>
    </row>
    <row r="155" spans="1:4">
      <c r="A155" s="682">
        <v>22</v>
      </c>
      <c r="B155" s="683" t="s">
        <v>386</v>
      </c>
      <c r="C155" s="675"/>
      <c r="D155" s="676"/>
    </row>
    <row r="156" spans="1:4">
      <c r="A156" s="682">
        <v>23</v>
      </c>
      <c r="B156" s="683" t="s">
        <v>387</v>
      </c>
      <c r="C156" s="675"/>
      <c r="D156" s="676"/>
    </row>
    <row r="157" spans="1:4">
      <c r="A157" s="682">
        <v>24</v>
      </c>
      <c r="B157" s="683" t="s">
        <v>388</v>
      </c>
      <c r="C157" s="675"/>
      <c r="D157" s="676"/>
    </row>
    <row r="158" spans="1:4">
      <c r="A158" s="682">
        <v>25</v>
      </c>
      <c r="B158" s="683" t="s">
        <v>389</v>
      </c>
      <c r="C158" s="675"/>
      <c r="D158" s="676"/>
    </row>
    <row r="159" spans="1:4">
      <c r="A159" s="682">
        <v>26</v>
      </c>
      <c r="B159" s="683" t="s">
        <v>390</v>
      </c>
      <c r="C159" s="675"/>
      <c r="D159" s="676"/>
    </row>
    <row r="160" spans="1:4">
      <c r="A160" s="682">
        <v>27</v>
      </c>
      <c r="B160" s="683" t="s">
        <v>391</v>
      </c>
      <c r="C160" s="675"/>
      <c r="D160" s="676"/>
    </row>
    <row r="161" spans="1:4">
      <c r="A161" s="682">
        <v>28</v>
      </c>
      <c r="B161" s="683" t="s">
        <v>392</v>
      </c>
      <c r="C161" s="675"/>
      <c r="D161" s="676"/>
    </row>
    <row r="162" spans="1:4">
      <c r="A162" s="682">
        <v>29</v>
      </c>
      <c r="B162" s="683" t="s">
        <v>393</v>
      </c>
      <c r="C162" s="675"/>
      <c r="D162" s="676"/>
    </row>
    <row r="163" spans="1:4">
      <c r="A163" s="682">
        <v>30</v>
      </c>
      <c r="B163" s="683" t="s">
        <v>394</v>
      </c>
      <c r="C163" s="675"/>
      <c r="D163" s="676"/>
    </row>
    <row r="164" spans="1:4">
      <c r="A164" s="682">
        <v>31</v>
      </c>
      <c r="B164" s="683" t="s">
        <v>395</v>
      </c>
      <c r="C164" s="675"/>
      <c r="D164" s="676"/>
    </row>
    <row r="165" spans="1:4">
      <c r="A165" s="682">
        <v>32</v>
      </c>
      <c r="B165" s="683" t="s">
        <v>396</v>
      </c>
      <c r="C165" s="675"/>
      <c r="D165" s="676"/>
    </row>
    <row r="166" spans="1:4">
      <c r="A166" s="682">
        <v>33</v>
      </c>
      <c r="B166" s="683" t="s">
        <v>397</v>
      </c>
      <c r="C166" s="675"/>
      <c r="D166" s="676"/>
    </row>
    <row r="167" spans="1:4">
      <c r="A167" s="682">
        <v>34</v>
      </c>
      <c r="B167" s="683" t="s">
        <v>398</v>
      </c>
      <c r="C167" s="675"/>
      <c r="D167" s="676"/>
    </row>
    <row r="168" spans="1:4">
      <c r="A168" s="682">
        <v>35</v>
      </c>
      <c r="B168" s="683" t="s">
        <v>399</v>
      </c>
      <c r="C168" s="675"/>
      <c r="D168" s="676"/>
    </row>
    <row r="169" spans="1:4">
      <c r="A169" s="682">
        <v>36</v>
      </c>
      <c r="B169" s="683" t="s">
        <v>400</v>
      </c>
      <c r="C169" s="675"/>
      <c r="D169" s="676"/>
    </row>
    <row r="170" spans="1:4">
      <c r="A170" s="682">
        <v>37</v>
      </c>
      <c r="B170" s="683" t="s">
        <v>401</v>
      </c>
      <c r="C170" s="675"/>
      <c r="D170" s="676"/>
    </row>
    <row r="171" spans="1:4">
      <c r="A171" s="682">
        <v>38</v>
      </c>
      <c r="B171" s="683" t="s">
        <v>402</v>
      </c>
      <c r="C171" s="675"/>
      <c r="D171" s="676"/>
    </row>
    <row r="172" spans="1:4">
      <c r="A172" s="682">
        <v>39</v>
      </c>
      <c r="B172" s="683" t="s">
        <v>403</v>
      </c>
      <c r="C172" s="675"/>
      <c r="D172" s="676"/>
    </row>
    <row r="173" spans="1:4">
      <c r="A173" s="682">
        <v>40</v>
      </c>
      <c r="B173" s="683" t="s">
        <v>404</v>
      </c>
      <c r="C173" s="675"/>
      <c r="D173" s="676"/>
    </row>
    <row r="174" spans="1:4">
      <c r="A174" s="682">
        <v>41</v>
      </c>
      <c r="B174" s="683" t="s">
        <v>405</v>
      </c>
      <c r="C174" s="675"/>
      <c r="D174" s="676"/>
    </row>
    <row r="175" spans="1:4">
      <c r="A175" s="682">
        <v>42</v>
      </c>
      <c r="B175" s="683" t="s">
        <v>406</v>
      </c>
      <c r="C175" s="675"/>
      <c r="D175" s="676"/>
    </row>
    <row r="176" spans="1:4">
      <c r="A176" s="682">
        <v>43</v>
      </c>
      <c r="B176" s="683" t="s">
        <v>407</v>
      </c>
      <c r="C176" s="675"/>
      <c r="D176" s="676"/>
    </row>
    <row r="177" spans="1:4">
      <c r="A177" s="682">
        <v>44</v>
      </c>
      <c r="B177" s="683" t="s">
        <v>408</v>
      </c>
      <c r="C177" s="675"/>
      <c r="D177" s="676"/>
    </row>
    <row r="178" spans="1:4">
      <c r="A178" s="682">
        <v>45</v>
      </c>
      <c r="B178" s="683" t="s">
        <v>409</v>
      </c>
      <c r="C178" s="675"/>
      <c r="D178" s="676"/>
    </row>
    <row r="179" spans="1:4">
      <c r="A179" s="682">
        <v>46</v>
      </c>
      <c r="B179" s="683" t="s">
        <v>410</v>
      </c>
      <c r="C179" s="675"/>
      <c r="D179" s="676"/>
    </row>
    <row r="180" spans="1:4">
      <c r="A180" s="682">
        <v>47</v>
      </c>
      <c r="B180" s="683" t="s">
        <v>411</v>
      </c>
      <c r="C180" s="675"/>
      <c r="D180" s="676"/>
    </row>
    <row r="181" spans="1:4">
      <c r="A181" s="682">
        <v>48</v>
      </c>
      <c r="B181" s="683" t="s">
        <v>412</v>
      </c>
      <c r="C181" s="675"/>
      <c r="D181" s="676"/>
    </row>
    <row r="182" spans="1:4">
      <c r="A182" s="682">
        <v>49</v>
      </c>
      <c r="B182" s="683" t="s">
        <v>413</v>
      </c>
      <c r="C182" s="675"/>
      <c r="D182" s="676"/>
    </row>
    <row r="183" spans="1:4">
      <c r="A183" s="682">
        <v>50</v>
      </c>
      <c r="B183" s="683" t="s">
        <v>414</v>
      </c>
      <c r="C183" s="675"/>
      <c r="D183" s="676"/>
    </row>
    <row r="184" spans="1:4">
      <c r="A184" s="682">
        <v>51</v>
      </c>
      <c r="B184" s="683" t="s">
        <v>415</v>
      </c>
      <c r="C184" s="675"/>
      <c r="D184" s="676"/>
    </row>
    <row r="185" spans="1:4">
      <c r="A185" s="682">
        <v>52</v>
      </c>
      <c r="B185" s="683" t="s">
        <v>416</v>
      </c>
      <c r="C185" s="675"/>
      <c r="D185" s="676"/>
    </row>
    <row r="186" spans="1:4">
      <c r="A186" s="682">
        <v>53</v>
      </c>
      <c r="B186" s="683" t="s">
        <v>417</v>
      </c>
      <c r="C186" s="675"/>
      <c r="D186" s="676"/>
    </row>
    <row r="187" spans="1:4">
      <c r="A187" s="682">
        <v>54</v>
      </c>
      <c r="B187" s="683" t="s">
        <v>418</v>
      </c>
      <c r="C187" s="675"/>
      <c r="D187" s="676"/>
    </row>
    <row r="188" spans="1:4">
      <c r="A188" s="682">
        <v>55</v>
      </c>
      <c r="B188" s="683" t="s">
        <v>419</v>
      </c>
      <c r="C188" s="675"/>
      <c r="D188" s="676"/>
    </row>
    <row r="189" spans="1:4">
      <c r="A189" s="682">
        <v>56</v>
      </c>
      <c r="B189" s="683" t="s">
        <v>420</v>
      </c>
      <c r="C189" s="675"/>
      <c r="D189" s="676"/>
    </row>
    <row r="190" spans="1:4">
      <c r="A190" s="682">
        <v>57</v>
      </c>
      <c r="B190" s="683" t="s">
        <v>421</v>
      </c>
      <c r="C190" s="675"/>
      <c r="D190" s="676"/>
    </row>
    <row r="191" spans="1:4">
      <c r="A191" s="682">
        <v>58</v>
      </c>
      <c r="B191" s="683" t="s">
        <v>422</v>
      </c>
      <c r="C191" s="675"/>
      <c r="D191" s="676"/>
    </row>
    <row r="192" spans="1:4">
      <c r="A192" s="682">
        <v>59</v>
      </c>
      <c r="B192" s="683" t="s">
        <v>423</v>
      </c>
      <c r="C192" s="675"/>
      <c r="D192" s="676"/>
    </row>
    <row r="193" spans="1:4">
      <c r="A193" s="682">
        <v>60</v>
      </c>
      <c r="B193" s="683" t="s">
        <v>424</v>
      </c>
      <c r="C193" s="675"/>
      <c r="D193" s="676"/>
    </row>
    <row r="194" spans="1:4">
      <c r="A194" s="682">
        <v>61</v>
      </c>
      <c r="B194" s="683" t="s">
        <v>425</v>
      </c>
      <c r="C194" s="675"/>
      <c r="D194" s="676"/>
    </row>
    <row r="195" spans="1:4">
      <c r="A195" s="682">
        <v>62</v>
      </c>
      <c r="B195" s="683" t="s">
        <v>426</v>
      </c>
      <c r="C195" s="675"/>
      <c r="D195" s="676"/>
    </row>
    <row r="196" spans="1:4">
      <c r="A196" s="682">
        <v>63</v>
      </c>
      <c r="B196" s="684" t="s">
        <v>427</v>
      </c>
      <c r="C196" s="675"/>
      <c r="D196" s="676"/>
    </row>
    <row r="197" spans="1:4">
      <c r="A197" s="682">
        <v>64</v>
      </c>
      <c r="B197" s="684" t="s">
        <v>428</v>
      </c>
      <c r="C197" s="675"/>
      <c r="D197" s="676"/>
    </row>
    <row r="198" spans="1:4">
      <c r="A198" s="682">
        <v>65</v>
      </c>
      <c r="B198" s="684" t="s">
        <v>429</v>
      </c>
      <c r="C198" s="675"/>
      <c r="D198" s="676"/>
    </row>
    <row r="199" spans="1:4">
      <c r="A199" s="682">
        <v>66</v>
      </c>
      <c r="B199" s="684" t="s">
        <v>430</v>
      </c>
      <c r="C199" s="675"/>
      <c r="D199" s="676"/>
    </row>
    <row r="200" spans="1:4">
      <c r="A200" s="682">
        <v>67</v>
      </c>
      <c r="B200" s="684" t="s">
        <v>431</v>
      </c>
      <c r="C200" s="675"/>
      <c r="D200" s="676"/>
    </row>
    <row r="201" spans="1:4">
      <c r="A201" s="682">
        <v>68</v>
      </c>
      <c r="B201" s="684" t="s">
        <v>432</v>
      </c>
      <c r="C201" s="675"/>
      <c r="D201" s="676"/>
    </row>
    <row r="202" spans="1:4">
      <c r="A202" s="682">
        <v>69</v>
      </c>
      <c r="B202" s="684" t="s">
        <v>433</v>
      </c>
      <c r="C202" s="675"/>
      <c r="D202" s="676"/>
    </row>
    <row r="203" spans="1:4">
      <c r="A203" s="682">
        <v>70</v>
      </c>
      <c r="B203" s="684" t="s">
        <v>434</v>
      </c>
      <c r="C203" s="675"/>
      <c r="D203" s="676"/>
    </row>
    <row r="204" spans="1:4">
      <c r="A204" s="682">
        <v>71</v>
      </c>
      <c r="B204" s="684" t="s">
        <v>435</v>
      </c>
      <c r="C204" s="675"/>
      <c r="D204" s="676"/>
    </row>
    <row r="205" spans="1:4">
      <c r="A205" s="682">
        <v>72</v>
      </c>
      <c r="B205" s="684" t="s">
        <v>436</v>
      </c>
      <c r="C205" s="675"/>
      <c r="D205" s="676"/>
    </row>
    <row r="206" spans="1:4">
      <c r="A206" s="682">
        <v>73</v>
      </c>
      <c r="B206" s="684" t="s">
        <v>437</v>
      </c>
      <c r="C206" s="675"/>
      <c r="D206" s="676"/>
    </row>
    <row r="207" spans="1:4">
      <c r="A207" s="682">
        <v>74</v>
      </c>
      <c r="B207" s="684" t="s">
        <v>438</v>
      </c>
      <c r="C207" s="675"/>
      <c r="D207" s="676"/>
    </row>
    <row r="208" spans="1:4">
      <c r="A208" s="682">
        <v>75</v>
      </c>
      <c r="B208" s="684" t="s">
        <v>439</v>
      </c>
      <c r="C208" s="675"/>
      <c r="D208" s="676"/>
    </row>
    <row r="209" spans="1:4">
      <c r="A209" s="682">
        <v>76</v>
      </c>
      <c r="B209" s="684" t="s">
        <v>440</v>
      </c>
      <c r="C209" s="675"/>
      <c r="D209" s="676"/>
    </row>
    <row r="210" spans="1:4">
      <c r="A210" s="682">
        <v>77</v>
      </c>
      <c r="B210" s="684" t="s">
        <v>441</v>
      </c>
      <c r="C210" s="675"/>
      <c r="D210" s="676"/>
    </row>
    <row r="211" spans="1:4">
      <c r="A211" s="682">
        <v>78</v>
      </c>
      <c r="B211" s="684" t="s">
        <v>442</v>
      </c>
      <c r="C211" s="675"/>
      <c r="D211" s="676"/>
    </row>
    <row r="212" spans="1:4">
      <c r="A212" s="682">
        <v>79</v>
      </c>
      <c r="B212" s="684" t="s">
        <v>443</v>
      </c>
      <c r="C212" s="675"/>
      <c r="D212" s="676"/>
    </row>
    <row r="213" spans="1:4">
      <c r="A213" s="682">
        <v>80</v>
      </c>
      <c r="B213" s="684" t="s">
        <v>444</v>
      </c>
      <c r="C213" s="675"/>
      <c r="D213" s="676"/>
    </row>
    <row r="214" spans="1:4">
      <c r="A214" s="682">
        <v>81</v>
      </c>
      <c r="B214" s="684" t="s">
        <v>445</v>
      </c>
      <c r="C214" s="675"/>
      <c r="D214" s="676"/>
    </row>
    <row r="215" spans="1:4">
      <c r="A215" s="682">
        <v>82</v>
      </c>
      <c r="B215" s="684" t="s">
        <v>446</v>
      </c>
      <c r="C215" s="675"/>
      <c r="D215" s="676"/>
    </row>
    <row r="216" spans="1:4">
      <c r="A216" s="682">
        <v>83</v>
      </c>
      <c r="B216" s="684" t="s">
        <v>447</v>
      </c>
      <c r="C216" s="675"/>
      <c r="D216" s="676"/>
    </row>
    <row r="217" spans="1:4">
      <c r="A217" s="682">
        <v>84</v>
      </c>
      <c r="B217" s="684" t="s">
        <v>448</v>
      </c>
      <c r="C217" s="675"/>
      <c r="D217" s="676"/>
    </row>
    <row r="218" spans="1:4">
      <c r="A218" s="682">
        <v>85</v>
      </c>
      <c r="B218" s="684" t="s">
        <v>449</v>
      </c>
      <c r="C218" s="675"/>
      <c r="D218" s="676"/>
    </row>
    <row r="219" spans="1:4">
      <c r="A219" s="682">
        <v>86</v>
      </c>
      <c r="B219" s="684" t="s">
        <v>450</v>
      </c>
      <c r="C219" s="675"/>
      <c r="D219" s="676"/>
    </row>
    <row r="220" spans="1:4">
      <c r="A220" s="682">
        <v>87</v>
      </c>
      <c r="B220" s="684" t="s">
        <v>451</v>
      </c>
      <c r="C220" s="675"/>
      <c r="D220" s="676"/>
    </row>
    <row r="221" spans="1:4">
      <c r="A221" s="682">
        <v>88</v>
      </c>
      <c r="B221" s="684" t="s">
        <v>452</v>
      </c>
      <c r="C221" s="675"/>
      <c r="D221" s="676"/>
    </row>
    <row r="222" spans="1:4">
      <c r="A222" s="682">
        <v>89</v>
      </c>
      <c r="B222" s="684" t="s">
        <v>453</v>
      </c>
      <c r="C222" s="675"/>
      <c r="D222" s="676"/>
    </row>
    <row r="223" spans="1:4">
      <c r="A223" s="682">
        <v>90</v>
      </c>
      <c r="B223" s="684" t="s">
        <v>454</v>
      </c>
      <c r="C223" s="675"/>
      <c r="D223" s="676"/>
    </row>
    <row r="224" spans="1:4">
      <c r="A224" s="682">
        <v>91</v>
      </c>
      <c r="B224" s="684" t="s">
        <v>455</v>
      </c>
      <c r="C224" s="675"/>
      <c r="D224" s="676"/>
    </row>
    <row r="225" spans="1:4">
      <c r="A225" s="682">
        <v>92</v>
      </c>
      <c r="B225" s="684" t="s">
        <v>456</v>
      </c>
      <c r="C225" s="675"/>
      <c r="D225" s="676"/>
    </row>
    <row r="226" spans="1:4">
      <c r="A226" s="682">
        <v>93</v>
      </c>
      <c r="B226" s="684" t="s">
        <v>457</v>
      </c>
      <c r="C226" s="675"/>
      <c r="D226" s="676"/>
    </row>
    <row r="227" spans="1:4">
      <c r="A227" s="682">
        <v>94</v>
      </c>
      <c r="B227" s="684" t="s">
        <v>458</v>
      </c>
      <c r="C227" s="675"/>
      <c r="D227" s="676"/>
    </row>
    <row r="228" spans="1:4">
      <c r="A228" s="682">
        <v>95</v>
      </c>
      <c r="B228" s="684" t="s">
        <v>459</v>
      </c>
      <c r="C228" s="675"/>
      <c r="D228" s="676"/>
    </row>
    <row r="229" spans="1:4">
      <c r="A229" s="682">
        <v>96</v>
      </c>
      <c r="B229" s="684" t="s">
        <v>460</v>
      </c>
      <c r="C229" s="675"/>
      <c r="D229" s="676"/>
    </row>
    <row r="230" spans="1:4">
      <c r="A230" s="682">
        <v>97</v>
      </c>
      <c r="B230" s="684" t="s">
        <v>461</v>
      </c>
      <c r="C230" s="675"/>
      <c r="D230" s="676"/>
    </row>
    <row r="231" spans="1:4">
      <c r="A231" s="682">
        <v>98</v>
      </c>
      <c r="B231" s="684" t="s">
        <v>462</v>
      </c>
      <c r="C231" s="675"/>
      <c r="D231" s="676"/>
    </row>
    <row r="232" spans="1:4">
      <c r="A232" s="682">
        <v>99</v>
      </c>
      <c r="B232" s="684" t="s">
        <v>463</v>
      </c>
      <c r="C232" s="675"/>
      <c r="D232" s="676"/>
    </row>
    <row r="233" spans="1:4" ht="13.5" thickBot="1">
      <c r="A233" s="685">
        <v>100</v>
      </c>
      <c r="B233" s="686" t="s">
        <v>464</v>
      </c>
      <c r="C233" s="687"/>
      <c r="D233" s="688"/>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CA9345C4-09FE-4F27-BFD9-3D9BCD2DED09}" hiddenColumns="1" state="hidden" topLeftCell="P1">
      <selection activeCell="DT28" sqref="DT28"/>
      <pageMargins left="0.75" right="0.75" top="1" bottom="1" header="0.5" footer="0.5"/>
      <pageSetup orientation="portrait" r:id="rId2"/>
      <headerFooter alignWithMargins="0"/>
    </customSheetView>
    <customSheetView guid="{7AB1F867-F01E-4EB9-A93D-DDCFDB9AA444}"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497EA202-A8B8-45C5-9E6C-C3CD104F3979}"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D5521983-A70D-48A3-9506-C0263CBBC57D}" hiddenColumns="1" state="hidden" topLeftCell="P1">
      <selection activeCell="DT28" sqref="DT28"/>
      <pageMargins left="0.75" right="0.75" top="1" bottom="1" header="0.5" footer="0.5"/>
      <pageSetup orientation="portrait" r:id="rId7"/>
      <headerFooter alignWithMargins="0"/>
    </customSheetView>
    <customSheetView guid="{12A89170-4F84-482D-A3C5-7890082E7B73}" hiddenColumns="1" state="hidden" topLeftCell="P1">
      <selection activeCell="DT28" sqref="DT28"/>
      <pageMargins left="0.75" right="0.75" top="1" bottom="1" header="0.5" footer="0.5"/>
      <pageSetup orientation="portrait" r:id="rId8"/>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2020-03-02T10:19:24Z</cp:lastPrinted>
  <dcterms:created xsi:type="dcterms:W3CDTF">2014-08-12T11:34:40Z</dcterms:created>
  <dcterms:modified xsi:type="dcterms:W3CDTF">2022-03-11T12:45:17Z</dcterms:modified>
</cp:coreProperties>
</file>