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updateLinks="never" codeName="ThisWorkbook" defaultThemeVersion="124226"/>
  <mc:AlternateContent xmlns:mc="http://schemas.openxmlformats.org/markup-compatibility/2006">
    <mc:Choice Requires="x15">
      <x15ac:absPath xmlns:x15ac="http://schemas.microsoft.com/office/spreadsheetml/2010/11/ac" url="https://powergrid1989-my.sharepoint.com/personal/60003099_powergrid_in/Documents/SJ (G11)/CURRENT PROJECTS/3. SS-124/BD/FOR UPLOADING/"/>
    </mc:Choice>
  </mc:AlternateContent>
  <xr:revisionPtr revIDLastSave="238" documentId="10_ncr:80_{E521EC56-D4F0-4BFC-94DC-76DC1D841A84}" xr6:coauthVersionLast="47" xr6:coauthVersionMax="47" xr10:uidLastSave="{E4C7D29B-A3F3-4CCA-89A5-1C5445011868}"/>
  <workbookProtection workbookAlgorithmName="SHA-512" workbookHashValue="uVB5tEA1zuyOfcyg7B1WI6K/YV9zNEpTKzkaVOMwKLLODMMc+VJ0YWo469JUuvOXTOdVofYwCwFO5gXSvQAH3A==" workbookSaltValue="8eG4YQPgnrbnewjB/rFGBQ==" workbookSpinCount="100000" lockStructure="1"/>
  <bookViews>
    <workbookView xWindow="-120" yWindow="-120" windowWidth="29040" windowHeight="15720" tabRatio="607" firstSheet="1" activeTab="1"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'Sch-1'!$A$18:$IV$319</definedName>
    <definedName name="_xlnm._FilterDatabase" localSheetId="5" hidden="1">'Sch-2'!$A$16:$AF$319</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Envelope'!$A$1:$F$60</definedName>
    <definedName name="_xlnm.Print_Area" localSheetId="1">Cover!$A$1:$F$15</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Bidder'!$A$1:$F$23</definedName>
    <definedName name="_xlnm.Print_Area" localSheetId="15">Octroi!$A$1:$E$16</definedName>
    <definedName name="_xlnm.Print_Area" localSheetId="17">'Other Taxes &amp; Duties'!$A$1:$F$16</definedName>
    <definedName name="_xlnm.Print_Area" localSheetId="4">'Sch-1'!$A$1:$N$328</definedName>
    <definedName name="_xlnm.Print_Area" localSheetId="5">'Sch-2'!$A$1:$J$325</definedName>
    <definedName name="_xlnm.Print_Area" localSheetId="6">'Sch-3'!$A$1:$P$311</definedName>
    <definedName name="_xlnm.Print_Area" localSheetId="7">'Sch-4'!$A$1:$P$24</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Envelope'!$A$1:$F$60</definedName>
    <definedName name="Z_01ACF2E1_8E61_4459_ABC1_B6C183DEED61_.wvu.PrintArea" localSheetId="16" hidden="1">'Entry Tax'!$A$1:$E$16</definedName>
    <definedName name="Z_01ACF2E1_8E61_4459_ABC1_B6C183DEED61_.wvu.PrintArea" localSheetId="3" hidden="1">'Names of Bidder'!$A$1:$D$21</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211E1B9_FC37_4364_9CF0_0FFC01866726_.wvu.Cols" localSheetId="0" hidden="1">Basic!$I:$I</definedName>
    <definedName name="Z_1211E1B9_FC37_4364_9CF0_0FFC01866726_.wvu.Cols" localSheetId="18" hidden="1">'Bid Form 2nd Envelope'!$H:$AO</definedName>
    <definedName name="Z_1211E1B9_FC37_4364_9CF0_0FFC01866726_.wvu.Cols" localSheetId="14" hidden="1">Discount!$H:$L</definedName>
    <definedName name="Z_1211E1B9_FC37_4364_9CF0_0FFC01866726_.wvu.Cols" localSheetId="3" hidden="1">'Names of Bidder'!$G:$G,'Names of Bidder'!$I:$N</definedName>
    <definedName name="Z_1211E1B9_FC37_4364_9CF0_0FFC01866726_.wvu.Cols" localSheetId="21" hidden="1">'N-W (Cr.)'!$A:$O,'N-W (Cr.)'!$T:$DL</definedName>
    <definedName name="Z_1211E1B9_FC37_4364_9CF0_0FFC01866726_.wvu.Cols" localSheetId="4" hidden="1">'Sch-1'!$O:$T,'Sch-1'!$V:$AM</definedName>
    <definedName name="Z_1211E1B9_FC37_4364_9CF0_0FFC01866726_.wvu.Cols" localSheetId="6" hidden="1">'Sch-3'!$Q:$AB</definedName>
    <definedName name="Z_1211E1B9_FC37_4364_9CF0_0FFC01866726_.wvu.Cols" localSheetId="8" hidden="1">'Sch-5'!$F:$T</definedName>
    <definedName name="Z_1211E1B9_FC37_4364_9CF0_0FFC01866726_.wvu.Cols" localSheetId="12" hidden="1">'Sch-6 (After Discount)'!$E:$F</definedName>
    <definedName name="Z_1211E1B9_FC37_4364_9CF0_0FFC01866726_.wvu.Cols" localSheetId="13" hidden="1">'Sch-7'!$AA:$AG</definedName>
    <definedName name="Z_1211E1B9_FC37_4364_9CF0_0FFC01866726_.wvu.FilterData" localSheetId="4" hidden="1">'Sch-1'!$A$18:$IV$319</definedName>
    <definedName name="Z_1211E1B9_FC37_4364_9CF0_0FFC01866726_.wvu.FilterData" localSheetId="5" hidden="1">'Sch-2'!$A$16:$AF$319</definedName>
    <definedName name="Z_1211E1B9_FC37_4364_9CF0_0FFC01866726_.wvu.PrintArea" localSheetId="18" hidden="1">'Bid Form 2nd Envelope'!$A$1:$F$60</definedName>
    <definedName name="Z_1211E1B9_FC37_4364_9CF0_0FFC01866726_.wvu.PrintArea" localSheetId="1" hidden="1">Cover!$A$1:$F$15</definedName>
    <definedName name="Z_1211E1B9_FC37_4364_9CF0_0FFC01866726_.wvu.PrintArea" localSheetId="14" hidden="1">Discount!$A$2:$G$40</definedName>
    <definedName name="Z_1211E1B9_FC37_4364_9CF0_0FFC01866726_.wvu.PrintArea" localSheetId="16" hidden="1">'Entry Tax'!$A$1:$E$16</definedName>
    <definedName name="Z_1211E1B9_FC37_4364_9CF0_0FFC01866726_.wvu.PrintArea" localSheetId="2" hidden="1">Instructions!$A$1:$C$65</definedName>
    <definedName name="Z_1211E1B9_FC37_4364_9CF0_0FFC01866726_.wvu.PrintArea" localSheetId="3" hidden="1">'Names of Bidder'!$A$1:$F$23</definedName>
    <definedName name="Z_1211E1B9_FC37_4364_9CF0_0FFC01866726_.wvu.PrintArea" localSheetId="15" hidden="1">Octroi!$A$1:$E$16</definedName>
    <definedName name="Z_1211E1B9_FC37_4364_9CF0_0FFC01866726_.wvu.PrintArea" localSheetId="17" hidden="1">'Other Taxes &amp; Duties'!$A$1:$F$16</definedName>
    <definedName name="Z_1211E1B9_FC37_4364_9CF0_0FFC01866726_.wvu.PrintArea" localSheetId="4" hidden="1">'Sch-1'!$A$1:$N$328</definedName>
    <definedName name="Z_1211E1B9_FC37_4364_9CF0_0FFC01866726_.wvu.PrintArea" localSheetId="5" hidden="1">'Sch-2'!$A$1:$J$325</definedName>
    <definedName name="Z_1211E1B9_FC37_4364_9CF0_0FFC01866726_.wvu.PrintArea" localSheetId="6" hidden="1">'Sch-3'!$A$1:$P$311</definedName>
    <definedName name="Z_1211E1B9_FC37_4364_9CF0_0FFC01866726_.wvu.PrintArea" localSheetId="7" hidden="1">'Sch-4'!$A$1:$P$24</definedName>
    <definedName name="Z_1211E1B9_FC37_4364_9CF0_0FFC01866726_.wvu.PrintArea" localSheetId="8" hidden="1">'Sch-5'!$A$1:$E$23</definedName>
    <definedName name="Z_1211E1B9_FC37_4364_9CF0_0FFC01866726_.wvu.PrintArea" localSheetId="9" hidden="1">'Sch-5 after discount'!$A$1:$E$23</definedName>
    <definedName name="Z_1211E1B9_FC37_4364_9CF0_0FFC01866726_.wvu.PrintArea" localSheetId="10" hidden="1">'Sch-6'!$A$1:$D$32</definedName>
    <definedName name="Z_1211E1B9_FC37_4364_9CF0_0FFC01866726_.wvu.PrintArea" localSheetId="12" hidden="1">'Sch-6 (After Discount)'!$A$1:$D$32</definedName>
    <definedName name="Z_1211E1B9_FC37_4364_9CF0_0FFC01866726_.wvu.PrintArea" localSheetId="11" hidden="1">'Sch-6 After Discount'!$A$1:$D$31</definedName>
    <definedName name="Z_1211E1B9_FC37_4364_9CF0_0FFC01866726_.wvu.PrintArea" localSheetId="13" hidden="1">'Sch-7'!$A$1:$M$22</definedName>
    <definedName name="Z_1211E1B9_FC37_4364_9CF0_0FFC01866726_.wvu.PrintTitles" localSheetId="4" hidden="1">'Sch-1'!$15:$16</definedName>
    <definedName name="Z_1211E1B9_FC37_4364_9CF0_0FFC01866726_.wvu.PrintTitles" localSheetId="5" hidden="1">'Sch-2'!$15:$16</definedName>
    <definedName name="Z_1211E1B9_FC37_4364_9CF0_0FFC01866726_.wvu.PrintTitles" localSheetId="6" hidden="1">'Sch-3'!$15:$16</definedName>
    <definedName name="Z_1211E1B9_FC37_4364_9CF0_0FFC01866726_.wvu.PrintTitles" localSheetId="8" hidden="1">'Sch-5'!$3:$14</definedName>
    <definedName name="Z_1211E1B9_FC37_4364_9CF0_0FFC01866726_.wvu.PrintTitles" localSheetId="9" hidden="1">'Sch-5 after discount'!$3:$14</definedName>
    <definedName name="Z_1211E1B9_FC37_4364_9CF0_0FFC01866726_.wvu.PrintTitles" localSheetId="10" hidden="1">'Sch-6'!$3:$14</definedName>
    <definedName name="Z_1211E1B9_FC37_4364_9CF0_0FFC01866726_.wvu.PrintTitles" localSheetId="12" hidden="1">'Sch-6 (After Discount)'!$3:$14</definedName>
    <definedName name="Z_1211E1B9_FC37_4364_9CF0_0FFC01866726_.wvu.PrintTitles" localSheetId="11" hidden="1">'Sch-6 After Discount'!$3:$13</definedName>
    <definedName name="Z_1211E1B9_FC37_4364_9CF0_0FFC01866726_.wvu.Rows" localSheetId="1" hidden="1">Cover!$7:$7</definedName>
    <definedName name="Z_1211E1B9_FC37_4364_9CF0_0FFC01866726_.wvu.Rows" localSheetId="14" hidden="1">Discount!$21:$22,Discount!$27:$32</definedName>
    <definedName name="Z_1211E1B9_FC37_4364_9CF0_0FFC01866726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Envelope'!$A$1:$F$60</definedName>
    <definedName name="Z_14D7F02E_BCCA_4517_ABC7_537FF4AEB67A_.wvu.PrintArea" localSheetId="2" hidden="1">Instructions!$A$1:$C$65</definedName>
    <definedName name="Z_14D7F02E_BCCA_4517_ABC7_537FF4AEB67A_.wvu.PrintArea" localSheetId="3" hidden="1">'Names of Bidder'!$A$1:$D$21</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18EA11B4_BD82_47BF_99FA_7AB19BF74D0B_.wvu.Cols" localSheetId="0" hidden="1">Basic!$I:$I</definedName>
    <definedName name="Z_18EA11B4_BD82_47BF_99FA_7AB19BF74D0B_.wvu.Cols" localSheetId="18" hidden="1">'Bid Form 2nd Envelope'!$H:$AO</definedName>
    <definedName name="Z_18EA11B4_BD82_47BF_99FA_7AB19BF74D0B_.wvu.Cols" localSheetId="14" hidden="1">Discount!$H:$L</definedName>
    <definedName name="Z_18EA11B4_BD82_47BF_99FA_7AB19BF74D0B_.wvu.Cols" localSheetId="3" hidden="1">'Names of Bidder'!$G:$G,'Names of Bidder'!$J:$J</definedName>
    <definedName name="Z_18EA11B4_BD82_47BF_99FA_7AB19BF74D0B_.wvu.Cols" localSheetId="21" hidden="1">'N-W (Cr.)'!$A:$O,'N-W (Cr.)'!$T:$DL</definedName>
    <definedName name="Z_18EA11B4_BD82_47BF_99FA_7AB19BF74D0B_.wvu.Cols" localSheetId="4" hidden="1">'Sch-1'!$O:$T,'Sch-1'!$X:$AK</definedName>
    <definedName name="Z_18EA11B4_BD82_47BF_99FA_7AB19BF74D0B_.wvu.Cols" localSheetId="6" hidden="1">'Sch-3'!$Q:$V</definedName>
    <definedName name="Z_18EA11B4_BD82_47BF_99FA_7AB19BF74D0B_.wvu.Cols" localSheetId="8" hidden="1">'Sch-5'!$F:$T</definedName>
    <definedName name="Z_18EA11B4_BD82_47BF_99FA_7AB19BF74D0B_.wvu.Cols" localSheetId="12" hidden="1">'Sch-6 (After Discount)'!$E:$F</definedName>
    <definedName name="Z_18EA11B4_BD82_47BF_99FA_7AB19BF74D0B_.wvu.Cols" localSheetId="13" hidden="1">'Sch-7'!$AA:$AG</definedName>
    <definedName name="Z_18EA11B4_BD82_47BF_99FA_7AB19BF74D0B_.wvu.FilterData" localSheetId="4" hidden="1">'Sch-1'!$16:$324</definedName>
    <definedName name="Z_18EA11B4_BD82_47BF_99FA_7AB19BF74D0B_.wvu.FilterData" localSheetId="5" hidden="1">'Sch-2'!$A$16:$AF$322</definedName>
    <definedName name="Z_18EA11B4_BD82_47BF_99FA_7AB19BF74D0B_.wvu.PrintArea" localSheetId="18" hidden="1">'Bid Form 2nd Envelope'!$A$1:$F$60</definedName>
    <definedName name="Z_18EA11B4_BD82_47BF_99FA_7AB19BF74D0B_.wvu.PrintArea" localSheetId="14" hidden="1">Discount!$A$2:$G$40</definedName>
    <definedName name="Z_18EA11B4_BD82_47BF_99FA_7AB19BF74D0B_.wvu.PrintArea" localSheetId="16" hidden="1">'Entry Tax'!$A$1:$E$16</definedName>
    <definedName name="Z_18EA11B4_BD82_47BF_99FA_7AB19BF74D0B_.wvu.PrintArea" localSheetId="2" hidden="1">Instructions!$A$1:$C$65</definedName>
    <definedName name="Z_18EA11B4_BD82_47BF_99FA_7AB19BF74D0B_.wvu.PrintArea" localSheetId="3" hidden="1">'Names of Bidder'!$A$1:$F$23</definedName>
    <definedName name="Z_18EA11B4_BD82_47BF_99FA_7AB19BF74D0B_.wvu.PrintArea" localSheetId="15" hidden="1">Octroi!$A$1:$E$16</definedName>
    <definedName name="Z_18EA11B4_BD82_47BF_99FA_7AB19BF74D0B_.wvu.PrintArea" localSheetId="17" hidden="1">'Other Taxes &amp; Duties'!$A$1:$F$16</definedName>
    <definedName name="Z_18EA11B4_BD82_47BF_99FA_7AB19BF74D0B_.wvu.PrintArea" localSheetId="4" hidden="1">'Sch-1'!$A$1:$N$328</definedName>
    <definedName name="Z_18EA11B4_BD82_47BF_99FA_7AB19BF74D0B_.wvu.PrintArea" localSheetId="5" hidden="1">'Sch-2'!$A$1:$J$325</definedName>
    <definedName name="Z_18EA11B4_BD82_47BF_99FA_7AB19BF74D0B_.wvu.PrintArea" localSheetId="6" hidden="1">'Sch-3'!$A$1:$P$311</definedName>
    <definedName name="Z_18EA11B4_BD82_47BF_99FA_7AB19BF74D0B_.wvu.PrintArea" localSheetId="7" hidden="1">'Sch-4'!$A$1:$P$24</definedName>
    <definedName name="Z_18EA11B4_BD82_47BF_99FA_7AB19BF74D0B_.wvu.PrintArea" localSheetId="8" hidden="1">'Sch-5'!$A$1:$E$23</definedName>
    <definedName name="Z_18EA11B4_BD82_47BF_99FA_7AB19BF74D0B_.wvu.PrintArea" localSheetId="9" hidden="1">'Sch-5 after discount'!$A$1:$E$23</definedName>
    <definedName name="Z_18EA11B4_BD82_47BF_99FA_7AB19BF74D0B_.wvu.PrintArea" localSheetId="10" hidden="1">'Sch-6'!$A$1:$D$32</definedName>
    <definedName name="Z_18EA11B4_BD82_47BF_99FA_7AB19BF74D0B_.wvu.PrintArea" localSheetId="12" hidden="1">'Sch-6 (After Discount)'!$A$1:$D$32</definedName>
    <definedName name="Z_18EA11B4_BD82_47BF_99FA_7AB19BF74D0B_.wvu.PrintArea" localSheetId="11" hidden="1">'Sch-6 After Discount'!$A$1:$D$31</definedName>
    <definedName name="Z_18EA11B4_BD82_47BF_99FA_7AB19BF74D0B_.wvu.PrintArea" localSheetId="13" hidden="1">'Sch-7'!$A$1:$M$22</definedName>
    <definedName name="Z_18EA11B4_BD82_47BF_99FA_7AB19BF74D0B_.wvu.PrintTitles" localSheetId="4" hidden="1">'Sch-1'!$15:$16</definedName>
    <definedName name="Z_18EA11B4_BD82_47BF_99FA_7AB19BF74D0B_.wvu.PrintTitles" localSheetId="5" hidden="1">'Sch-2'!$15:$16</definedName>
    <definedName name="Z_18EA11B4_BD82_47BF_99FA_7AB19BF74D0B_.wvu.PrintTitles" localSheetId="6" hidden="1">'Sch-3'!$15:$16</definedName>
    <definedName name="Z_18EA11B4_BD82_47BF_99FA_7AB19BF74D0B_.wvu.PrintTitles" localSheetId="8" hidden="1">'Sch-5'!$3:$14</definedName>
    <definedName name="Z_18EA11B4_BD82_47BF_99FA_7AB19BF74D0B_.wvu.PrintTitles" localSheetId="9" hidden="1">'Sch-5 after discount'!$3:$14</definedName>
    <definedName name="Z_18EA11B4_BD82_47BF_99FA_7AB19BF74D0B_.wvu.PrintTitles" localSheetId="10" hidden="1">'Sch-6'!$3:$14</definedName>
    <definedName name="Z_18EA11B4_BD82_47BF_99FA_7AB19BF74D0B_.wvu.PrintTitles" localSheetId="12" hidden="1">'Sch-6 (After Discount)'!$3:$14</definedName>
    <definedName name="Z_18EA11B4_BD82_47BF_99FA_7AB19BF74D0B_.wvu.PrintTitles" localSheetId="11" hidden="1">'Sch-6 After Discount'!$3:$13</definedName>
    <definedName name="Z_18EA11B4_BD82_47BF_99FA_7AB19BF74D0B_.wvu.Rows" localSheetId="1" hidden="1">Cover!$7:$7</definedName>
    <definedName name="Z_18EA11B4_BD82_47BF_99FA_7AB19BF74D0B_.wvu.Rows" localSheetId="14" hidden="1">Discount!$29:$32</definedName>
    <definedName name="Z_18EA11B4_BD82_47BF_99FA_7AB19BF74D0B_.wvu.Rows" localSheetId="3" hidden="1">'Names of Bidder'!$14:$17</definedName>
    <definedName name="Z_18EA11B4_BD82_47BF_99FA_7AB19BF74D0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Envelope'!$A$1:$F$60</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Bidder'!$A$1:$F$23</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Bidder'!$14:$17</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Envelope'!$A$1:$F$60</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Bidder'!$A$1:$D$21</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'Sch-1'!$C$1:$C$324</definedName>
    <definedName name="Z_357C9841_BEC3_434B_AC63_C04FB4321BA3_.wvu.FilterData" localSheetId="5" hidden="1">'Sch-2'!$C$1:$C$327</definedName>
    <definedName name="Z_357C9841_BEC3_434B_AC63_C04FB4321BA3_.wvu.FilterData" localSheetId="6" hidden="1">'Sch-3'!$C$1:$C$313</definedName>
    <definedName name="Z_357C9841_BEC3_434B_AC63_C04FB4321BA3_.wvu.PrintArea" localSheetId="18" hidden="1">'Bid Form 2nd Envelope'!$A$1:$F$60</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Bidder'!$A$1:$F$23</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'Sch-1'!$A$1:$N$328</definedName>
    <definedName name="Z_357C9841_BEC3_434B_AC63_C04FB4321BA3_.wvu.PrintArea" localSheetId="5" hidden="1">'Sch-2'!$A$1:$J$327</definedName>
    <definedName name="Z_357C9841_BEC3_434B_AC63_C04FB4321BA3_.wvu.PrintArea" localSheetId="6" hidden="1">'Sch-3'!$A$1:$P$313</definedName>
    <definedName name="Z_357C9841_BEC3_434B_AC63_C04FB4321BA3_.wvu.PrintArea" localSheetId="7" hidden="1">'Sch-4'!$A$1:$P$24</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Bidder'!$14:$17</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'Sch-1'!$C$1:$C$324</definedName>
    <definedName name="Z_3C00DDA0_7DDE_4169_A739_550DAF5DCF8D_.wvu.FilterData" localSheetId="5" hidden="1">'Sch-2'!$C$1:$C$327</definedName>
    <definedName name="Z_3C00DDA0_7DDE_4169_A739_550DAF5DCF8D_.wvu.FilterData" localSheetId="6" hidden="1">'Sch-3'!$C$1:$C$313</definedName>
    <definedName name="Z_3C00DDA0_7DDE_4169_A739_550DAF5DCF8D_.wvu.PrintArea" localSheetId="18" hidden="1">'Bid Form 2nd Envelope'!$A$1:$F$60</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Bidder'!$A$1:$F$23</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'Sch-1'!$A$1:$N$328</definedName>
    <definedName name="Z_3C00DDA0_7DDE_4169_A739_550DAF5DCF8D_.wvu.PrintArea" localSheetId="5" hidden="1">'Sch-2'!$A$1:$J$327</definedName>
    <definedName name="Z_3C00DDA0_7DDE_4169_A739_550DAF5DCF8D_.wvu.PrintArea" localSheetId="6" hidden="1">'Sch-3'!$A$1:$P$313</definedName>
    <definedName name="Z_3C00DDA0_7DDE_4169_A739_550DAF5DCF8D_.wvu.PrintArea" localSheetId="7" hidden="1">'Sch-4'!$A$1:$P$24</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Bidder'!$14:$17</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Envelope'!$A$1:$F$60</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Bidder'!$A$1:$F$23</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Envelope'!$A$1:$F$60</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Bidder'!$A$1:$D$21</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Envelope'!$T:$Y</definedName>
    <definedName name="Z_63D51328_7CBC_4A1E_B96D_BAE91416501B_.wvu.Cols" localSheetId="14" hidden="1">Discount!$H:$L</definedName>
    <definedName name="Z_63D51328_7CBC_4A1E_B96D_BAE91416501B_.wvu.Cols" localSheetId="4" hidden="1">'Sch-1'!$O:$X</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9" hidden="1">'Sch-5 after discount'!$F:$R</definedName>
    <definedName name="Z_63D51328_7CBC_4A1E_B96D_BAE91416501B_.wvu.Cols" localSheetId="13" hidden="1">'Sch-7'!$AA:$AG</definedName>
    <definedName name="Z_63D51328_7CBC_4A1E_B96D_BAE91416501B_.wvu.FilterData" localSheetId="4" hidden="1">'Sch-1'!$C$1:$C$324</definedName>
    <definedName name="Z_63D51328_7CBC_4A1E_B96D_BAE91416501B_.wvu.FilterData" localSheetId="5" hidden="1">'Sch-2'!$C$1:$C$327</definedName>
    <definedName name="Z_63D51328_7CBC_4A1E_B96D_BAE91416501B_.wvu.FilterData" localSheetId="6" hidden="1">'Sch-3'!$C$1:$C$313</definedName>
    <definedName name="Z_63D51328_7CBC_4A1E_B96D_BAE91416501B_.wvu.PrintArea" localSheetId="18" hidden="1">'Bid Form 2nd Envelope'!$A$1:$F$60</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Bidder'!$A$1:$F$23</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'Sch-1'!$A$1:$N$328</definedName>
    <definedName name="Z_63D51328_7CBC_4A1E_B96D_BAE91416501B_.wvu.PrintArea" localSheetId="5" hidden="1">'Sch-2'!$A$1:$J$327</definedName>
    <definedName name="Z_63D51328_7CBC_4A1E_B96D_BAE91416501B_.wvu.PrintArea" localSheetId="6" hidden="1">'Sch-3'!$A$1:$P$313</definedName>
    <definedName name="Z_63D51328_7CBC_4A1E_B96D_BAE91416501B_.wvu.PrintArea" localSheetId="7" hidden="1">'Sch-4'!$A$1:$P$24</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'Sch-7'!$A$1:$M$25</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Bidder'!$14:$17</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89C3D82_0A24_4765_A688_A80A782F5056_.wvu.Cols" localSheetId="0" hidden="1">Basic!$I:$I</definedName>
    <definedName name="Z_889C3D82_0A24_4765_A688_A80A782F5056_.wvu.Cols" localSheetId="18" hidden="1">'Bid Form 2nd Envelope'!$H:$AO</definedName>
    <definedName name="Z_889C3D82_0A24_4765_A688_A80A782F5056_.wvu.Cols" localSheetId="14" hidden="1">Discount!$H:$L</definedName>
    <definedName name="Z_889C3D82_0A24_4765_A688_A80A782F5056_.wvu.Cols" localSheetId="3" hidden="1">'Names of Bidder'!$G:$G,'Names of Bidder'!$I:$N</definedName>
    <definedName name="Z_889C3D82_0A24_4765_A688_A80A782F5056_.wvu.Cols" localSheetId="21" hidden="1">'N-W (Cr.)'!$A:$O,'N-W (Cr.)'!$T:$DL</definedName>
    <definedName name="Z_889C3D82_0A24_4765_A688_A80A782F5056_.wvu.Cols" localSheetId="4" hidden="1">'Sch-1'!$O:$T,'Sch-1'!$V:$AM</definedName>
    <definedName name="Z_889C3D82_0A24_4765_A688_A80A782F5056_.wvu.Cols" localSheetId="6" hidden="1">'Sch-3'!$Q:$AB</definedName>
    <definedName name="Z_889C3D82_0A24_4765_A688_A80A782F5056_.wvu.Cols" localSheetId="8" hidden="1">'Sch-5'!$F:$T</definedName>
    <definedName name="Z_889C3D82_0A24_4765_A688_A80A782F5056_.wvu.Cols" localSheetId="12" hidden="1">'Sch-6 (After Discount)'!$E:$F</definedName>
    <definedName name="Z_889C3D82_0A24_4765_A688_A80A782F5056_.wvu.Cols" localSheetId="13" hidden="1">'Sch-7'!$AA:$AG</definedName>
    <definedName name="Z_889C3D82_0A24_4765_A688_A80A782F5056_.wvu.FilterData" localSheetId="4" hidden="1">'Sch-1'!$A$18:$IV$319</definedName>
    <definedName name="Z_889C3D82_0A24_4765_A688_A80A782F5056_.wvu.FilterData" localSheetId="5" hidden="1">'Sch-2'!$A$16:$AF$319</definedName>
    <definedName name="Z_889C3D82_0A24_4765_A688_A80A782F5056_.wvu.PrintArea" localSheetId="18" hidden="1">'Bid Form 2nd Envelope'!$A$1:$F$60</definedName>
    <definedName name="Z_889C3D82_0A24_4765_A688_A80A782F5056_.wvu.PrintArea" localSheetId="1" hidden="1">Cover!$A$1:$F$15</definedName>
    <definedName name="Z_889C3D82_0A24_4765_A688_A80A782F5056_.wvu.PrintArea" localSheetId="14" hidden="1">Discount!$A$2:$G$40</definedName>
    <definedName name="Z_889C3D82_0A24_4765_A688_A80A782F5056_.wvu.PrintArea" localSheetId="16" hidden="1">'Entry Tax'!$A$1:$E$16</definedName>
    <definedName name="Z_889C3D82_0A24_4765_A688_A80A782F5056_.wvu.PrintArea" localSheetId="2" hidden="1">Instructions!$A$1:$C$65</definedName>
    <definedName name="Z_889C3D82_0A24_4765_A688_A80A782F5056_.wvu.PrintArea" localSheetId="3" hidden="1">'Names of Bidder'!$A$1:$F$23</definedName>
    <definedName name="Z_889C3D82_0A24_4765_A688_A80A782F5056_.wvu.PrintArea" localSheetId="15" hidden="1">Octroi!$A$1:$E$16</definedName>
    <definedName name="Z_889C3D82_0A24_4765_A688_A80A782F5056_.wvu.PrintArea" localSheetId="17" hidden="1">'Other Taxes &amp; Duties'!$A$1:$F$16</definedName>
    <definedName name="Z_889C3D82_0A24_4765_A688_A80A782F5056_.wvu.PrintArea" localSheetId="4" hidden="1">'Sch-1'!$A$1:$N$328</definedName>
    <definedName name="Z_889C3D82_0A24_4765_A688_A80A782F5056_.wvu.PrintArea" localSheetId="5" hidden="1">'Sch-2'!$A$1:$J$325</definedName>
    <definedName name="Z_889C3D82_0A24_4765_A688_A80A782F5056_.wvu.PrintArea" localSheetId="6" hidden="1">'Sch-3'!$A$1:$P$311</definedName>
    <definedName name="Z_889C3D82_0A24_4765_A688_A80A782F5056_.wvu.PrintArea" localSheetId="7" hidden="1">'Sch-4'!$A$1:$P$24</definedName>
    <definedName name="Z_889C3D82_0A24_4765_A688_A80A782F5056_.wvu.PrintArea" localSheetId="8" hidden="1">'Sch-5'!$A$1:$E$23</definedName>
    <definedName name="Z_889C3D82_0A24_4765_A688_A80A782F5056_.wvu.PrintArea" localSheetId="9" hidden="1">'Sch-5 after discount'!$A$1:$E$23</definedName>
    <definedName name="Z_889C3D82_0A24_4765_A688_A80A782F5056_.wvu.PrintArea" localSheetId="10" hidden="1">'Sch-6'!$A$1:$D$32</definedName>
    <definedName name="Z_889C3D82_0A24_4765_A688_A80A782F5056_.wvu.PrintArea" localSheetId="12" hidden="1">'Sch-6 (After Discount)'!$A$1:$D$32</definedName>
    <definedName name="Z_889C3D82_0A24_4765_A688_A80A782F5056_.wvu.PrintArea" localSheetId="11" hidden="1">'Sch-6 After Discount'!$A$1:$D$31</definedName>
    <definedName name="Z_889C3D82_0A24_4765_A688_A80A782F5056_.wvu.PrintArea" localSheetId="13" hidden="1">'Sch-7'!$A$1:$M$22</definedName>
    <definedName name="Z_889C3D82_0A24_4765_A688_A80A782F5056_.wvu.PrintTitles" localSheetId="4" hidden="1">'Sch-1'!$15:$16</definedName>
    <definedName name="Z_889C3D82_0A24_4765_A688_A80A782F5056_.wvu.PrintTitles" localSheetId="5" hidden="1">'Sch-2'!$15:$16</definedName>
    <definedName name="Z_889C3D82_0A24_4765_A688_A80A782F5056_.wvu.PrintTitles" localSheetId="6" hidden="1">'Sch-3'!$15:$16</definedName>
    <definedName name="Z_889C3D82_0A24_4765_A688_A80A782F5056_.wvu.PrintTitles" localSheetId="8" hidden="1">'Sch-5'!$3:$14</definedName>
    <definedName name="Z_889C3D82_0A24_4765_A688_A80A782F5056_.wvu.PrintTitles" localSheetId="9" hidden="1">'Sch-5 after discount'!$3:$14</definedName>
    <definedName name="Z_889C3D82_0A24_4765_A688_A80A782F5056_.wvu.PrintTitles" localSheetId="10" hidden="1">'Sch-6'!$3:$14</definedName>
    <definedName name="Z_889C3D82_0A24_4765_A688_A80A782F5056_.wvu.PrintTitles" localSheetId="12" hidden="1">'Sch-6 (After Discount)'!$3:$14</definedName>
    <definedName name="Z_889C3D82_0A24_4765_A688_A80A782F5056_.wvu.PrintTitles" localSheetId="11" hidden="1">'Sch-6 After Discount'!$3:$13</definedName>
    <definedName name="Z_889C3D82_0A24_4765_A688_A80A782F5056_.wvu.Rows" localSheetId="1" hidden="1">Cover!$7:$7</definedName>
    <definedName name="Z_889C3D82_0A24_4765_A688_A80A782F5056_.wvu.Rows" localSheetId="14" hidden="1">Discount!$21:$22,Discount!$27:$32</definedName>
    <definedName name="Z_889C3D82_0A24_4765_A688_A80A782F5056_.wvu.Rows" localSheetId="13" hidden="1">'Sch-7'!$62:$180</definedName>
    <definedName name="Z_89CB4E6A_722E_4E39_885D_E2A6D0D08321_.wvu.Cols" localSheetId="0" hidden="1">Basic!$I:$I</definedName>
    <definedName name="Z_89CB4E6A_722E_4E39_885D_E2A6D0D08321_.wvu.Cols" localSheetId="18" hidden="1">'Bid Form 2nd Envelope'!$H:$AO</definedName>
    <definedName name="Z_89CB4E6A_722E_4E39_885D_E2A6D0D08321_.wvu.Cols" localSheetId="14" hidden="1">Discount!$H:$L</definedName>
    <definedName name="Z_89CB4E6A_722E_4E39_885D_E2A6D0D08321_.wvu.Cols" localSheetId="3" hidden="1">'Names of Bidder'!$G:$G,'Names of Bidder'!$J:$J</definedName>
    <definedName name="Z_89CB4E6A_722E_4E39_885D_E2A6D0D08321_.wvu.Cols" localSheetId="21" hidden="1">'N-W (Cr.)'!$A:$O,'N-W (Cr.)'!$T:$DL</definedName>
    <definedName name="Z_89CB4E6A_722E_4E39_885D_E2A6D0D08321_.wvu.Cols" localSheetId="4" hidden="1">'Sch-1'!$O:$T,'Sch-1'!$X:$AK</definedName>
    <definedName name="Z_89CB4E6A_722E_4E39_885D_E2A6D0D08321_.wvu.Cols" localSheetId="6" hidden="1">'Sch-3'!$Q:$AB</definedName>
    <definedName name="Z_89CB4E6A_722E_4E39_885D_E2A6D0D08321_.wvu.Cols" localSheetId="8" hidden="1">'Sch-5'!$F:$T</definedName>
    <definedName name="Z_89CB4E6A_722E_4E39_885D_E2A6D0D08321_.wvu.Cols" localSheetId="12" hidden="1">'Sch-6 (After Discount)'!$E:$F</definedName>
    <definedName name="Z_89CB4E6A_722E_4E39_885D_E2A6D0D08321_.wvu.Cols" localSheetId="13" hidden="1">'Sch-7'!$AA:$AG</definedName>
    <definedName name="Z_89CB4E6A_722E_4E39_885D_E2A6D0D08321_.wvu.FilterData" localSheetId="4" hidden="1">'Sch-1'!$A$18:$IV$324</definedName>
    <definedName name="Z_89CB4E6A_722E_4E39_885D_E2A6D0D08321_.wvu.FilterData" localSheetId="5" hidden="1">'Sch-2'!$A$16:$AF$319</definedName>
    <definedName name="Z_89CB4E6A_722E_4E39_885D_E2A6D0D08321_.wvu.PrintArea" localSheetId="18" hidden="1">'Bid Form 2nd Envelope'!$A$1:$F$60</definedName>
    <definedName name="Z_89CB4E6A_722E_4E39_885D_E2A6D0D08321_.wvu.PrintArea" localSheetId="1" hidden="1">Cover!$A$1:$F$15</definedName>
    <definedName name="Z_89CB4E6A_722E_4E39_885D_E2A6D0D08321_.wvu.PrintArea" localSheetId="14" hidden="1">Discount!$A$2:$G$40</definedName>
    <definedName name="Z_89CB4E6A_722E_4E39_885D_E2A6D0D08321_.wvu.PrintArea" localSheetId="16" hidden="1">'Entry Tax'!$A$1:$E$16</definedName>
    <definedName name="Z_89CB4E6A_722E_4E39_885D_E2A6D0D08321_.wvu.PrintArea" localSheetId="2" hidden="1">Instructions!$A$1:$C$65</definedName>
    <definedName name="Z_89CB4E6A_722E_4E39_885D_E2A6D0D08321_.wvu.PrintArea" localSheetId="3" hidden="1">'Names of Bidder'!$A$1:$F$23</definedName>
    <definedName name="Z_89CB4E6A_722E_4E39_885D_E2A6D0D08321_.wvu.PrintArea" localSheetId="15" hidden="1">Octroi!$A$1:$E$16</definedName>
    <definedName name="Z_89CB4E6A_722E_4E39_885D_E2A6D0D08321_.wvu.PrintArea" localSheetId="17" hidden="1">'Other Taxes &amp; Duties'!$A$1:$F$16</definedName>
    <definedName name="Z_89CB4E6A_722E_4E39_885D_E2A6D0D08321_.wvu.PrintArea" localSheetId="4" hidden="1">'Sch-1'!$A$1:$N$328</definedName>
    <definedName name="Z_89CB4E6A_722E_4E39_885D_E2A6D0D08321_.wvu.PrintArea" localSheetId="5" hidden="1">'Sch-2'!$A$1:$J$325</definedName>
    <definedName name="Z_89CB4E6A_722E_4E39_885D_E2A6D0D08321_.wvu.PrintArea" localSheetId="6" hidden="1">'Sch-3'!$A$1:$P$311</definedName>
    <definedName name="Z_89CB4E6A_722E_4E39_885D_E2A6D0D08321_.wvu.PrintArea" localSheetId="7" hidden="1">'Sch-4'!$A$1:$P$24</definedName>
    <definedName name="Z_89CB4E6A_722E_4E39_885D_E2A6D0D08321_.wvu.PrintArea" localSheetId="8" hidden="1">'Sch-5'!$A$1:$E$23</definedName>
    <definedName name="Z_89CB4E6A_722E_4E39_885D_E2A6D0D08321_.wvu.PrintArea" localSheetId="9" hidden="1">'Sch-5 after discount'!$A$1:$E$23</definedName>
    <definedName name="Z_89CB4E6A_722E_4E39_885D_E2A6D0D08321_.wvu.PrintArea" localSheetId="10" hidden="1">'Sch-6'!$A$1:$D$32</definedName>
    <definedName name="Z_89CB4E6A_722E_4E39_885D_E2A6D0D08321_.wvu.PrintArea" localSheetId="12" hidden="1">'Sch-6 (After Discount)'!$A$1:$D$32</definedName>
    <definedName name="Z_89CB4E6A_722E_4E39_885D_E2A6D0D08321_.wvu.PrintArea" localSheetId="11" hidden="1">'Sch-6 After Discount'!$A$1:$D$31</definedName>
    <definedName name="Z_89CB4E6A_722E_4E39_885D_E2A6D0D08321_.wvu.PrintArea" localSheetId="13" hidden="1">'Sch-7'!$A$1:$M$22</definedName>
    <definedName name="Z_89CB4E6A_722E_4E39_885D_E2A6D0D08321_.wvu.PrintTitles" localSheetId="4" hidden="1">'Sch-1'!$15:$16</definedName>
    <definedName name="Z_89CB4E6A_722E_4E39_885D_E2A6D0D08321_.wvu.PrintTitles" localSheetId="5" hidden="1">'Sch-2'!$15:$16</definedName>
    <definedName name="Z_89CB4E6A_722E_4E39_885D_E2A6D0D08321_.wvu.PrintTitles" localSheetId="6" hidden="1">'Sch-3'!$15:$16</definedName>
    <definedName name="Z_89CB4E6A_722E_4E39_885D_E2A6D0D08321_.wvu.PrintTitles" localSheetId="8" hidden="1">'Sch-5'!$3:$14</definedName>
    <definedName name="Z_89CB4E6A_722E_4E39_885D_E2A6D0D08321_.wvu.PrintTitles" localSheetId="9" hidden="1">'Sch-5 after discount'!$3:$14</definedName>
    <definedName name="Z_89CB4E6A_722E_4E39_885D_E2A6D0D08321_.wvu.PrintTitles" localSheetId="10" hidden="1">'Sch-6'!$3:$14</definedName>
    <definedName name="Z_89CB4E6A_722E_4E39_885D_E2A6D0D08321_.wvu.PrintTitles" localSheetId="12" hidden="1">'Sch-6 (After Discount)'!$3:$14</definedName>
    <definedName name="Z_89CB4E6A_722E_4E39_885D_E2A6D0D08321_.wvu.PrintTitles" localSheetId="11" hidden="1">'Sch-6 After Discount'!$3:$13</definedName>
    <definedName name="Z_89CB4E6A_722E_4E39_885D_E2A6D0D08321_.wvu.Rows" localSheetId="1" hidden="1">Cover!$7:$7</definedName>
    <definedName name="Z_89CB4E6A_722E_4E39_885D_E2A6D0D08321_.wvu.Rows" localSheetId="14" hidden="1">Discount!$21:$22,Discount!$27:$32</definedName>
    <definedName name="Z_89CB4E6A_722E_4E39_885D_E2A6D0D08321_.wvu.Rows" localSheetId="3" hidden="1">'Names of Bidder'!$14:$17</definedName>
    <definedName name="Z_89CB4E6A_722E_4E39_885D_E2A6D0D08321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Envelope'!$A$1:$F$60</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Bidder'!$A$1:$F$23</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15C64AD_BD67_44F0_9117_5B9D998BA799_.wvu.Cols" localSheetId="0" hidden="1">Basic!$I:$I</definedName>
    <definedName name="Z_915C64AD_BD67_44F0_9117_5B9D998BA799_.wvu.Cols" localSheetId="18" hidden="1">'Bid Form 2nd Envelope'!$H:$AO</definedName>
    <definedName name="Z_915C64AD_BD67_44F0_9117_5B9D998BA799_.wvu.Cols" localSheetId="14" hidden="1">Discount!$H:$L</definedName>
    <definedName name="Z_915C64AD_BD67_44F0_9117_5B9D998BA799_.wvu.Cols" localSheetId="3" hidden="1">'Names of Bidder'!$G:$G,'Names of Bidder'!$J:$J</definedName>
    <definedName name="Z_915C64AD_BD67_44F0_9117_5B9D998BA799_.wvu.Cols" localSheetId="21" hidden="1">'N-W (Cr.)'!$A:$O,'N-W (Cr.)'!$T:$DL</definedName>
    <definedName name="Z_915C64AD_BD67_44F0_9117_5B9D998BA799_.wvu.Cols" localSheetId="4" hidden="1">'Sch-1'!$O:$T,'Sch-1'!$X:$AK</definedName>
    <definedName name="Z_915C64AD_BD67_44F0_9117_5B9D998BA799_.wvu.Cols" localSheetId="6" hidden="1">'Sch-3'!$Q:$Y</definedName>
    <definedName name="Z_915C64AD_BD67_44F0_9117_5B9D998BA799_.wvu.Cols" localSheetId="8" hidden="1">'Sch-5'!$F:$T</definedName>
    <definedName name="Z_915C64AD_BD67_44F0_9117_5B9D998BA799_.wvu.Cols" localSheetId="12" hidden="1">'Sch-6 (After Discount)'!$E:$F</definedName>
    <definedName name="Z_915C64AD_BD67_44F0_9117_5B9D998BA799_.wvu.Cols" localSheetId="13" hidden="1">'Sch-7'!$AA:$AG</definedName>
    <definedName name="Z_915C64AD_BD67_44F0_9117_5B9D998BA799_.wvu.FilterData" localSheetId="4" hidden="1">'Sch-1'!$16:$324</definedName>
    <definedName name="Z_915C64AD_BD67_44F0_9117_5B9D998BA799_.wvu.FilterData" localSheetId="5" hidden="1">'Sch-2'!$A$16:$AF$322</definedName>
    <definedName name="Z_915C64AD_BD67_44F0_9117_5B9D998BA799_.wvu.PrintArea" localSheetId="18" hidden="1">'Bid Form 2nd Envelope'!$A$1:$F$60</definedName>
    <definedName name="Z_915C64AD_BD67_44F0_9117_5B9D998BA799_.wvu.PrintArea" localSheetId="14" hidden="1">Discount!$A$2:$G$40</definedName>
    <definedName name="Z_915C64AD_BD67_44F0_9117_5B9D998BA799_.wvu.PrintArea" localSheetId="16" hidden="1">'Entry Tax'!$A$1:$E$16</definedName>
    <definedName name="Z_915C64AD_BD67_44F0_9117_5B9D998BA799_.wvu.PrintArea" localSheetId="2" hidden="1">Instructions!$A$1:$C$65</definedName>
    <definedName name="Z_915C64AD_BD67_44F0_9117_5B9D998BA799_.wvu.PrintArea" localSheetId="3" hidden="1">'Names of Bidder'!$A$1:$F$23</definedName>
    <definedName name="Z_915C64AD_BD67_44F0_9117_5B9D998BA799_.wvu.PrintArea" localSheetId="15" hidden="1">Octroi!$A$1:$E$16</definedName>
    <definedName name="Z_915C64AD_BD67_44F0_9117_5B9D998BA799_.wvu.PrintArea" localSheetId="17" hidden="1">'Other Taxes &amp; Duties'!$A$1:$F$16</definedName>
    <definedName name="Z_915C64AD_BD67_44F0_9117_5B9D998BA799_.wvu.PrintArea" localSheetId="4" hidden="1">'Sch-1'!$A$1:$N$328</definedName>
    <definedName name="Z_915C64AD_BD67_44F0_9117_5B9D998BA799_.wvu.PrintArea" localSheetId="5" hidden="1">'Sch-2'!$A$1:$J$325</definedName>
    <definedName name="Z_915C64AD_BD67_44F0_9117_5B9D998BA799_.wvu.PrintArea" localSheetId="6" hidden="1">'Sch-3'!$A$1:$P$311</definedName>
    <definedName name="Z_915C64AD_BD67_44F0_9117_5B9D998BA799_.wvu.PrintArea" localSheetId="7" hidden="1">'Sch-4'!$A$1:$P$24</definedName>
    <definedName name="Z_915C64AD_BD67_44F0_9117_5B9D998BA799_.wvu.PrintArea" localSheetId="8" hidden="1">'Sch-5'!$A$1:$E$23</definedName>
    <definedName name="Z_915C64AD_BD67_44F0_9117_5B9D998BA799_.wvu.PrintArea" localSheetId="9" hidden="1">'Sch-5 after discount'!$A$1:$E$23</definedName>
    <definedName name="Z_915C64AD_BD67_44F0_9117_5B9D998BA799_.wvu.PrintArea" localSheetId="10" hidden="1">'Sch-6'!$A$1:$D$32</definedName>
    <definedName name="Z_915C64AD_BD67_44F0_9117_5B9D998BA799_.wvu.PrintArea" localSheetId="12" hidden="1">'Sch-6 (After Discount)'!$A$1:$D$32</definedName>
    <definedName name="Z_915C64AD_BD67_44F0_9117_5B9D998BA799_.wvu.PrintArea" localSheetId="11" hidden="1">'Sch-6 After Discount'!$A$1:$D$31</definedName>
    <definedName name="Z_915C64AD_BD67_44F0_9117_5B9D998BA799_.wvu.PrintArea" localSheetId="13" hidden="1">'Sch-7'!$A$1:$M$22</definedName>
    <definedName name="Z_915C64AD_BD67_44F0_9117_5B9D998BA799_.wvu.PrintTitles" localSheetId="4" hidden="1">'Sch-1'!$15:$16</definedName>
    <definedName name="Z_915C64AD_BD67_44F0_9117_5B9D998BA799_.wvu.PrintTitles" localSheetId="5" hidden="1">'Sch-2'!$15:$16</definedName>
    <definedName name="Z_915C64AD_BD67_44F0_9117_5B9D998BA799_.wvu.PrintTitles" localSheetId="6" hidden="1">'Sch-3'!$15:$16</definedName>
    <definedName name="Z_915C64AD_BD67_44F0_9117_5B9D998BA799_.wvu.PrintTitles" localSheetId="8" hidden="1">'Sch-5'!$3:$14</definedName>
    <definedName name="Z_915C64AD_BD67_44F0_9117_5B9D998BA799_.wvu.PrintTitles" localSheetId="9" hidden="1">'Sch-5 after discount'!$3:$14</definedName>
    <definedName name="Z_915C64AD_BD67_44F0_9117_5B9D998BA799_.wvu.PrintTitles" localSheetId="10" hidden="1">'Sch-6'!$3:$14</definedName>
    <definedName name="Z_915C64AD_BD67_44F0_9117_5B9D998BA799_.wvu.PrintTitles" localSheetId="12" hidden="1">'Sch-6 (After Discount)'!$3:$14</definedName>
    <definedName name="Z_915C64AD_BD67_44F0_9117_5B9D998BA799_.wvu.PrintTitles" localSheetId="11" hidden="1">'Sch-6 After Discount'!$3:$13</definedName>
    <definedName name="Z_915C64AD_BD67_44F0_9117_5B9D998BA799_.wvu.Rows" localSheetId="1" hidden="1">Cover!$7:$7</definedName>
    <definedName name="Z_915C64AD_BD67_44F0_9117_5B9D998BA799_.wvu.Rows" localSheetId="14" hidden="1">Discount!$21:$22,Discount!$27:$32</definedName>
    <definedName name="Z_915C64AD_BD67_44F0_9117_5B9D998BA799_.wvu.Rows" localSheetId="3" hidden="1">'Names of Bidder'!$14:$17</definedName>
    <definedName name="Z_915C64AD_BD67_44F0_9117_5B9D998BA799_.wvu.Rows" localSheetId="13" hidden="1">'Sch-7'!$62:$180</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Bidder'!$G:$G,'Names of Bidder'!$J:$J</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'Sch-1'!$16:$324</definedName>
    <definedName name="Z_99CA2F10_F926_46DC_8609_4EAE5B9F3585_.wvu.FilterData" localSheetId="5" hidden="1">'Sch-2'!$A$16:$AF$322</definedName>
    <definedName name="Z_99CA2F10_F926_46DC_8609_4EAE5B9F3585_.wvu.FilterData" localSheetId="6" hidden="1">'Sch-3'!$A$16:$AE$305</definedName>
    <definedName name="Z_99CA2F10_F926_46DC_8609_4EAE5B9F3585_.wvu.PrintArea" localSheetId="18" hidden="1">'Bid Form 2nd Envelope'!$A$1:$F$60</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Bidder'!$A$1:$F$23</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'Sch-1'!$A$1:$N$328</definedName>
    <definedName name="Z_99CA2F10_F926_46DC_8609_4EAE5B9F3585_.wvu.PrintArea" localSheetId="5" hidden="1">'Sch-2'!$A$1:$J$325</definedName>
    <definedName name="Z_99CA2F10_F926_46DC_8609_4EAE5B9F3585_.wvu.PrintArea" localSheetId="6" hidden="1">'Sch-3'!$A$1:$P$311</definedName>
    <definedName name="Z_99CA2F10_F926_46DC_8609_4EAE5B9F3585_.wvu.PrintArea" localSheetId="7" hidden="1">'Sch-4'!$A$1:$P$24</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Bidder'!$14:$17</definedName>
    <definedName name="Z_99CA2F10_F926_46DC_8609_4EAE5B9F3585_.wvu.Rows" localSheetId="13" hidden="1">'Sch-7'!$62:$180</definedName>
    <definedName name="Z_A0F82AFD_A75A_45C4_A55A_D8EC84E8392D_.wvu.Cols" localSheetId="21" hidden="1">'N-W (Cr.)'!$C:$C,'N-W (Cr.)'!$H:$H,'N-W (Cr.)'!$M:$M,'N-W (Cr.)'!$R:$R</definedName>
    <definedName name="Z_A58DB4DF_40C7_4BEB_B85E_6BD6F54941CF_.wvu.Cols" localSheetId="0" hidden="1">Basic!$I:$I</definedName>
    <definedName name="Z_A58DB4DF_40C7_4BEB_B85E_6BD6F54941CF_.wvu.Cols" localSheetId="18" hidden="1">'Bid Form 2nd Envelope'!$H:$AO</definedName>
    <definedName name="Z_A58DB4DF_40C7_4BEB_B85E_6BD6F54941CF_.wvu.Cols" localSheetId="14" hidden="1">Discount!$H:$L</definedName>
    <definedName name="Z_A58DB4DF_40C7_4BEB_B85E_6BD6F54941CF_.wvu.Cols" localSheetId="3" hidden="1">'Names of Bidder'!$G:$G,'Names of Bidder'!$J:$J</definedName>
    <definedName name="Z_A58DB4DF_40C7_4BEB_B85E_6BD6F54941CF_.wvu.Cols" localSheetId="21" hidden="1">'N-W (Cr.)'!$A:$O,'N-W (Cr.)'!$T:$DL</definedName>
    <definedName name="Z_A58DB4DF_40C7_4BEB_B85E_6BD6F54941CF_.wvu.Cols" localSheetId="4" hidden="1">'Sch-1'!$O:$T,'Sch-1'!$X:$AK</definedName>
    <definedName name="Z_A58DB4DF_40C7_4BEB_B85E_6BD6F54941CF_.wvu.Cols" localSheetId="6" hidden="1">'Sch-3'!$Q:$Y</definedName>
    <definedName name="Z_A58DB4DF_40C7_4BEB_B85E_6BD6F54941CF_.wvu.Cols" localSheetId="8" hidden="1">'Sch-5'!$F:$T</definedName>
    <definedName name="Z_A58DB4DF_40C7_4BEB_B85E_6BD6F54941CF_.wvu.Cols" localSheetId="12" hidden="1">'Sch-6 (After Discount)'!$E:$F</definedName>
    <definedName name="Z_A58DB4DF_40C7_4BEB_B85E_6BD6F54941CF_.wvu.Cols" localSheetId="13" hidden="1">'Sch-7'!$AA:$AG</definedName>
    <definedName name="Z_A58DB4DF_40C7_4BEB_B85E_6BD6F54941CF_.wvu.FilterData" localSheetId="4" hidden="1">'Sch-1'!$16:$324</definedName>
    <definedName name="Z_A58DB4DF_40C7_4BEB_B85E_6BD6F54941CF_.wvu.FilterData" localSheetId="5" hidden="1">'Sch-2'!$A$16:$AF$322</definedName>
    <definedName name="Z_A58DB4DF_40C7_4BEB_B85E_6BD6F54941CF_.wvu.PrintArea" localSheetId="18" hidden="1">'Bid Form 2nd Envelope'!$A$1:$F$60</definedName>
    <definedName name="Z_A58DB4DF_40C7_4BEB_B85E_6BD6F54941CF_.wvu.PrintArea" localSheetId="14" hidden="1">Discount!$A$2:$G$40</definedName>
    <definedName name="Z_A58DB4DF_40C7_4BEB_B85E_6BD6F54941CF_.wvu.PrintArea" localSheetId="16" hidden="1">'Entry Tax'!$A$1:$E$16</definedName>
    <definedName name="Z_A58DB4DF_40C7_4BEB_B85E_6BD6F54941CF_.wvu.PrintArea" localSheetId="2" hidden="1">Instructions!$A$1:$C$65</definedName>
    <definedName name="Z_A58DB4DF_40C7_4BEB_B85E_6BD6F54941CF_.wvu.PrintArea" localSheetId="3" hidden="1">'Names of Bidder'!$A$1:$F$23</definedName>
    <definedName name="Z_A58DB4DF_40C7_4BEB_B85E_6BD6F54941CF_.wvu.PrintArea" localSheetId="15" hidden="1">Octroi!$A$1:$E$16</definedName>
    <definedName name="Z_A58DB4DF_40C7_4BEB_B85E_6BD6F54941CF_.wvu.PrintArea" localSheetId="17" hidden="1">'Other Taxes &amp; Duties'!$A$1:$F$16</definedName>
    <definedName name="Z_A58DB4DF_40C7_4BEB_B85E_6BD6F54941CF_.wvu.PrintArea" localSheetId="4" hidden="1">'Sch-1'!$A$1:$N$328</definedName>
    <definedName name="Z_A58DB4DF_40C7_4BEB_B85E_6BD6F54941CF_.wvu.PrintArea" localSheetId="5" hidden="1">'Sch-2'!$A$1:$J$325</definedName>
    <definedName name="Z_A58DB4DF_40C7_4BEB_B85E_6BD6F54941CF_.wvu.PrintArea" localSheetId="6" hidden="1">'Sch-3'!$A$1:$P$311</definedName>
    <definedName name="Z_A58DB4DF_40C7_4BEB_B85E_6BD6F54941CF_.wvu.PrintArea" localSheetId="7" hidden="1">'Sch-4'!$A$1:$P$24</definedName>
    <definedName name="Z_A58DB4DF_40C7_4BEB_B85E_6BD6F54941CF_.wvu.PrintArea" localSheetId="8" hidden="1">'Sch-5'!$A$1:$E$23</definedName>
    <definedName name="Z_A58DB4DF_40C7_4BEB_B85E_6BD6F54941CF_.wvu.PrintArea" localSheetId="9" hidden="1">'Sch-5 after discount'!$A$1:$E$23</definedName>
    <definedName name="Z_A58DB4DF_40C7_4BEB_B85E_6BD6F54941CF_.wvu.PrintArea" localSheetId="10" hidden="1">'Sch-6'!$A$1:$D$32</definedName>
    <definedName name="Z_A58DB4DF_40C7_4BEB_B85E_6BD6F54941CF_.wvu.PrintArea" localSheetId="12" hidden="1">'Sch-6 (After Discount)'!$A$1:$D$32</definedName>
    <definedName name="Z_A58DB4DF_40C7_4BEB_B85E_6BD6F54941CF_.wvu.PrintArea" localSheetId="11" hidden="1">'Sch-6 After Discount'!$A$1:$D$31</definedName>
    <definedName name="Z_A58DB4DF_40C7_4BEB_B85E_6BD6F54941CF_.wvu.PrintArea" localSheetId="13" hidden="1">'Sch-7'!$A$1:$M$22</definedName>
    <definedName name="Z_A58DB4DF_40C7_4BEB_B85E_6BD6F54941CF_.wvu.PrintTitles" localSheetId="4" hidden="1">'Sch-1'!$15:$16</definedName>
    <definedName name="Z_A58DB4DF_40C7_4BEB_B85E_6BD6F54941CF_.wvu.PrintTitles" localSheetId="5" hidden="1">'Sch-2'!$15:$16</definedName>
    <definedName name="Z_A58DB4DF_40C7_4BEB_B85E_6BD6F54941CF_.wvu.PrintTitles" localSheetId="6" hidden="1">'Sch-3'!$15:$16</definedName>
    <definedName name="Z_A58DB4DF_40C7_4BEB_B85E_6BD6F54941CF_.wvu.PrintTitles" localSheetId="8" hidden="1">'Sch-5'!$3:$14</definedName>
    <definedName name="Z_A58DB4DF_40C7_4BEB_B85E_6BD6F54941CF_.wvu.PrintTitles" localSheetId="9" hidden="1">'Sch-5 after discount'!$3:$14</definedName>
    <definedName name="Z_A58DB4DF_40C7_4BEB_B85E_6BD6F54941CF_.wvu.PrintTitles" localSheetId="10" hidden="1">'Sch-6'!$3:$14</definedName>
    <definedName name="Z_A58DB4DF_40C7_4BEB_B85E_6BD6F54941CF_.wvu.PrintTitles" localSheetId="12" hidden="1">'Sch-6 (After Discount)'!$3:$14</definedName>
    <definedName name="Z_A58DB4DF_40C7_4BEB_B85E_6BD6F54941CF_.wvu.PrintTitles" localSheetId="11" hidden="1">'Sch-6 After Discount'!$3:$13</definedName>
    <definedName name="Z_A58DB4DF_40C7_4BEB_B85E_6BD6F54941CF_.wvu.Rows" localSheetId="1" hidden="1">Cover!$7:$7</definedName>
    <definedName name="Z_A58DB4DF_40C7_4BEB_B85E_6BD6F54941CF_.wvu.Rows" localSheetId="14" hidden="1">Discount!$21:$22,Discount!$27:$32</definedName>
    <definedName name="Z_A58DB4DF_40C7_4BEB_B85E_6BD6F54941CF_.wvu.Rows" localSheetId="3" hidden="1">'Names of Bidder'!$14:$17</definedName>
    <definedName name="Z_A58DB4DF_40C7_4BEB_B85E_6BD6F54941CF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Envelope'!$A$1:$F$60</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Bidder'!$A$1:$F$23</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Envelope'!$A$1:$F$60</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Bidder'!$A$1:$F$23</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Bidder'!$14:$17</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'Sch-1'!$C$1:$C$324</definedName>
    <definedName name="Z_B96E710B_6DD7_4DE1_95AB_C9EE060CD030_.wvu.FilterData" localSheetId="5" hidden="1">'Sch-2'!$C$1:$C$327</definedName>
    <definedName name="Z_B96E710B_6DD7_4DE1_95AB_C9EE060CD030_.wvu.FilterData" localSheetId="6" hidden="1">'Sch-3'!$C$1:$C$313</definedName>
    <definedName name="Z_B96E710B_6DD7_4DE1_95AB_C9EE060CD030_.wvu.PrintArea" localSheetId="18" hidden="1">'Bid Form 2nd Envelope'!$A$1:$F$60</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Bidder'!$A$1:$F$23</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'Sch-1'!$A$1:$N$328</definedName>
    <definedName name="Z_B96E710B_6DD7_4DE1_95AB_C9EE060CD030_.wvu.PrintArea" localSheetId="5" hidden="1">'Sch-2'!$A$1:$J$327</definedName>
    <definedName name="Z_B96E710B_6DD7_4DE1_95AB_C9EE060CD030_.wvu.PrintArea" localSheetId="6" hidden="1">'Sch-3'!$A$1:$P$313</definedName>
    <definedName name="Z_B96E710B_6DD7_4DE1_95AB_C9EE060CD030_.wvu.PrintArea" localSheetId="7" hidden="1">'Sch-4'!$A$1:$P$24</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Bidder'!$14:$17</definedName>
    <definedName name="Z_B96E710B_6DD7_4DE1_95AB_C9EE060CD030_.wvu.Rows" localSheetId="13" hidden="1">'Sch-7'!$62:$180</definedName>
    <definedName name="Z_C497F4E0_7D3E_4065_935D_7086BE9276FE_.wvu.Cols" localSheetId="0" hidden="1">Basic!$I:$I</definedName>
    <definedName name="Z_C497F4E0_7D3E_4065_935D_7086BE9276FE_.wvu.Cols" localSheetId="18" hidden="1">'Bid Form 2nd Envelope'!$H:$AO</definedName>
    <definedName name="Z_C497F4E0_7D3E_4065_935D_7086BE9276FE_.wvu.Cols" localSheetId="14" hidden="1">Discount!$H:$L</definedName>
    <definedName name="Z_C497F4E0_7D3E_4065_935D_7086BE9276FE_.wvu.Cols" localSheetId="3" hidden="1">'Names of Bidder'!$G:$G,'Names of Bidder'!$I:$N</definedName>
    <definedName name="Z_C497F4E0_7D3E_4065_935D_7086BE9276FE_.wvu.Cols" localSheetId="21" hidden="1">'N-W (Cr.)'!$A:$O,'N-W (Cr.)'!$T:$DL</definedName>
    <definedName name="Z_C497F4E0_7D3E_4065_935D_7086BE9276FE_.wvu.Cols" localSheetId="4" hidden="1">'Sch-1'!$O:$T,'Sch-1'!$V:$AM</definedName>
    <definedName name="Z_C497F4E0_7D3E_4065_935D_7086BE9276FE_.wvu.Cols" localSheetId="6" hidden="1">'Sch-3'!$Q:$AB</definedName>
    <definedName name="Z_C497F4E0_7D3E_4065_935D_7086BE9276FE_.wvu.Cols" localSheetId="8" hidden="1">'Sch-5'!$F:$T</definedName>
    <definedName name="Z_C497F4E0_7D3E_4065_935D_7086BE9276FE_.wvu.Cols" localSheetId="12" hidden="1">'Sch-6 (After Discount)'!$E:$F</definedName>
    <definedName name="Z_C497F4E0_7D3E_4065_935D_7086BE9276FE_.wvu.Cols" localSheetId="13" hidden="1">'Sch-7'!$AA:$AG</definedName>
    <definedName name="Z_C497F4E0_7D3E_4065_935D_7086BE9276FE_.wvu.FilterData" localSheetId="4" hidden="1">'Sch-1'!$A$18:$IV$319</definedName>
    <definedName name="Z_C497F4E0_7D3E_4065_935D_7086BE9276FE_.wvu.FilterData" localSheetId="5" hidden="1">'Sch-2'!$A$16:$AF$319</definedName>
    <definedName name="Z_C497F4E0_7D3E_4065_935D_7086BE9276FE_.wvu.PrintArea" localSheetId="18" hidden="1">'Bid Form 2nd Envelope'!$A$1:$F$60</definedName>
    <definedName name="Z_C497F4E0_7D3E_4065_935D_7086BE9276FE_.wvu.PrintArea" localSheetId="1" hidden="1">Cover!$A$1:$F$15</definedName>
    <definedName name="Z_C497F4E0_7D3E_4065_935D_7086BE9276FE_.wvu.PrintArea" localSheetId="14" hidden="1">Discount!$A$2:$G$40</definedName>
    <definedName name="Z_C497F4E0_7D3E_4065_935D_7086BE9276FE_.wvu.PrintArea" localSheetId="16" hidden="1">'Entry Tax'!$A$1:$E$16</definedName>
    <definedName name="Z_C497F4E0_7D3E_4065_935D_7086BE9276FE_.wvu.PrintArea" localSheetId="2" hidden="1">Instructions!$A$1:$C$65</definedName>
    <definedName name="Z_C497F4E0_7D3E_4065_935D_7086BE9276FE_.wvu.PrintArea" localSheetId="3" hidden="1">'Names of Bidder'!$A$1:$F$23</definedName>
    <definedName name="Z_C497F4E0_7D3E_4065_935D_7086BE9276FE_.wvu.PrintArea" localSheetId="15" hidden="1">Octroi!$A$1:$E$16</definedName>
    <definedName name="Z_C497F4E0_7D3E_4065_935D_7086BE9276FE_.wvu.PrintArea" localSheetId="17" hidden="1">'Other Taxes &amp; Duties'!$A$1:$F$16</definedName>
    <definedName name="Z_C497F4E0_7D3E_4065_935D_7086BE9276FE_.wvu.PrintArea" localSheetId="4" hidden="1">'Sch-1'!$A$1:$N$328</definedName>
    <definedName name="Z_C497F4E0_7D3E_4065_935D_7086BE9276FE_.wvu.PrintArea" localSheetId="5" hidden="1">'Sch-2'!$A$1:$J$325</definedName>
    <definedName name="Z_C497F4E0_7D3E_4065_935D_7086BE9276FE_.wvu.PrintArea" localSheetId="6" hidden="1">'Sch-3'!$A$1:$P$311</definedName>
    <definedName name="Z_C497F4E0_7D3E_4065_935D_7086BE9276FE_.wvu.PrintArea" localSheetId="7" hidden="1">'Sch-4'!$A$1:$P$24</definedName>
    <definedName name="Z_C497F4E0_7D3E_4065_935D_7086BE9276FE_.wvu.PrintArea" localSheetId="8" hidden="1">'Sch-5'!$A$1:$E$23</definedName>
    <definedName name="Z_C497F4E0_7D3E_4065_935D_7086BE9276FE_.wvu.PrintArea" localSheetId="9" hidden="1">'Sch-5 after discount'!$A$1:$E$23</definedName>
    <definedName name="Z_C497F4E0_7D3E_4065_935D_7086BE9276FE_.wvu.PrintArea" localSheetId="10" hidden="1">'Sch-6'!$A$1:$D$32</definedName>
    <definedName name="Z_C497F4E0_7D3E_4065_935D_7086BE9276FE_.wvu.PrintArea" localSheetId="12" hidden="1">'Sch-6 (After Discount)'!$A$1:$D$32</definedName>
    <definedName name="Z_C497F4E0_7D3E_4065_935D_7086BE9276FE_.wvu.PrintArea" localSheetId="11" hidden="1">'Sch-6 After Discount'!$A$1:$D$31</definedName>
    <definedName name="Z_C497F4E0_7D3E_4065_935D_7086BE9276FE_.wvu.PrintArea" localSheetId="13" hidden="1">'Sch-7'!$A$1:$M$22</definedName>
    <definedName name="Z_C497F4E0_7D3E_4065_935D_7086BE9276FE_.wvu.PrintTitles" localSheetId="4" hidden="1">'Sch-1'!$15:$16</definedName>
    <definedName name="Z_C497F4E0_7D3E_4065_935D_7086BE9276FE_.wvu.PrintTitles" localSheetId="5" hidden="1">'Sch-2'!$15:$16</definedName>
    <definedName name="Z_C497F4E0_7D3E_4065_935D_7086BE9276FE_.wvu.PrintTitles" localSheetId="6" hidden="1">'Sch-3'!$15:$16</definedName>
    <definedName name="Z_C497F4E0_7D3E_4065_935D_7086BE9276FE_.wvu.PrintTitles" localSheetId="8" hidden="1">'Sch-5'!$3:$14</definedName>
    <definedName name="Z_C497F4E0_7D3E_4065_935D_7086BE9276FE_.wvu.PrintTitles" localSheetId="9" hidden="1">'Sch-5 after discount'!$3:$14</definedName>
    <definedName name="Z_C497F4E0_7D3E_4065_935D_7086BE9276FE_.wvu.PrintTitles" localSheetId="10" hidden="1">'Sch-6'!$3:$14</definedName>
    <definedName name="Z_C497F4E0_7D3E_4065_935D_7086BE9276FE_.wvu.PrintTitles" localSheetId="12" hidden="1">'Sch-6 (After Discount)'!$3:$14</definedName>
    <definedName name="Z_C497F4E0_7D3E_4065_935D_7086BE9276FE_.wvu.PrintTitles" localSheetId="11" hidden="1">'Sch-6 After Discount'!$3:$13</definedName>
    <definedName name="Z_C497F4E0_7D3E_4065_935D_7086BE9276FE_.wvu.Rows" localSheetId="1" hidden="1">Cover!$7:$7</definedName>
    <definedName name="Z_C497F4E0_7D3E_4065_935D_7086BE9276FE_.wvu.Rows" localSheetId="14" hidden="1">Discount!$21:$22,Discount!$27:$32</definedName>
    <definedName name="Z_C497F4E0_7D3E_4065_935D_7086BE9276FE_.wvu.Rows" localSheetId="13" hidden="1">'Sch-7'!$62:$180</definedName>
    <definedName name="Z_C5506FC7_8A4D_43D0_A0D5_B323816310B7_.wvu.Cols" localSheetId="21"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Bidder'!$G:$G,'Names of Bidder'!$J:$J</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'Sch-3'!$Q:$V</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'Sch-1'!$16:$324</definedName>
    <definedName name="Z_CCA37BAE_906F_43D5_9FD9_B13563E4B9D7_.wvu.FilterData" localSheetId="5" hidden="1">'Sch-2'!$A$16:$AF$322</definedName>
    <definedName name="Z_CCA37BAE_906F_43D5_9FD9_B13563E4B9D7_.wvu.PrintArea" localSheetId="18" hidden="1">'Bid Form 2nd Envelope'!$A$1:$F$60</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Bidder'!$A$1:$F$23</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'Sch-1'!$A$1:$N$328</definedName>
    <definedName name="Z_CCA37BAE_906F_43D5_9FD9_B13563E4B9D7_.wvu.PrintArea" localSheetId="5" hidden="1">'Sch-2'!$A$1:$J$325</definedName>
    <definedName name="Z_CCA37BAE_906F_43D5_9FD9_B13563E4B9D7_.wvu.PrintArea" localSheetId="6" hidden="1">'Sch-3'!$A$1:$P$311</definedName>
    <definedName name="Z_CCA37BAE_906F_43D5_9FD9_B13563E4B9D7_.wvu.PrintArea" localSheetId="7" hidden="1">'Sch-4'!$A$1:$P$24</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Bidder'!$14:$17</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Envelope'!$A$1:$F$60</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Bidder'!$A$1:$D$21</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Envelope'!$A$1:$F$60</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Bidder'!$A$1:$D$21</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SAMRAT JAIN {सम्राट जैन} - Personal View" guid="{C497F4E0-7D3E-4065-935D-7086BE9276FE}" mergeInterval="0" personalView="1" maximized="1" xWindow="-8" yWindow="-8" windowWidth="1936" windowHeight="1048" tabRatio="607" activeSheetId="5"/>
    <customWorkbookView name="Samrat Jain {Samrat Jain} - Personal View" guid="{889C3D82-0A24-4765-A688-A80A782F5056}" mergeInterval="0" personalView="1" maximized="1" xWindow="-8" yWindow="-8" windowWidth="1936" windowHeight="1056" tabRatio="607" activeSheetId="2" showComments="commIndAndComment"/>
    <customWorkbookView name="Samrat Jain - Personal View" guid="{89CB4E6A-722E-4E39-885D-E2A6D0D08321}" mergeInterval="0" personalView="1" maximized="1" xWindow="1" yWindow="1" windowWidth="1366" windowHeight="538" tabRatio="607" activeSheetId="2" showComments="commIndAndComment"/>
    <customWorkbookView name="Satendra Singh Sengar {सतेन्द्र सिंह सेंगर} - Personal View" guid="{915C64AD-BD67-44F0-9117-5B9D998BA799}" mergeInterval="0" personalView="1" maximized="1" windowWidth="1916" windowHeight="854" tabRatio="847" activeSheetId="4"/>
    <customWorkbookView name="Ankit Vaishnav {Ankit Vaishnav} - Personal View" guid="{18EA11B4-BD82-47BF-99FA-7AB19BF74D0B}" mergeInterval="0" personalView="1" maximized="1" windowWidth="1436" windowHeight="674" tabRatio="847" activeSheetId="19"/>
    <customWorkbookView name="Umesh Kumar Yadav {उमेश कुमार यादव} - Personal View" guid="{CCA37BAE-906F-43D5-9FD9-B13563E4B9D7}" mergeInterval="0" personalView="1" maximized="1" windowWidth="1916" windowHeight="854" tabRatio="670" activeSheetId="19" showComments="commIndAndComment"/>
    <customWorkbookView name="Pankaj Kumar Jangid {पंकज कुमार जांगिड} - Personal View" guid="{99CA2F10-F926-46DC-8609-4EAE5B9F3585}" mergeInterval="0" personalView="1" maximized="1" windowWidth="1916" windowHeight="814" tabRatio="670" activeSheetId="15"/>
    <customWorkbookView name="Rahul {Rahul} - Personal View" guid="{63D51328-7CBC-4A1E-B96D-BAE91416501B}" mergeInterval="0" personalView="1" maximized="1" windowWidth="1916" windowHeight="814" tabRatio="786" activeSheetId="19"/>
    <customWorkbookView name="60003235 - Personal View" guid="{3C00DDA0-7DDE-4169-A739-550DAF5DCF8D}" mergeInterval="0" personalView="1" maximized="1" xWindow="1" yWindow="1" windowWidth="1020" windowHeight="496" tabRatio="944" activeSheetId="19"/>
    <customWorkbookView name="60001487 - Personal View" guid="{357C9841-BEC3-434B-AC63-C04FB4321BA3}" mergeInterval="0" personalView="1" maximized="1" xWindow="1" yWindow="1" windowWidth="1362" windowHeight="538" tabRatio="944" activeSheetId="12"/>
    <customWorkbookView name="Prabodh Kumar Singh {प्रबोध कुमार सिंह} - Personal View" guid="{B96E710B-6DD7-4DE1-95AB-C9EE060CD030}" mergeInterval="0" personalView="1" maximized="1" windowWidth="1916" windowHeight="854" tabRatio="786" activeSheetId="5"/>
    <customWorkbookView name="60003018 - Personal View" guid="{A58DB4DF-40C7-4BEB-B85E-6BD6F54941CF}" mergeInterval="0" personalView="1" maximized="1" windowWidth="1362" windowHeight="522" tabRatio="847" activeSheetId="4" showComments="commIndAndComment"/>
    <customWorkbookView name="Jasminder Singh Bhatia {जसमिंदर सिंह} - Personal View" guid="{1211E1B9-FC37-4364-9CF0-0FFC01866726}" mergeInterval="0" personalView="1" maximized="1" xWindow="-8" yWindow="-8" windowWidth="1936" windowHeight="1056" tabRatio="607"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05" i="7" l="1"/>
  <c r="B165" i="7" l="1"/>
  <c r="B17" i="7"/>
  <c r="V210" i="7"/>
  <c r="P210" i="7"/>
  <c r="R210" i="7" s="1"/>
  <c r="V209" i="7"/>
  <c r="P209" i="7"/>
  <c r="Q209" i="7" s="1"/>
  <c r="V208" i="7"/>
  <c r="P208" i="7"/>
  <c r="R208" i="7" s="1"/>
  <c r="V207" i="7"/>
  <c r="P207" i="7"/>
  <c r="Q207" i="7" s="1"/>
  <c r="V206" i="7"/>
  <c r="P206" i="7"/>
  <c r="R206" i="7" s="1"/>
  <c r="V205" i="7"/>
  <c r="P205" i="7"/>
  <c r="R205" i="7" s="1"/>
  <c r="V204" i="7"/>
  <c r="P204" i="7"/>
  <c r="R204" i="7" s="1"/>
  <c r="V235" i="7"/>
  <c r="P235" i="7"/>
  <c r="R235" i="7" s="1"/>
  <c r="V234" i="7"/>
  <c r="P234" i="7"/>
  <c r="Q234" i="7" s="1"/>
  <c r="V233" i="7"/>
  <c r="P233" i="7"/>
  <c r="Q233" i="7" s="1"/>
  <c r="V232" i="7"/>
  <c r="P232" i="7"/>
  <c r="R232" i="7" s="1"/>
  <c r="V231" i="7"/>
  <c r="P231" i="7"/>
  <c r="R231" i="7" s="1"/>
  <c r="V230" i="7"/>
  <c r="P230" i="7"/>
  <c r="Q230" i="7" s="1"/>
  <c r="V229" i="7"/>
  <c r="P229" i="7"/>
  <c r="R229" i="7" s="1"/>
  <c r="V228" i="7"/>
  <c r="P228" i="7"/>
  <c r="Q228" i="7" s="1"/>
  <c r="V227" i="7"/>
  <c r="P227" i="7"/>
  <c r="R227" i="7" s="1"/>
  <c r="V226" i="7"/>
  <c r="P226" i="7"/>
  <c r="R226" i="7" s="1"/>
  <c r="V225" i="7"/>
  <c r="P225" i="7"/>
  <c r="R225" i="7" s="1"/>
  <c r="V224" i="7"/>
  <c r="P224" i="7"/>
  <c r="R224" i="7" s="1"/>
  <c r="V223" i="7"/>
  <c r="P223" i="7"/>
  <c r="R223" i="7" s="1"/>
  <c r="V222" i="7"/>
  <c r="P222" i="7"/>
  <c r="Q222" i="7" s="1"/>
  <c r="V221" i="7"/>
  <c r="P221" i="7"/>
  <c r="R221" i="7" s="1"/>
  <c r="V220" i="7"/>
  <c r="P220" i="7"/>
  <c r="R220" i="7" s="1"/>
  <c r="V219" i="7"/>
  <c r="P219" i="7"/>
  <c r="R219" i="7" s="1"/>
  <c r="V218" i="7"/>
  <c r="P218" i="7"/>
  <c r="Q218" i="7" s="1"/>
  <c r="V217" i="7"/>
  <c r="P217" i="7"/>
  <c r="R217" i="7" s="1"/>
  <c r="V216" i="7"/>
  <c r="P216" i="7"/>
  <c r="Q216" i="7" s="1"/>
  <c r="V215" i="7"/>
  <c r="P215" i="7"/>
  <c r="Q215" i="7" s="1"/>
  <c r="V214" i="7"/>
  <c r="P214" i="7"/>
  <c r="R214" i="7" s="1"/>
  <c r="V213" i="7"/>
  <c r="P213" i="7"/>
  <c r="R213" i="7" s="1"/>
  <c r="V212" i="7"/>
  <c r="P212" i="7"/>
  <c r="Q212" i="7" s="1"/>
  <c r="V211" i="7"/>
  <c r="P211" i="7"/>
  <c r="R211" i="7" s="1"/>
  <c r="V203" i="7"/>
  <c r="P203" i="7"/>
  <c r="R203" i="7" s="1"/>
  <c r="V202" i="7"/>
  <c r="P202" i="7"/>
  <c r="Q202" i="7" s="1"/>
  <c r="V201" i="7"/>
  <c r="P201" i="7"/>
  <c r="R201" i="7" s="1"/>
  <c r="V200" i="7"/>
  <c r="P200" i="7"/>
  <c r="Q200" i="7" s="1"/>
  <c r="V199" i="7"/>
  <c r="P199" i="7"/>
  <c r="Q199" i="7" s="1"/>
  <c r="V198" i="7"/>
  <c r="P198" i="7"/>
  <c r="R198" i="7" s="1"/>
  <c r="J297" i="6"/>
  <c r="J296" i="6"/>
  <c r="J295" i="6"/>
  <c r="J294" i="6"/>
  <c r="J293" i="6"/>
  <c r="J292" i="6"/>
  <c r="J291" i="6"/>
  <c r="J290" i="6"/>
  <c r="J289" i="6"/>
  <c r="B253" i="6"/>
  <c r="A253" i="6"/>
  <c r="J234" i="6"/>
  <c r="J233" i="6"/>
  <c r="J232" i="6"/>
  <c r="J231" i="6"/>
  <c r="J230" i="6"/>
  <c r="J229" i="6"/>
  <c r="J228" i="6"/>
  <c r="J227" i="6"/>
  <c r="J226" i="6"/>
  <c r="B193" i="6"/>
  <c r="A193" i="6"/>
  <c r="B90" i="6"/>
  <c r="A90" i="6"/>
  <c r="B17" i="6"/>
  <c r="J213" i="6"/>
  <c r="J212" i="6"/>
  <c r="J211" i="6"/>
  <c r="J210" i="6"/>
  <c r="J209" i="6"/>
  <c r="J208" i="6"/>
  <c r="J207" i="6"/>
  <c r="J206" i="6"/>
  <c r="J205" i="6"/>
  <c r="J204" i="6"/>
  <c r="J203" i="6"/>
  <c r="J202" i="6"/>
  <c r="J201" i="6"/>
  <c r="J200" i="6"/>
  <c r="J199" i="6"/>
  <c r="J198" i="6"/>
  <c r="J197" i="6"/>
  <c r="J196" i="6"/>
  <c r="J195" i="6"/>
  <c r="J194" i="6"/>
  <c r="J192" i="6"/>
  <c r="J191" i="6"/>
  <c r="J190" i="6"/>
  <c r="J189" i="6"/>
  <c r="J188" i="6"/>
  <c r="J187" i="6"/>
  <c r="J186" i="6"/>
  <c r="J185" i="6"/>
  <c r="J184" i="6"/>
  <c r="J183" i="6"/>
  <c r="J182" i="6"/>
  <c r="J181" i="6"/>
  <c r="J180" i="6"/>
  <c r="J179" i="6"/>
  <c r="J178" i="6"/>
  <c r="J177" i="6"/>
  <c r="J176" i="6"/>
  <c r="J175" i="6"/>
  <c r="J174" i="6"/>
  <c r="J173" i="6"/>
  <c r="J172" i="6"/>
  <c r="J171" i="6"/>
  <c r="T293" i="5"/>
  <c r="N293" i="5"/>
  <c r="O293" i="5" s="1"/>
  <c r="T292" i="5"/>
  <c r="N292" i="5"/>
  <c r="O292" i="5" s="1"/>
  <c r="T291" i="5"/>
  <c r="N291" i="5"/>
  <c r="O291" i="5" s="1"/>
  <c r="T290" i="5"/>
  <c r="N290" i="5"/>
  <c r="P290" i="5" s="1"/>
  <c r="T289" i="5"/>
  <c r="N289" i="5"/>
  <c r="P289" i="5" s="1"/>
  <c r="T288" i="5"/>
  <c r="N288" i="5"/>
  <c r="P288" i="5" s="1"/>
  <c r="T287" i="5"/>
  <c r="N287" i="5"/>
  <c r="P287" i="5" s="1"/>
  <c r="T286" i="5"/>
  <c r="N286" i="5"/>
  <c r="P286" i="5" s="1"/>
  <c r="T285" i="5"/>
  <c r="N285" i="5"/>
  <c r="P285" i="5" s="1"/>
  <c r="T284" i="5"/>
  <c r="N284" i="5"/>
  <c r="P284" i="5" s="1"/>
  <c r="T283" i="5"/>
  <c r="N283" i="5"/>
  <c r="P283" i="5" s="1"/>
  <c r="T282" i="5"/>
  <c r="N282" i="5"/>
  <c r="P282" i="5" s="1"/>
  <c r="T281" i="5"/>
  <c r="N281" i="5"/>
  <c r="P281" i="5" s="1"/>
  <c r="T280" i="5"/>
  <c r="N280" i="5"/>
  <c r="O280" i="5" s="1"/>
  <c r="T279" i="5"/>
  <c r="N279" i="5"/>
  <c r="O279" i="5" s="1"/>
  <c r="T278" i="5"/>
  <c r="N278" i="5"/>
  <c r="P278" i="5" s="1"/>
  <c r="N260" i="5"/>
  <c r="O260" i="5" s="1"/>
  <c r="T260" i="5"/>
  <c r="N261" i="5"/>
  <c r="O261" i="5" s="1"/>
  <c r="T261" i="5"/>
  <c r="N262" i="5"/>
  <c r="P262" i="5" s="1"/>
  <c r="T262" i="5"/>
  <c r="N263" i="5"/>
  <c r="O263" i="5" s="1"/>
  <c r="T263" i="5"/>
  <c r="N264" i="5"/>
  <c r="P264" i="5" s="1"/>
  <c r="O264" i="5"/>
  <c r="T264" i="5"/>
  <c r="N265" i="5"/>
  <c r="O265" i="5" s="1"/>
  <c r="T265" i="5"/>
  <c r="N266" i="5"/>
  <c r="O266" i="5" s="1"/>
  <c r="T266" i="5"/>
  <c r="N267" i="5"/>
  <c r="O267" i="5" s="1"/>
  <c r="T267" i="5"/>
  <c r="N268" i="5"/>
  <c r="O268" i="5"/>
  <c r="P268" i="5"/>
  <c r="T268" i="5"/>
  <c r="N269" i="5"/>
  <c r="O269" i="5" s="1"/>
  <c r="T269" i="5"/>
  <c r="N270" i="5"/>
  <c r="P270" i="5" s="1"/>
  <c r="T270" i="5"/>
  <c r="N271" i="5"/>
  <c r="O271" i="5" s="1"/>
  <c r="T271" i="5"/>
  <c r="N272" i="5"/>
  <c r="O272" i="5" s="1"/>
  <c r="T272" i="5"/>
  <c r="N273" i="5"/>
  <c r="P273" i="5" s="1"/>
  <c r="O273" i="5"/>
  <c r="T273" i="5"/>
  <c r="N274" i="5"/>
  <c r="O274" i="5" s="1"/>
  <c r="P274" i="5"/>
  <c r="T274" i="5"/>
  <c r="N275" i="5"/>
  <c r="P275" i="5" s="1"/>
  <c r="T275" i="5"/>
  <c r="N276" i="5"/>
  <c r="P276" i="5" s="1"/>
  <c r="T276" i="5"/>
  <c r="N277" i="5"/>
  <c r="O277" i="5" s="1"/>
  <c r="T277" i="5"/>
  <c r="N294" i="5"/>
  <c r="O294" i="5" s="1"/>
  <c r="P294" i="5"/>
  <c r="T294" i="5"/>
  <c r="N295" i="5"/>
  <c r="O295" i="5" s="1"/>
  <c r="T295" i="5"/>
  <c r="N296" i="5"/>
  <c r="O296" i="5" s="1"/>
  <c r="T296" i="5"/>
  <c r="N297" i="5"/>
  <c r="O297" i="5" s="1"/>
  <c r="T297" i="5"/>
  <c r="N298" i="5"/>
  <c r="P298" i="5" s="1"/>
  <c r="O298" i="5"/>
  <c r="T298" i="5"/>
  <c r="N299" i="5"/>
  <c r="O299" i="5" s="1"/>
  <c r="T299" i="5"/>
  <c r="N300" i="5"/>
  <c r="O300" i="5" s="1"/>
  <c r="T300" i="5"/>
  <c r="N301" i="5"/>
  <c r="O301" i="5" s="1"/>
  <c r="P301" i="5"/>
  <c r="T301" i="5"/>
  <c r="N302" i="5"/>
  <c r="P302" i="5" s="1"/>
  <c r="O302" i="5"/>
  <c r="T302" i="5"/>
  <c r="N303" i="5"/>
  <c r="P303" i="5" s="1"/>
  <c r="T303" i="5"/>
  <c r="N304" i="5"/>
  <c r="P304" i="5" s="1"/>
  <c r="T304" i="5"/>
  <c r="N305" i="5"/>
  <c r="O305" i="5" s="1"/>
  <c r="T305" i="5"/>
  <c r="N306" i="5"/>
  <c r="O306" i="5" s="1"/>
  <c r="T306" i="5"/>
  <c r="N307" i="5"/>
  <c r="O307" i="5" s="1"/>
  <c r="T307" i="5"/>
  <c r="N308" i="5"/>
  <c r="O308" i="5" s="1"/>
  <c r="T308" i="5"/>
  <c r="N309" i="5"/>
  <c r="O309" i="5" s="1"/>
  <c r="T309" i="5"/>
  <c r="N310" i="5"/>
  <c r="P310" i="5" s="1"/>
  <c r="T310" i="5"/>
  <c r="N311" i="5"/>
  <c r="O311" i="5" s="1"/>
  <c r="T311" i="5"/>
  <c r="N312" i="5"/>
  <c r="O312" i="5" s="1"/>
  <c r="T312" i="5"/>
  <c r="N313" i="5"/>
  <c r="O313" i="5" s="1"/>
  <c r="T313" i="5"/>
  <c r="N314" i="5"/>
  <c r="P314" i="5" s="1"/>
  <c r="T314" i="5"/>
  <c r="N315" i="5"/>
  <c r="O315" i="5" s="1"/>
  <c r="T315" i="5"/>
  <c r="N316" i="5"/>
  <c r="P316" i="5" s="1"/>
  <c r="T316" i="5"/>
  <c r="N317" i="5"/>
  <c r="O317" i="5" s="1"/>
  <c r="T317" i="5"/>
  <c r="N318" i="5"/>
  <c r="O318" i="5" s="1"/>
  <c r="T318" i="5"/>
  <c r="T259" i="5"/>
  <c r="N259" i="5"/>
  <c r="O259" i="5" s="1"/>
  <c r="T258" i="5"/>
  <c r="N258" i="5"/>
  <c r="O258" i="5" s="1"/>
  <c r="T257" i="5"/>
  <c r="N257" i="5"/>
  <c r="O257" i="5" s="1"/>
  <c r="T256" i="5"/>
  <c r="N256" i="5"/>
  <c r="O256" i="5" s="1"/>
  <c r="T255" i="5"/>
  <c r="N255" i="5"/>
  <c r="O255" i="5" s="1"/>
  <c r="T254" i="5"/>
  <c r="N254" i="5"/>
  <c r="O254" i="5" s="1"/>
  <c r="T252" i="5"/>
  <c r="N252" i="5"/>
  <c r="P252" i="5" s="1"/>
  <c r="T251" i="5"/>
  <c r="N251" i="5"/>
  <c r="P251" i="5" s="1"/>
  <c r="T250" i="5"/>
  <c r="N250" i="5"/>
  <c r="P250" i="5" s="1"/>
  <c r="T249" i="5"/>
  <c r="N249" i="5"/>
  <c r="P249" i="5" s="1"/>
  <c r="T248" i="5"/>
  <c r="N248" i="5"/>
  <c r="P248" i="5" s="1"/>
  <c r="T247" i="5"/>
  <c r="N247" i="5"/>
  <c r="P247" i="5" s="1"/>
  <c r="T246" i="5"/>
  <c r="N246" i="5"/>
  <c r="P246" i="5" s="1"/>
  <c r="T245" i="5"/>
  <c r="N245" i="5"/>
  <c r="O245" i="5" s="1"/>
  <c r="T244" i="5"/>
  <c r="N244" i="5"/>
  <c r="P244" i="5" s="1"/>
  <c r="T243" i="5"/>
  <c r="N243" i="5"/>
  <c r="O243" i="5" s="1"/>
  <c r="T242" i="5"/>
  <c r="N242" i="5"/>
  <c r="O242" i="5" s="1"/>
  <c r="T241" i="5"/>
  <c r="N241" i="5"/>
  <c r="P241" i="5" s="1"/>
  <c r="T240" i="5"/>
  <c r="N240" i="5"/>
  <c r="P240" i="5" s="1"/>
  <c r="T239" i="5"/>
  <c r="N239" i="5"/>
  <c r="O239" i="5" s="1"/>
  <c r="T238" i="5"/>
  <c r="N238" i="5"/>
  <c r="O238" i="5" s="1"/>
  <c r="T237" i="5"/>
  <c r="N237" i="5"/>
  <c r="O237" i="5" s="1"/>
  <c r="T236" i="5"/>
  <c r="N236" i="5"/>
  <c r="P236" i="5" s="1"/>
  <c r="T235" i="5"/>
  <c r="N235" i="5"/>
  <c r="P235" i="5" s="1"/>
  <c r="T234" i="5"/>
  <c r="N234" i="5"/>
  <c r="O234" i="5" s="1"/>
  <c r="T233" i="5"/>
  <c r="N233" i="5"/>
  <c r="P233" i="5" s="1"/>
  <c r="T232" i="5"/>
  <c r="N232" i="5"/>
  <c r="O232" i="5" s="1"/>
  <c r="T231" i="5"/>
  <c r="N231" i="5"/>
  <c r="O231" i="5" s="1"/>
  <c r="T230" i="5"/>
  <c r="N230" i="5"/>
  <c r="O230" i="5" s="1"/>
  <c r="T229" i="5"/>
  <c r="N229" i="5"/>
  <c r="O229" i="5" s="1"/>
  <c r="T228" i="5"/>
  <c r="N228" i="5"/>
  <c r="P228" i="5" s="1"/>
  <c r="T227" i="5"/>
  <c r="N227" i="5"/>
  <c r="O227" i="5" s="1"/>
  <c r="T226" i="5"/>
  <c r="N226" i="5"/>
  <c r="P226" i="5" s="1"/>
  <c r="T225" i="5"/>
  <c r="N225" i="5"/>
  <c r="O225" i="5" s="1"/>
  <c r="T224" i="5"/>
  <c r="N224" i="5"/>
  <c r="P224" i="5" s="1"/>
  <c r="T223" i="5"/>
  <c r="N223" i="5"/>
  <c r="P223" i="5" s="1"/>
  <c r="T222" i="5"/>
  <c r="N222" i="5"/>
  <c r="P222" i="5" s="1"/>
  <c r="T221" i="5"/>
  <c r="N221" i="5"/>
  <c r="O221" i="5" s="1"/>
  <c r="T220" i="5"/>
  <c r="N220" i="5"/>
  <c r="O220" i="5" s="1"/>
  <c r="T219" i="5"/>
  <c r="N219" i="5"/>
  <c r="O219" i="5" s="1"/>
  <c r="T218" i="5"/>
  <c r="N218" i="5"/>
  <c r="O218" i="5" s="1"/>
  <c r="T217" i="5"/>
  <c r="N217" i="5"/>
  <c r="O217" i="5" s="1"/>
  <c r="T216" i="5"/>
  <c r="N216" i="5"/>
  <c r="P216" i="5" s="1"/>
  <c r="T215" i="5"/>
  <c r="N215" i="5"/>
  <c r="O215" i="5" s="1"/>
  <c r="T214" i="5"/>
  <c r="N214" i="5"/>
  <c r="O214" i="5" s="1"/>
  <c r="T213" i="5"/>
  <c r="N213" i="5"/>
  <c r="P213" i="5" s="1"/>
  <c r="T212" i="5"/>
  <c r="N212" i="5"/>
  <c r="P212" i="5" s="1"/>
  <c r="T211" i="5"/>
  <c r="N211" i="5"/>
  <c r="P211" i="5" s="1"/>
  <c r="T210" i="5"/>
  <c r="N210" i="5"/>
  <c r="O210" i="5" s="1"/>
  <c r="T209" i="5"/>
  <c r="N209" i="5"/>
  <c r="O209" i="5" s="1"/>
  <c r="T208" i="5"/>
  <c r="N208" i="5"/>
  <c r="P208" i="5" s="1"/>
  <c r="T207" i="5"/>
  <c r="N207" i="5"/>
  <c r="O207" i="5" s="1"/>
  <c r="T206" i="5"/>
  <c r="N206" i="5"/>
  <c r="O206" i="5" s="1"/>
  <c r="T205" i="5"/>
  <c r="N205" i="5"/>
  <c r="O205" i="5" s="1"/>
  <c r="P315" i="5" l="1"/>
  <c r="O262" i="5"/>
  <c r="P313" i="5"/>
  <c r="P306" i="5"/>
  <c r="P297" i="5"/>
  <c r="O316" i="5"/>
  <c r="O314" i="5"/>
  <c r="P309" i="5"/>
  <c r="O275" i="5"/>
  <c r="P261" i="5"/>
  <c r="O270" i="5"/>
  <c r="R215" i="7"/>
  <c r="Q204" i="7"/>
  <c r="R209" i="7"/>
  <c r="R207" i="7"/>
  <c r="Q210" i="7"/>
  <c r="Q229" i="7"/>
  <c r="R234" i="7"/>
  <c r="Q205" i="7"/>
  <c r="Q206" i="7"/>
  <c r="Q217" i="7"/>
  <c r="R222" i="7"/>
  <c r="Q198" i="7"/>
  <c r="Q203" i="7"/>
  <c r="Q208" i="7"/>
  <c r="R212" i="7"/>
  <c r="R200" i="7"/>
  <c r="Q214" i="7"/>
  <c r="Q226" i="7"/>
  <c r="R233" i="7"/>
  <c r="Q211" i="7"/>
  <c r="R216" i="7"/>
  <c r="Q235" i="7"/>
  <c r="R199" i="7"/>
  <c r="Q213" i="7"/>
  <c r="R218" i="7"/>
  <c r="Q225" i="7"/>
  <c r="R230" i="7"/>
  <c r="Q224" i="7"/>
  <c r="Q219" i="7"/>
  <c r="Q223" i="7"/>
  <c r="R228" i="7"/>
  <c r="Q201" i="7"/>
  <c r="Q220" i="7"/>
  <c r="Q232" i="7"/>
  <c r="Q231" i="7"/>
  <c r="Q221" i="7"/>
  <c r="R202" i="7"/>
  <c r="Q227" i="7"/>
  <c r="O287" i="5"/>
  <c r="O276" i="5"/>
  <c r="P292" i="5"/>
  <c r="O290" i="5"/>
  <c r="P308" i="5"/>
  <c r="P263" i="5"/>
  <c r="O278" i="5"/>
  <c r="P295" i="5"/>
  <c r="P267" i="5"/>
  <c r="P280" i="5"/>
  <c r="O303" i="5"/>
  <c r="O284" i="5"/>
  <c r="O286" i="5"/>
  <c r="P291" i="5"/>
  <c r="O281" i="5"/>
  <c r="O288" i="5"/>
  <c r="P293" i="5"/>
  <c r="O304" i="5"/>
  <c r="O283" i="5"/>
  <c r="O282" i="5"/>
  <c r="O289" i="5"/>
  <c r="P279" i="5"/>
  <c r="P318" i="5"/>
  <c r="P307" i="5"/>
  <c r="P296" i="5"/>
  <c r="P269" i="5"/>
  <c r="P266" i="5"/>
  <c r="O285" i="5"/>
  <c r="O310" i="5"/>
  <c r="P238" i="5"/>
  <c r="P311" i="5"/>
  <c r="P299" i="5"/>
  <c r="P271" i="5"/>
  <c r="P312" i="5"/>
  <c r="P300" i="5"/>
  <c r="P272" i="5"/>
  <c r="P260" i="5"/>
  <c r="P317" i="5"/>
  <c r="P305" i="5"/>
  <c r="P277" i="5"/>
  <c r="P265" i="5"/>
  <c r="P220" i="5"/>
  <c r="P257" i="5"/>
  <c r="P225" i="5"/>
  <c r="P243" i="5"/>
  <c r="P207" i="5"/>
  <c r="O250" i="5"/>
  <c r="P214" i="5"/>
  <c r="P219" i="5"/>
  <c r="P232" i="5"/>
  <c r="P237" i="5"/>
  <c r="P256" i="5"/>
  <c r="P206" i="5"/>
  <c r="P242" i="5"/>
  <c r="P230" i="5"/>
  <c r="O208" i="5"/>
  <c r="O213" i="5"/>
  <c r="O226" i="5"/>
  <c r="O244" i="5"/>
  <c r="O249" i="5"/>
  <c r="P231" i="5"/>
  <c r="P218" i="5"/>
  <c r="P255" i="5"/>
  <c r="O222" i="5"/>
  <c r="O246" i="5"/>
  <c r="O241" i="5"/>
  <c r="P259" i="5"/>
  <c r="P205" i="5"/>
  <c r="O212" i="5"/>
  <c r="P217" i="5"/>
  <c r="O224" i="5"/>
  <c r="P229" i="5"/>
  <c r="O236" i="5"/>
  <c r="O248" i="5"/>
  <c r="P254" i="5"/>
  <c r="P210" i="5"/>
  <c r="O233" i="5"/>
  <c r="O216" i="5"/>
  <c r="P221" i="5"/>
  <c r="O228" i="5"/>
  <c r="O240" i="5"/>
  <c r="P245" i="5"/>
  <c r="O252" i="5"/>
  <c r="P258" i="5"/>
  <c r="O251" i="5"/>
  <c r="P215" i="5"/>
  <c r="P239" i="5"/>
  <c r="P234" i="5"/>
  <c r="O211" i="5"/>
  <c r="O223" i="5"/>
  <c r="O235" i="5"/>
  <c r="O247" i="5"/>
  <c r="P227" i="5"/>
  <c r="P209" i="5"/>
  <c r="V242" i="7"/>
  <c r="P242" i="7"/>
  <c r="Q242" i="7" s="1"/>
  <c r="V241" i="7"/>
  <c r="P241" i="7"/>
  <c r="Q241" i="7" s="1"/>
  <c r="J250" i="6"/>
  <c r="J249" i="6"/>
  <c r="P189" i="7"/>
  <c r="Q189" i="7" s="1"/>
  <c r="V189" i="7"/>
  <c r="P190" i="7"/>
  <c r="V190" i="7"/>
  <c r="P191" i="7"/>
  <c r="Q191" i="7" s="1"/>
  <c r="V191" i="7"/>
  <c r="P192" i="7"/>
  <c r="Q192" i="7" s="1"/>
  <c r="V192" i="7"/>
  <c r="P193" i="7"/>
  <c r="Q193" i="7" s="1"/>
  <c r="V193" i="7"/>
  <c r="P194" i="7"/>
  <c r="V194" i="7"/>
  <c r="P195" i="7"/>
  <c r="Q195" i="7" s="1"/>
  <c r="V195" i="7"/>
  <c r="P196" i="7"/>
  <c r="Q196" i="7" s="1"/>
  <c r="V196" i="7"/>
  <c r="P197" i="7"/>
  <c r="Q197" i="7" s="1"/>
  <c r="V197" i="7"/>
  <c r="P236" i="7"/>
  <c r="V236" i="7"/>
  <c r="P237" i="7"/>
  <c r="Q237" i="7" s="1"/>
  <c r="V237" i="7"/>
  <c r="P238" i="7"/>
  <c r="Q238" i="7" s="1"/>
  <c r="V238" i="7"/>
  <c r="P239" i="7"/>
  <c r="Q239" i="7" s="1"/>
  <c r="V239" i="7"/>
  <c r="P240" i="7"/>
  <c r="V240" i="7"/>
  <c r="P243" i="7"/>
  <c r="Q243" i="7" s="1"/>
  <c r="V243" i="7"/>
  <c r="P244" i="7"/>
  <c r="Q244" i="7" s="1"/>
  <c r="V244" i="7"/>
  <c r="P295" i="7"/>
  <c r="Q295" i="7" s="1"/>
  <c r="V295" i="7"/>
  <c r="P296" i="7"/>
  <c r="V296" i="7"/>
  <c r="P297" i="7"/>
  <c r="R297" i="7" s="1"/>
  <c r="V297" i="7"/>
  <c r="P298" i="7"/>
  <c r="R298" i="7" s="1"/>
  <c r="V298" i="7"/>
  <c r="P299" i="7"/>
  <c r="Q299" i="7" s="1"/>
  <c r="V299" i="7"/>
  <c r="P300" i="7"/>
  <c r="V300" i="7"/>
  <c r="P301" i="7"/>
  <c r="R301" i="7" s="1"/>
  <c r="V301" i="7"/>
  <c r="P302" i="7"/>
  <c r="Q302" i="7" s="1"/>
  <c r="V302" i="7"/>
  <c r="Z10" i="5"/>
  <c r="Z9" i="5"/>
  <c r="V303" i="7"/>
  <c r="P303" i="7"/>
  <c r="R303" i="7" s="1"/>
  <c r="V294" i="7"/>
  <c r="P294" i="7"/>
  <c r="Q294" i="7" s="1"/>
  <c r="V293" i="7"/>
  <c r="P293" i="7"/>
  <c r="Q293" i="7" s="1"/>
  <c r="V292" i="7"/>
  <c r="P292" i="7"/>
  <c r="R292" i="7" s="1"/>
  <c r="V291" i="7"/>
  <c r="P291" i="7"/>
  <c r="R291" i="7" s="1"/>
  <c r="V290" i="7"/>
  <c r="P290" i="7"/>
  <c r="Q290" i="7" s="1"/>
  <c r="V289" i="7"/>
  <c r="P289" i="7"/>
  <c r="R289" i="7" s="1"/>
  <c r="J318" i="6"/>
  <c r="J317" i="6"/>
  <c r="H12" i="6"/>
  <c r="R242" i="7" l="1"/>
  <c r="R241" i="7"/>
  <c r="R302" i="7"/>
  <c r="R299" i="7"/>
  <c r="R295" i="7"/>
  <c r="R237" i="7"/>
  <c r="R238" i="7"/>
  <c r="Q298" i="7"/>
  <c r="R243" i="7"/>
  <c r="R244" i="7"/>
  <c r="R191" i="7"/>
  <c r="R195" i="7"/>
  <c r="R192" i="7"/>
  <c r="Q301" i="7"/>
  <c r="Q297" i="7"/>
  <c r="R196" i="7"/>
  <c r="Q236" i="7"/>
  <c r="R236" i="7"/>
  <c r="Q190" i="7"/>
  <c r="R190" i="7"/>
  <c r="Q240" i="7"/>
  <c r="R240" i="7"/>
  <c r="Q194" i="7"/>
  <c r="R194" i="7"/>
  <c r="R239" i="7"/>
  <c r="R197" i="7"/>
  <c r="R193" i="7"/>
  <c r="R189" i="7"/>
  <c r="Q300" i="7"/>
  <c r="R300" i="7"/>
  <c r="Q296" i="7"/>
  <c r="R296" i="7"/>
  <c r="R293" i="7"/>
  <c r="Q303" i="7"/>
  <c r="R290" i="7"/>
  <c r="Q289" i="7"/>
  <c r="R294" i="7"/>
  <c r="Q292" i="7"/>
  <c r="Q291" i="7"/>
  <c r="J319" i="6"/>
  <c r="V288" i="7" l="1"/>
  <c r="P288" i="7"/>
  <c r="Q288" i="7" s="1"/>
  <c r="V287" i="7"/>
  <c r="P287" i="7"/>
  <c r="R287" i="7" s="1"/>
  <c r="V286" i="7"/>
  <c r="P286" i="7"/>
  <c r="R286" i="7" s="1"/>
  <c r="V285" i="7"/>
  <c r="P285" i="7"/>
  <c r="V284" i="7"/>
  <c r="P284" i="7"/>
  <c r="Q284" i="7" s="1"/>
  <c r="V283" i="7"/>
  <c r="P283" i="7"/>
  <c r="R283" i="7" s="1"/>
  <c r="V282" i="7"/>
  <c r="P282" i="7"/>
  <c r="R282" i="7" s="1"/>
  <c r="V281" i="7"/>
  <c r="P281" i="7"/>
  <c r="V280" i="7"/>
  <c r="P280" i="7"/>
  <c r="Q280" i="7" s="1"/>
  <c r="V279" i="7"/>
  <c r="P279" i="7"/>
  <c r="Q279" i="7" s="1"/>
  <c r="V278" i="7"/>
  <c r="P278" i="7"/>
  <c r="R278" i="7" s="1"/>
  <c r="V277" i="7"/>
  <c r="P277" i="7"/>
  <c r="V276" i="7"/>
  <c r="P276" i="7"/>
  <c r="Q276" i="7" s="1"/>
  <c r="V275" i="7"/>
  <c r="P275" i="7"/>
  <c r="Q275" i="7" s="1"/>
  <c r="V274" i="7"/>
  <c r="P274" i="7"/>
  <c r="R274" i="7" s="1"/>
  <c r="V273" i="7"/>
  <c r="P273" i="7"/>
  <c r="V272" i="7"/>
  <c r="P272" i="7"/>
  <c r="V271" i="7"/>
  <c r="P271" i="7"/>
  <c r="Q271" i="7" s="1"/>
  <c r="V270" i="7"/>
  <c r="P270" i="7"/>
  <c r="R270" i="7" s="1"/>
  <c r="V269" i="7"/>
  <c r="P269" i="7"/>
  <c r="R269" i="7" s="1"/>
  <c r="V268" i="7"/>
  <c r="P268" i="7"/>
  <c r="V267" i="7"/>
  <c r="P267" i="7"/>
  <c r="Q267" i="7" s="1"/>
  <c r="V266" i="7"/>
  <c r="P266" i="7"/>
  <c r="Q266" i="7" s="1"/>
  <c r="V265" i="7"/>
  <c r="P265" i="7"/>
  <c r="R265" i="7" s="1"/>
  <c r="V264" i="7"/>
  <c r="P264" i="7"/>
  <c r="V263" i="7"/>
  <c r="P263" i="7"/>
  <c r="Q263" i="7" s="1"/>
  <c r="V262" i="7"/>
  <c r="P262" i="7"/>
  <c r="R262" i="7" s="1"/>
  <c r="V261" i="7"/>
  <c r="P261" i="7"/>
  <c r="R261" i="7" s="1"/>
  <c r="V260" i="7"/>
  <c r="P260" i="7"/>
  <c r="V259" i="7"/>
  <c r="P259" i="7"/>
  <c r="Q259" i="7" s="1"/>
  <c r="V258" i="7"/>
  <c r="P258" i="7"/>
  <c r="R258" i="7" s="1"/>
  <c r="V257" i="7"/>
  <c r="P257" i="7"/>
  <c r="R257" i="7" s="1"/>
  <c r="V256" i="7"/>
  <c r="P256" i="7"/>
  <c r="V255" i="7"/>
  <c r="P255" i="7"/>
  <c r="Q255" i="7" s="1"/>
  <c r="V254" i="7"/>
  <c r="P254" i="7"/>
  <c r="R254" i="7" s="1"/>
  <c r="V253" i="7"/>
  <c r="P253" i="7"/>
  <c r="R253" i="7" s="1"/>
  <c r="V252" i="7"/>
  <c r="P252" i="7"/>
  <c r="V251" i="7"/>
  <c r="P251" i="7"/>
  <c r="Q251" i="7" s="1"/>
  <c r="V250" i="7"/>
  <c r="P250" i="7"/>
  <c r="R250" i="7" s="1"/>
  <c r="V249" i="7"/>
  <c r="P249" i="7"/>
  <c r="R249" i="7" s="1"/>
  <c r="V248" i="7"/>
  <c r="P248" i="7"/>
  <c r="V247" i="7"/>
  <c r="P247" i="7"/>
  <c r="Q247" i="7" s="1"/>
  <c r="V246" i="7"/>
  <c r="P246" i="7"/>
  <c r="R246" i="7" s="1"/>
  <c r="V188" i="7"/>
  <c r="P188" i="7"/>
  <c r="V187" i="7"/>
  <c r="P187" i="7"/>
  <c r="Q187" i="7" s="1"/>
  <c r="V186" i="7"/>
  <c r="P186" i="7"/>
  <c r="Q186" i="7" s="1"/>
  <c r="V185" i="7"/>
  <c r="P185" i="7"/>
  <c r="R185" i="7" s="1"/>
  <c r="V184" i="7"/>
  <c r="P184" i="7"/>
  <c r="V183" i="7"/>
  <c r="P183" i="7"/>
  <c r="Q183" i="7" s="1"/>
  <c r="V182" i="7"/>
  <c r="P182" i="7"/>
  <c r="V181" i="7"/>
  <c r="P181" i="7"/>
  <c r="V180" i="7"/>
  <c r="P180" i="7"/>
  <c r="Q180" i="7" s="1"/>
  <c r="V179" i="7"/>
  <c r="P179" i="7"/>
  <c r="Q179" i="7" s="1"/>
  <c r="V178" i="7"/>
  <c r="P178" i="7"/>
  <c r="Q178" i="7" s="1"/>
  <c r="V177" i="7"/>
  <c r="P177" i="7"/>
  <c r="R177" i="7" s="1"/>
  <c r="V176" i="7"/>
  <c r="P176" i="7"/>
  <c r="Q176" i="7" s="1"/>
  <c r="V175" i="7"/>
  <c r="P175" i="7"/>
  <c r="R175" i="7" s="1"/>
  <c r="V174" i="7"/>
  <c r="P174" i="7"/>
  <c r="R174" i="7" s="1"/>
  <c r="V173" i="7"/>
  <c r="P173" i="7"/>
  <c r="V172" i="7"/>
  <c r="P172" i="7"/>
  <c r="Q172" i="7" s="1"/>
  <c r="V171" i="7"/>
  <c r="P171" i="7"/>
  <c r="R171" i="7" s="1"/>
  <c r="V170" i="7"/>
  <c r="P170" i="7"/>
  <c r="V169" i="7"/>
  <c r="P169" i="7"/>
  <c r="R169" i="7" s="1"/>
  <c r="V168" i="7"/>
  <c r="P168" i="7"/>
  <c r="V167" i="7"/>
  <c r="P167" i="7"/>
  <c r="V166" i="7"/>
  <c r="P166" i="7"/>
  <c r="Q166" i="7" s="1"/>
  <c r="V164" i="7"/>
  <c r="P164" i="7"/>
  <c r="V163" i="7"/>
  <c r="P163" i="7"/>
  <c r="V162" i="7"/>
  <c r="P162" i="7"/>
  <c r="R162" i="7" s="1"/>
  <c r="V161" i="7"/>
  <c r="P161" i="7"/>
  <c r="R161" i="7" s="1"/>
  <c r="V160" i="7"/>
  <c r="P160" i="7"/>
  <c r="V159" i="7"/>
  <c r="P159" i="7"/>
  <c r="V158" i="7"/>
  <c r="P158" i="7"/>
  <c r="V157" i="7"/>
  <c r="P157" i="7"/>
  <c r="V156" i="7"/>
  <c r="P156" i="7"/>
  <c r="Q156" i="7" s="1"/>
  <c r="V155" i="7"/>
  <c r="P155" i="7"/>
  <c r="R155" i="7" s="1"/>
  <c r="V154" i="7"/>
  <c r="P154" i="7"/>
  <c r="R154" i="7" s="1"/>
  <c r="V153" i="7"/>
  <c r="P153" i="7"/>
  <c r="R153" i="7" s="1"/>
  <c r="V152" i="7"/>
  <c r="P152" i="7"/>
  <c r="V151" i="7"/>
  <c r="P151" i="7"/>
  <c r="R151" i="7" s="1"/>
  <c r="V150" i="7"/>
  <c r="P150" i="7"/>
  <c r="V149" i="7"/>
  <c r="P149" i="7"/>
  <c r="R149" i="7" s="1"/>
  <c r="V148" i="7"/>
  <c r="P148" i="7"/>
  <c r="Q148" i="7" s="1"/>
  <c r="V147" i="7"/>
  <c r="P147" i="7"/>
  <c r="V146" i="7"/>
  <c r="P146" i="7"/>
  <c r="R146" i="7" s="1"/>
  <c r="V145" i="7"/>
  <c r="P145" i="7"/>
  <c r="R145" i="7" s="1"/>
  <c r="V144" i="7"/>
  <c r="P144" i="7"/>
  <c r="V143" i="7"/>
  <c r="P143" i="7"/>
  <c r="V142" i="7"/>
  <c r="P142" i="7"/>
  <c r="V141" i="7"/>
  <c r="P141" i="7"/>
  <c r="V140" i="7"/>
  <c r="P140" i="7"/>
  <c r="Q140" i="7" s="1"/>
  <c r="V139" i="7"/>
  <c r="P139" i="7"/>
  <c r="R139" i="7" s="1"/>
  <c r="V138" i="7"/>
  <c r="P138" i="7"/>
  <c r="R138" i="7" s="1"/>
  <c r="V137" i="7"/>
  <c r="P137" i="7"/>
  <c r="R137" i="7" s="1"/>
  <c r="V136" i="7"/>
  <c r="P136" i="7"/>
  <c r="V135" i="7"/>
  <c r="P135" i="7"/>
  <c r="V134" i="7"/>
  <c r="P134" i="7"/>
  <c r="V133" i="7"/>
  <c r="P133" i="7"/>
  <c r="R133" i="7" s="1"/>
  <c r="V132" i="7"/>
  <c r="P132" i="7"/>
  <c r="V131" i="7"/>
  <c r="P131" i="7"/>
  <c r="V130" i="7"/>
  <c r="P130" i="7"/>
  <c r="V129" i="7"/>
  <c r="P129" i="7"/>
  <c r="R129" i="7" s="1"/>
  <c r="V128" i="7"/>
  <c r="P128" i="7"/>
  <c r="V127" i="7"/>
  <c r="P127" i="7"/>
  <c r="Q127" i="7" s="1"/>
  <c r="V126" i="7"/>
  <c r="P126" i="7"/>
  <c r="R126" i="7" s="1"/>
  <c r="V125" i="7"/>
  <c r="P125" i="7"/>
  <c r="V124" i="7"/>
  <c r="P124" i="7"/>
  <c r="R124" i="7" s="1"/>
  <c r="V123" i="7"/>
  <c r="P123" i="7"/>
  <c r="R123" i="7" s="1"/>
  <c r="V122" i="7"/>
  <c r="P122" i="7"/>
  <c r="R122" i="7" s="1"/>
  <c r="V121" i="7"/>
  <c r="P121" i="7"/>
  <c r="V120" i="7"/>
  <c r="P120" i="7"/>
  <c r="R120" i="7" s="1"/>
  <c r="V119" i="7"/>
  <c r="P119" i="7"/>
  <c r="R119" i="7" s="1"/>
  <c r="V118" i="7"/>
  <c r="P118" i="7"/>
  <c r="R118" i="7" s="1"/>
  <c r="A17" i="7"/>
  <c r="A17" i="6"/>
  <c r="J316" i="6"/>
  <c r="J315" i="6"/>
  <c r="J314" i="6"/>
  <c r="J313" i="6"/>
  <c r="J312" i="6"/>
  <c r="J311" i="6"/>
  <c r="J310" i="6"/>
  <c r="J309" i="6"/>
  <c r="J308" i="6"/>
  <c r="J307" i="6"/>
  <c r="J306" i="6"/>
  <c r="J305" i="6"/>
  <c r="J304" i="6"/>
  <c r="J303" i="6"/>
  <c r="J302" i="6"/>
  <c r="J301" i="6"/>
  <c r="J300" i="6"/>
  <c r="J299" i="6"/>
  <c r="J298" i="6"/>
  <c r="J288" i="6"/>
  <c r="J287" i="6"/>
  <c r="J286" i="6"/>
  <c r="J285" i="6"/>
  <c r="J284" i="6"/>
  <c r="J283" i="6"/>
  <c r="J282" i="6"/>
  <c r="J281" i="6"/>
  <c r="J280" i="6"/>
  <c r="J279" i="6"/>
  <c r="J278" i="6"/>
  <c r="J277" i="6"/>
  <c r="J276" i="6"/>
  <c r="J275" i="6"/>
  <c r="J274" i="6"/>
  <c r="J273" i="6"/>
  <c r="J272" i="6"/>
  <c r="J271" i="6"/>
  <c r="J270" i="6"/>
  <c r="J269" i="6"/>
  <c r="J268" i="6"/>
  <c r="J267" i="6"/>
  <c r="J266" i="6"/>
  <c r="J265" i="6"/>
  <c r="J264" i="6"/>
  <c r="J263" i="6"/>
  <c r="J262" i="6"/>
  <c r="J261" i="6"/>
  <c r="J260" i="6"/>
  <c r="J259" i="6"/>
  <c r="J258" i="6"/>
  <c r="J257" i="6"/>
  <c r="J256" i="6"/>
  <c r="J255" i="6"/>
  <c r="J254" i="6"/>
  <c r="J252" i="6"/>
  <c r="J251" i="6"/>
  <c r="J248" i="6"/>
  <c r="J247" i="6"/>
  <c r="J246" i="6"/>
  <c r="J245" i="6"/>
  <c r="J244" i="6"/>
  <c r="J243" i="6"/>
  <c r="J242" i="6"/>
  <c r="J241" i="6"/>
  <c r="J240" i="6"/>
  <c r="J239" i="6"/>
  <c r="J238" i="6"/>
  <c r="J237" i="6"/>
  <c r="J236" i="6"/>
  <c r="J235" i="6"/>
  <c r="J225" i="6"/>
  <c r="J224" i="6"/>
  <c r="J223" i="6"/>
  <c r="J222" i="6"/>
  <c r="J221" i="6"/>
  <c r="J220" i="6"/>
  <c r="J219" i="6"/>
  <c r="J218" i="6"/>
  <c r="J217" i="6"/>
  <c r="J216" i="6"/>
  <c r="J215" i="6"/>
  <c r="J214" i="6"/>
  <c r="J170" i="6"/>
  <c r="J169" i="6"/>
  <c r="J168" i="6"/>
  <c r="J167" i="6"/>
  <c r="J166" i="6"/>
  <c r="J165" i="6"/>
  <c r="J164" i="6"/>
  <c r="J163" i="6"/>
  <c r="J162" i="6"/>
  <c r="J161" i="6"/>
  <c r="J160" i="6"/>
  <c r="J159" i="6"/>
  <c r="T319" i="5"/>
  <c r="N319" i="5"/>
  <c r="P319" i="5" s="1"/>
  <c r="T204" i="5"/>
  <c r="N204" i="5"/>
  <c r="T203" i="5"/>
  <c r="N203" i="5"/>
  <c r="T202" i="5"/>
  <c r="N202" i="5"/>
  <c r="O202" i="5" s="1"/>
  <c r="T201" i="5"/>
  <c r="N201" i="5"/>
  <c r="O201" i="5" s="1"/>
  <c r="T200" i="5"/>
  <c r="N200" i="5"/>
  <c r="P200" i="5" s="1"/>
  <c r="T199" i="5"/>
  <c r="N199" i="5"/>
  <c r="T198" i="5"/>
  <c r="N198" i="5"/>
  <c r="O198" i="5" s="1"/>
  <c r="T197" i="5"/>
  <c r="N197" i="5"/>
  <c r="P197" i="5" s="1"/>
  <c r="T196" i="5"/>
  <c r="N196" i="5"/>
  <c r="T195" i="5"/>
  <c r="N195" i="5"/>
  <c r="T194" i="5"/>
  <c r="N194" i="5"/>
  <c r="T192" i="5"/>
  <c r="N192" i="5"/>
  <c r="T191" i="5"/>
  <c r="N191" i="5"/>
  <c r="P191" i="5" s="1"/>
  <c r="T190" i="5"/>
  <c r="N190" i="5"/>
  <c r="O190" i="5" s="1"/>
  <c r="T189" i="5"/>
  <c r="N189" i="5"/>
  <c r="P189" i="5" s="1"/>
  <c r="T188" i="5"/>
  <c r="N188" i="5"/>
  <c r="T187" i="5"/>
  <c r="N187" i="5"/>
  <c r="P187" i="5" s="1"/>
  <c r="T186" i="5"/>
  <c r="N186" i="5"/>
  <c r="O186" i="5" s="1"/>
  <c r="T185" i="5"/>
  <c r="N185" i="5"/>
  <c r="O185" i="5" s="1"/>
  <c r="T184" i="5"/>
  <c r="N184" i="5"/>
  <c r="T183" i="5"/>
  <c r="N183" i="5"/>
  <c r="P183" i="5" s="1"/>
  <c r="T182" i="5"/>
  <c r="N182" i="5"/>
  <c r="O182" i="5" s="1"/>
  <c r="T181" i="5"/>
  <c r="N181" i="5"/>
  <c r="P181" i="5" s="1"/>
  <c r="T180" i="5"/>
  <c r="N180" i="5"/>
  <c r="P180" i="5" s="1"/>
  <c r="T179" i="5"/>
  <c r="N179" i="5"/>
  <c r="P179" i="5" s="1"/>
  <c r="T178" i="5"/>
  <c r="N178" i="5"/>
  <c r="O178" i="5" s="1"/>
  <c r="T177" i="5"/>
  <c r="N177" i="5"/>
  <c r="P177" i="5" s="1"/>
  <c r="T176" i="5"/>
  <c r="N176" i="5"/>
  <c r="P176" i="5" s="1"/>
  <c r="T175" i="5"/>
  <c r="N175" i="5"/>
  <c r="P175" i="5" s="1"/>
  <c r="T174" i="5"/>
  <c r="N174" i="5"/>
  <c r="O174" i="5" s="1"/>
  <c r="T173" i="5"/>
  <c r="N173" i="5"/>
  <c r="O173" i="5" s="1"/>
  <c r="T172" i="5"/>
  <c r="N172" i="5"/>
  <c r="P172" i="5" s="1"/>
  <c r="T171" i="5"/>
  <c r="N171" i="5"/>
  <c r="P171" i="5" s="1"/>
  <c r="T170" i="5"/>
  <c r="N170" i="5"/>
  <c r="O170" i="5" s="1"/>
  <c r="T169" i="5"/>
  <c r="N169" i="5"/>
  <c r="P169" i="5" s="1"/>
  <c r="T168" i="5"/>
  <c r="N168" i="5"/>
  <c r="P168" i="5" s="1"/>
  <c r="T167" i="5"/>
  <c r="N167" i="5"/>
  <c r="P167" i="5" s="1"/>
  <c r="T166" i="5"/>
  <c r="N166" i="5"/>
  <c r="O166" i="5" s="1"/>
  <c r="T165" i="5"/>
  <c r="N165" i="5"/>
  <c r="O165" i="5" s="1"/>
  <c r="T164" i="5"/>
  <c r="N164" i="5"/>
  <c r="P164" i="5" s="1"/>
  <c r="T163" i="5"/>
  <c r="N163" i="5"/>
  <c r="P163" i="5" s="1"/>
  <c r="T162" i="5"/>
  <c r="N162" i="5"/>
  <c r="O162" i="5" s="1"/>
  <c r="T161" i="5"/>
  <c r="N161" i="5"/>
  <c r="P161" i="5" s="1"/>
  <c r="T160" i="5"/>
  <c r="N160" i="5"/>
  <c r="P160" i="5" s="1"/>
  <c r="T159" i="5"/>
  <c r="N159" i="5"/>
  <c r="P159" i="5" s="1"/>
  <c r="T158" i="5"/>
  <c r="N158" i="5"/>
  <c r="O158" i="5" s="1"/>
  <c r="R275" i="7" l="1"/>
  <c r="Q283" i="7"/>
  <c r="R284" i="7"/>
  <c r="Q258" i="7"/>
  <c r="R279" i="7"/>
  <c r="R127" i="7"/>
  <c r="R259" i="7"/>
  <c r="R280" i="7"/>
  <c r="Q246" i="7"/>
  <c r="Q250" i="7"/>
  <c r="R247" i="7"/>
  <c r="Q262" i="7"/>
  <c r="R263" i="7"/>
  <c r="R266" i="7"/>
  <c r="R251" i="7"/>
  <c r="R267" i="7"/>
  <c r="Q177" i="7"/>
  <c r="Q254" i="7"/>
  <c r="R255" i="7"/>
  <c r="Q270" i="7"/>
  <c r="R271" i="7"/>
  <c r="Q287" i="7"/>
  <c r="R288" i="7"/>
  <c r="R276" i="7"/>
  <c r="Q282" i="7"/>
  <c r="R179" i="7"/>
  <c r="Q169" i="7"/>
  <c r="R178" i="7"/>
  <c r="R186" i="7"/>
  <c r="Q155" i="7"/>
  <c r="Q171" i="7"/>
  <c r="R172" i="7"/>
  <c r="R180" i="7"/>
  <c r="P185" i="5"/>
  <c r="Q145" i="7"/>
  <c r="Q154" i="7"/>
  <c r="Q174" i="7"/>
  <c r="R187" i="7"/>
  <c r="Q126" i="7"/>
  <c r="R140" i="7"/>
  <c r="Q149" i="7"/>
  <c r="R167" i="7"/>
  <c r="Q167" i="7"/>
  <c r="R183" i="7"/>
  <c r="Q133" i="7"/>
  <c r="R135" i="7"/>
  <c r="Q135" i="7"/>
  <c r="Q185" i="7"/>
  <c r="Q144" i="7"/>
  <c r="R144" i="7"/>
  <c r="R256" i="7"/>
  <c r="Q256" i="7"/>
  <c r="R272" i="7"/>
  <c r="Q272" i="7"/>
  <c r="Q129" i="7"/>
  <c r="Q151" i="7"/>
  <c r="R181" i="7"/>
  <c r="Q181" i="7"/>
  <c r="Q249" i="7"/>
  <c r="Q265" i="7"/>
  <c r="Q119" i="7"/>
  <c r="Q120" i="7"/>
  <c r="Q123" i="7"/>
  <c r="Q124" i="7"/>
  <c r="Q128" i="7"/>
  <c r="R128" i="7"/>
  <c r="Q138" i="7"/>
  <c r="R143" i="7"/>
  <c r="Q143" i="7"/>
  <c r="R156" i="7"/>
  <c r="R158" i="7"/>
  <c r="Q158" i="7"/>
  <c r="Q160" i="7"/>
  <c r="R160" i="7"/>
  <c r="Q175" i="7"/>
  <c r="R252" i="7"/>
  <c r="Q252" i="7"/>
  <c r="R260" i="7"/>
  <c r="Q260" i="7"/>
  <c r="R268" i="7"/>
  <c r="Q268" i="7"/>
  <c r="R142" i="7"/>
  <c r="Q142" i="7"/>
  <c r="R159" i="7"/>
  <c r="Q159" i="7"/>
  <c r="R248" i="7"/>
  <c r="Q248" i="7"/>
  <c r="R264" i="7"/>
  <c r="Q264" i="7"/>
  <c r="R281" i="7"/>
  <c r="Q281" i="7"/>
  <c r="R131" i="7"/>
  <c r="Q131" i="7"/>
  <c r="Q139" i="7"/>
  <c r="Q161" i="7"/>
  <c r="Q163" i="7"/>
  <c r="R163" i="7"/>
  <c r="R176" i="7"/>
  <c r="Q257" i="7"/>
  <c r="R147" i="7"/>
  <c r="Q147" i="7"/>
  <c r="Q253" i="7"/>
  <c r="Q261" i="7"/>
  <c r="Q269" i="7"/>
  <c r="R273" i="7"/>
  <c r="Q273" i="7"/>
  <c r="Q274" i="7"/>
  <c r="R277" i="7"/>
  <c r="Q277" i="7"/>
  <c r="R285" i="7"/>
  <c r="Q285" i="7"/>
  <c r="Q278" i="7"/>
  <c r="Q286" i="7"/>
  <c r="Q122" i="7"/>
  <c r="R134" i="7"/>
  <c r="Q134" i="7"/>
  <c r="R141" i="7"/>
  <c r="Q141" i="7"/>
  <c r="Q152" i="7"/>
  <c r="R152" i="7"/>
  <c r="Q182" i="7"/>
  <c r="R182" i="7"/>
  <c r="Q118" i="7"/>
  <c r="R130" i="7"/>
  <c r="Q130" i="7"/>
  <c r="Q132" i="7"/>
  <c r="R132" i="7"/>
  <c r="Q150" i="7"/>
  <c r="R150" i="7"/>
  <c r="R157" i="7"/>
  <c r="Q157" i="7"/>
  <c r="R170" i="7"/>
  <c r="Q170" i="7"/>
  <c r="Q188" i="7"/>
  <c r="R188" i="7"/>
  <c r="R125" i="7"/>
  <c r="Q125" i="7"/>
  <c r="R164" i="7"/>
  <c r="Q164" i="7"/>
  <c r="R121" i="7"/>
  <c r="Q121" i="7"/>
  <c r="Q136" i="7"/>
  <c r="R136" i="7"/>
  <c r="Q137" i="7"/>
  <c r="Q146" i="7"/>
  <c r="R148" i="7"/>
  <c r="Q153" i="7"/>
  <c r="Q162" i="7"/>
  <c r="R166" i="7"/>
  <c r="R173" i="7"/>
  <c r="Q173" i="7"/>
  <c r="Q184" i="7"/>
  <c r="R184" i="7"/>
  <c r="Q168" i="7"/>
  <c r="R168" i="7"/>
  <c r="P158" i="5"/>
  <c r="P173" i="5"/>
  <c r="O169" i="5"/>
  <c r="P170" i="5"/>
  <c r="O181" i="5"/>
  <c r="P182" i="5"/>
  <c r="P201" i="5"/>
  <c r="O319" i="5"/>
  <c r="P198" i="5"/>
  <c r="P166" i="5"/>
  <c r="O175" i="5"/>
  <c r="O191" i="5"/>
  <c r="O197" i="5"/>
  <c r="O161" i="5"/>
  <c r="P162" i="5"/>
  <c r="P165" i="5"/>
  <c r="O177" i="5"/>
  <c r="O189" i="5"/>
  <c r="P190" i="5"/>
  <c r="O194" i="5"/>
  <c r="P194" i="5"/>
  <c r="P186" i="5"/>
  <c r="P202" i="5"/>
  <c r="O164" i="5"/>
  <c r="O168" i="5"/>
  <c r="O172" i="5"/>
  <c r="O180" i="5"/>
  <c r="P184" i="5"/>
  <c r="O184" i="5"/>
  <c r="P195" i="5"/>
  <c r="O195" i="5"/>
  <c r="P204" i="5"/>
  <c r="O204" i="5"/>
  <c r="O163" i="5"/>
  <c r="O167" i="5"/>
  <c r="O171" i="5"/>
  <c r="O176" i="5"/>
  <c r="P178" i="5"/>
  <c r="P192" i="5"/>
  <c r="O192" i="5"/>
  <c r="O160" i="5"/>
  <c r="O159" i="5"/>
  <c r="P174" i="5"/>
  <c r="O179" i="5"/>
  <c r="P188" i="5"/>
  <c r="O188" i="5"/>
  <c r="P196" i="5"/>
  <c r="O196" i="5"/>
  <c r="P203" i="5"/>
  <c r="O203" i="5"/>
  <c r="O183" i="5"/>
  <c r="O187" i="5"/>
  <c r="P199" i="5"/>
  <c r="O199" i="5"/>
  <c r="O200" i="5"/>
  <c r="J131" i="6" l="1"/>
  <c r="J130" i="6"/>
  <c r="J129" i="6"/>
  <c r="J128" i="6"/>
  <c r="J127" i="6"/>
  <c r="J126" i="6"/>
  <c r="J125" i="6"/>
  <c r="J124" i="6"/>
  <c r="J123" i="6"/>
  <c r="J122" i="6"/>
  <c r="J121" i="6"/>
  <c r="J120" i="6"/>
  <c r="J119" i="6"/>
  <c r="J118" i="6"/>
  <c r="J117" i="6"/>
  <c r="J116" i="6"/>
  <c r="J115" i="6"/>
  <c r="J114" i="6"/>
  <c r="J113" i="6"/>
  <c r="J112" i="6"/>
  <c r="J111" i="6"/>
  <c r="J110" i="6"/>
  <c r="J109" i="6"/>
  <c r="J108" i="6"/>
  <c r="J107" i="6"/>
  <c r="J106" i="6"/>
  <c r="J105" i="6"/>
  <c r="J104" i="6"/>
  <c r="J103" i="6"/>
  <c r="J102" i="6"/>
  <c r="J101" i="6"/>
  <c r="J100" i="6"/>
  <c r="J99" i="6"/>
  <c r="J98" i="6"/>
  <c r="T156" i="5"/>
  <c r="N156" i="5"/>
  <c r="O156" i="5" s="1"/>
  <c r="T155" i="5"/>
  <c r="N155" i="5"/>
  <c r="P155" i="5" s="1"/>
  <c r="T154" i="5"/>
  <c r="N154" i="5"/>
  <c r="P154" i="5" s="1"/>
  <c r="T153" i="5"/>
  <c r="N153" i="5"/>
  <c r="P153" i="5" s="1"/>
  <c r="T152" i="5"/>
  <c r="N152" i="5"/>
  <c r="O152" i="5" s="1"/>
  <c r="T151" i="5"/>
  <c r="N151" i="5"/>
  <c r="P151" i="5" s="1"/>
  <c r="T150" i="5"/>
  <c r="N150" i="5"/>
  <c r="P150" i="5" s="1"/>
  <c r="T149" i="5"/>
  <c r="N149" i="5"/>
  <c r="P149" i="5" s="1"/>
  <c r="T148" i="5"/>
  <c r="N148" i="5"/>
  <c r="O148" i="5" s="1"/>
  <c r="T147" i="5"/>
  <c r="N147" i="5"/>
  <c r="P147" i="5" s="1"/>
  <c r="T146" i="5"/>
  <c r="N146" i="5"/>
  <c r="P146" i="5" s="1"/>
  <c r="T145" i="5"/>
  <c r="N145" i="5"/>
  <c r="P145" i="5" s="1"/>
  <c r="T144" i="5"/>
  <c r="N144" i="5"/>
  <c r="O144" i="5" s="1"/>
  <c r="T143" i="5"/>
  <c r="N143" i="5"/>
  <c r="P143" i="5" s="1"/>
  <c r="T142" i="5"/>
  <c r="N142" i="5"/>
  <c r="P142" i="5" s="1"/>
  <c r="T141" i="5"/>
  <c r="N141" i="5"/>
  <c r="P141" i="5" s="1"/>
  <c r="T140" i="5"/>
  <c r="N140" i="5"/>
  <c r="O140" i="5" s="1"/>
  <c r="T139" i="5"/>
  <c r="N139" i="5"/>
  <c r="P139" i="5" s="1"/>
  <c r="T138" i="5"/>
  <c r="N138" i="5"/>
  <c r="P138" i="5" s="1"/>
  <c r="T137" i="5"/>
  <c r="N137" i="5"/>
  <c r="P137" i="5" s="1"/>
  <c r="T136" i="5"/>
  <c r="N136" i="5"/>
  <c r="O136" i="5" s="1"/>
  <c r="T135" i="5"/>
  <c r="N135" i="5"/>
  <c r="P135" i="5" s="1"/>
  <c r="T134" i="5"/>
  <c r="N134" i="5"/>
  <c r="P134" i="5" s="1"/>
  <c r="T133" i="5"/>
  <c r="N133" i="5"/>
  <c r="P133" i="5" s="1"/>
  <c r="T132" i="5"/>
  <c r="N132" i="5"/>
  <c r="O132" i="5" s="1"/>
  <c r="T131" i="5"/>
  <c r="N131" i="5"/>
  <c r="P131" i="5" s="1"/>
  <c r="T130" i="5"/>
  <c r="N130" i="5"/>
  <c r="P130" i="5" s="1"/>
  <c r="T129" i="5"/>
  <c r="N129" i="5"/>
  <c r="P129" i="5" s="1"/>
  <c r="T128" i="5"/>
  <c r="N128" i="5"/>
  <c r="O128" i="5" s="1"/>
  <c r="T127" i="5"/>
  <c r="N127" i="5"/>
  <c r="P127" i="5" s="1"/>
  <c r="T126" i="5"/>
  <c r="N126" i="5"/>
  <c r="P126" i="5" s="1"/>
  <c r="T125" i="5"/>
  <c r="N125" i="5"/>
  <c r="P125" i="5" s="1"/>
  <c r="T124" i="5"/>
  <c r="N124" i="5"/>
  <c r="O124" i="5" s="1"/>
  <c r="T123" i="5"/>
  <c r="N123" i="5"/>
  <c r="P123" i="5" s="1"/>
  <c r="P148" i="5" l="1"/>
  <c r="P156" i="5"/>
  <c r="P132" i="5"/>
  <c r="P124" i="5"/>
  <c r="P140" i="5"/>
  <c r="P128" i="5"/>
  <c r="P144" i="5"/>
  <c r="P136" i="5"/>
  <c r="P152" i="5"/>
  <c r="O123" i="5"/>
  <c r="O131" i="5"/>
  <c r="O139" i="5"/>
  <c r="O147" i="5"/>
  <c r="O155" i="5"/>
  <c r="O127" i="5"/>
  <c r="O135" i="5"/>
  <c r="O143" i="5"/>
  <c r="O151" i="5"/>
  <c r="O126" i="5"/>
  <c r="O130" i="5"/>
  <c r="O134" i="5"/>
  <c r="O138" i="5"/>
  <c r="O142" i="5"/>
  <c r="O146" i="5"/>
  <c r="O150" i="5"/>
  <c r="O154" i="5"/>
  <c r="O125" i="5"/>
  <c r="O129" i="5"/>
  <c r="O133" i="5"/>
  <c r="O137" i="5"/>
  <c r="O141" i="5"/>
  <c r="O145" i="5"/>
  <c r="O149" i="5"/>
  <c r="O153" i="5"/>
  <c r="V109" i="7" l="1"/>
  <c r="P109" i="7"/>
  <c r="R109" i="7" s="1"/>
  <c r="V108" i="7"/>
  <c r="P108" i="7"/>
  <c r="Q108" i="7" s="1"/>
  <c r="V107" i="7"/>
  <c r="P107" i="7"/>
  <c r="R107" i="7" s="1"/>
  <c r="V106" i="7"/>
  <c r="P106" i="7"/>
  <c r="R106" i="7" s="1"/>
  <c r="V105" i="7"/>
  <c r="P105" i="7"/>
  <c r="R105" i="7" s="1"/>
  <c r="V117" i="7"/>
  <c r="P117" i="7"/>
  <c r="R117" i="7" s="1"/>
  <c r="V116" i="7"/>
  <c r="P116" i="7"/>
  <c r="R116" i="7" s="1"/>
  <c r="V115" i="7"/>
  <c r="P115" i="7"/>
  <c r="Q115" i="7" s="1"/>
  <c r="V114" i="7"/>
  <c r="P114" i="7"/>
  <c r="R114" i="7" s="1"/>
  <c r="V113" i="7"/>
  <c r="P113" i="7"/>
  <c r="R113" i="7" s="1"/>
  <c r="V112" i="7"/>
  <c r="P112" i="7"/>
  <c r="R112" i="7" s="1"/>
  <c r="T157" i="5"/>
  <c r="N157" i="5"/>
  <c r="P157" i="5" s="1"/>
  <c r="T122" i="5"/>
  <c r="N122" i="5"/>
  <c r="P122" i="5" s="1"/>
  <c r="T121" i="5"/>
  <c r="N121" i="5"/>
  <c r="P121" i="5" s="1"/>
  <c r="T120" i="5"/>
  <c r="N120" i="5"/>
  <c r="O120" i="5" s="1"/>
  <c r="T119" i="5"/>
  <c r="N119" i="5"/>
  <c r="O119" i="5" s="1"/>
  <c r="J152" i="6"/>
  <c r="J151" i="6"/>
  <c r="J150" i="6"/>
  <c r="J149" i="6"/>
  <c r="J148" i="6"/>
  <c r="J147" i="6"/>
  <c r="Q114" i="7" l="1"/>
  <c r="R115" i="7"/>
  <c r="Q107" i="7"/>
  <c r="R108" i="7"/>
  <c r="O157" i="5"/>
  <c r="P119" i="5"/>
  <c r="P120" i="5"/>
  <c r="O122" i="5"/>
  <c r="Q106" i="7"/>
  <c r="Q105" i="7"/>
  <c r="Q109" i="7"/>
  <c r="Q113" i="7"/>
  <c r="Q117" i="7"/>
  <c r="Q112" i="7"/>
  <c r="Q116" i="7"/>
  <c r="O121" i="5"/>
  <c r="V111" i="7"/>
  <c r="P111" i="7"/>
  <c r="R111" i="7" s="1"/>
  <c r="V110" i="7"/>
  <c r="P110" i="7"/>
  <c r="R110" i="7" s="1"/>
  <c r="J158" i="6"/>
  <c r="J157" i="6"/>
  <c r="J156" i="6"/>
  <c r="J155" i="6"/>
  <c r="T118" i="5"/>
  <c r="N118" i="5"/>
  <c r="O118" i="5" s="1"/>
  <c r="T117" i="5"/>
  <c r="N117" i="5"/>
  <c r="P117" i="5" s="1"/>
  <c r="T116" i="5"/>
  <c r="N116" i="5"/>
  <c r="P116" i="5" s="1"/>
  <c r="T115" i="5"/>
  <c r="N115" i="5"/>
  <c r="P115" i="5" s="1"/>
  <c r="Q111" i="7" l="1"/>
  <c r="O117" i="5"/>
  <c r="P118" i="5"/>
  <c r="Q110" i="7"/>
  <c r="O116" i="5"/>
  <c r="O115" i="5"/>
  <c r="T114" i="5"/>
  <c r="N114" i="5"/>
  <c r="O114" i="5" s="1"/>
  <c r="T113" i="5"/>
  <c r="N113" i="5"/>
  <c r="P113" i="5" s="1"/>
  <c r="J153" i="6"/>
  <c r="J146" i="6"/>
  <c r="P114" i="5" l="1"/>
  <c r="O113" i="5"/>
  <c r="V104" i="7"/>
  <c r="P104" i="7"/>
  <c r="R104" i="7" s="1"/>
  <c r="J145" i="6"/>
  <c r="J144" i="6"/>
  <c r="J143" i="6"/>
  <c r="T112" i="5"/>
  <c r="N112" i="5"/>
  <c r="P112" i="5" s="1"/>
  <c r="T111" i="5"/>
  <c r="N111" i="5"/>
  <c r="P111" i="5" s="1"/>
  <c r="T110" i="5"/>
  <c r="N110" i="5"/>
  <c r="O110" i="5" s="1"/>
  <c r="T109" i="5"/>
  <c r="N109" i="5"/>
  <c r="O109" i="5" s="1"/>
  <c r="P109" i="5" l="1"/>
  <c r="Q104" i="7"/>
  <c r="P110" i="5"/>
  <c r="O112" i="5"/>
  <c r="O111" i="5"/>
  <c r="T108" i="5"/>
  <c r="T107" i="5"/>
  <c r="T106" i="5"/>
  <c r="T105" i="5"/>
  <c r="T104" i="5"/>
  <c r="T103" i="5"/>
  <c r="T102" i="5"/>
  <c r="T101" i="5"/>
  <c r="T100" i="5"/>
  <c r="T99" i="5"/>
  <c r="T98" i="5"/>
  <c r="T97" i="5"/>
  <c r="T96" i="5"/>
  <c r="T95" i="5"/>
  <c r="T94" i="5"/>
  <c r="T93" i="5"/>
  <c r="T92" i="5"/>
  <c r="V304" i="7"/>
  <c r="V103" i="7"/>
  <c r="V102" i="7"/>
  <c r="V101" i="7"/>
  <c r="V100" i="7"/>
  <c r="V99" i="7"/>
  <c r="V97" i="7"/>
  <c r="V96" i="7"/>
  <c r="V95" i="7"/>
  <c r="V94" i="7"/>
  <c r="V93" i="7"/>
  <c r="V92" i="7"/>
  <c r="V91" i="7"/>
  <c r="V90" i="7"/>
  <c r="V89" i="7"/>
  <c r="V88" i="7"/>
  <c r="V87" i="7"/>
  <c r="V86" i="7"/>
  <c r="V85" i="7"/>
  <c r="V84" i="7"/>
  <c r="V83" i="7"/>
  <c r="V82" i="7"/>
  <c r="V81" i="7"/>
  <c r="V80" i="7"/>
  <c r="V79" i="7"/>
  <c r="V78" i="7"/>
  <c r="V77" i="7"/>
  <c r="V76" i="7"/>
  <c r="V75" i="7"/>
  <c r="V74" i="7"/>
  <c r="V73" i="7"/>
  <c r="V72" i="7"/>
  <c r="V71" i="7"/>
  <c r="V70" i="7"/>
  <c r="V69" i="7"/>
  <c r="V68" i="7"/>
  <c r="V67" i="7"/>
  <c r="V66" i="7"/>
  <c r="V65" i="7"/>
  <c r="V64" i="7"/>
  <c r="V63" i="7"/>
  <c r="Q304" i="7"/>
  <c r="P103" i="7"/>
  <c r="Q103" i="7" s="1"/>
  <c r="P102" i="7"/>
  <c r="R102" i="7" s="1"/>
  <c r="P101" i="7"/>
  <c r="R101" i="7" s="1"/>
  <c r="P100" i="7"/>
  <c r="R100" i="7" s="1"/>
  <c r="P99" i="7"/>
  <c r="Q99" i="7" s="1"/>
  <c r="P97" i="7"/>
  <c r="R97" i="7" s="1"/>
  <c r="P96" i="7"/>
  <c r="R96" i="7" s="1"/>
  <c r="P95" i="7"/>
  <c r="R95" i="7" s="1"/>
  <c r="P94" i="7"/>
  <c r="Q94" i="7" s="1"/>
  <c r="P93" i="7"/>
  <c r="R93" i="7" s="1"/>
  <c r="P92" i="7"/>
  <c r="R92" i="7" s="1"/>
  <c r="P91" i="7"/>
  <c r="R91" i="7" s="1"/>
  <c r="P90" i="7"/>
  <c r="Q90" i="7" s="1"/>
  <c r="P89" i="7"/>
  <c r="R89" i="7" s="1"/>
  <c r="P88" i="7"/>
  <c r="R88" i="7" s="1"/>
  <c r="P87" i="7"/>
  <c r="R87" i="7" s="1"/>
  <c r="P86" i="7"/>
  <c r="Q86" i="7" s="1"/>
  <c r="P85" i="7"/>
  <c r="R85" i="7" s="1"/>
  <c r="P84" i="7"/>
  <c r="R84" i="7" s="1"/>
  <c r="P83" i="7"/>
  <c r="R83" i="7" s="1"/>
  <c r="P82" i="7"/>
  <c r="Q82" i="7" s="1"/>
  <c r="P81" i="7"/>
  <c r="R81" i="7" s="1"/>
  <c r="P80" i="7"/>
  <c r="R80" i="7" s="1"/>
  <c r="P79" i="7"/>
  <c r="R79" i="7" s="1"/>
  <c r="P78" i="7"/>
  <c r="Q78" i="7" s="1"/>
  <c r="P77" i="7"/>
  <c r="R77" i="7" s="1"/>
  <c r="P76" i="7"/>
  <c r="R76" i="7" s="1"/>
  <c r="P75" i="7"/>
  <c r="R75" i="7" s="1"/>
  <c r="P74" i="7"/>
  <c r="Q74" i="7" s="1"/>
  <c r="P73" i="7"/>
  <c r="R73" i="7" s="1"/>
  <c r="P72" i="7"/>
  <c r="R72" i="7" s="1"/>
  <c r="P71" i="7"/>
  <c r="R71" i="7" s="1"/>
  <c r="P70" i="7"/>
  <c r="Q70" i="7" s="1"/>
  <c r="P69" i="7"/>
  <c r="R69" i="7" s="1"/>
  <c r="P68" i="7"/>
  <c r="R68" i="7" s="1"/>
  <c r="P67" i="7"/>
  <c r="R67" i="7" s="1"/>
  <c r="P66" i="7"/>
  <c r="Q66" i="7" s="1"/>
  <c r="P65" i="7"/>
  <c r="R65" i="7" s="1"/>
  <c r="P64" i="7"/>
  <c r="R64" i="7" s="1"/>
  <c r="P63" i="7"/>
  <c r="R63" i="7" s="1"/>
  <c r="J154" i="6"/>
  <c r="J142" i="6"/>
  <c r="J141" i="6"/>
  <c r="J140" i="6"/>
  <c r="J139" i="6"/>
  <c r="J138" i="6"/>
  <c r="J137" i="6"/>
  <c r="J136" i="6"/>
  <c r="J135" i="6"/>
  <c r="J134" i="6"/>
  <c r="J133" i="6"/>
  <c r="J132" i="6"/>
  <c r="J97" i="6"/>
  <c r="J96" i="6"/>
  <c r="J95" i="6"/>
  <c r="J94" i="6"/>
  <c r="J93" i="6"/>
  <c r="J92" i="6"/>
  <c r="N108" i="5"/>
  <c r="P108" i="5" s="1"/>
  <c r="N107" i="5"/>
  <c r="P107" i="5" s="1"/>
  <c r="N106" i="5"/>
  <c r="P106" i="5" s="1"/>
  <c r="N105" i="5"/>
  <c r="O105" i="5" s="1"/>
  <c r="N104" i="5"/>
  <c r="P104" i="5" s="1"/>
  <c r="N103" i="5"/>
  <c r="P103" i="5" s="1"/>
  <c r="N102" i="5"/>
  <c r="P102" i="5" s="1"/>
  <c r="N101" i="5"/>
  <c r="O101" i="5" s="1"/>
  <c r="N100" i="5"/>
  <c r="P100" i="5" s="1"/>
  <c r="N99" i="5"/>
  <c r="P99" i="5" s="1"/>
  <c r="N98" i="5"/>
  <c r="P98" i="5" s="1"/>
  <c r="N97" i="5"/>
  <c r="O97" i="5" s="1"/>
  <c r="N96" i="5"/>
  <c r="P96" i="5" s="1"/>
  <c r="N95" i="5"/>
  <c r="P95" i="5" s="1"/>
  <c r="N94" i="5"/>
  <c r="P94" i="5" s="1"/>
  <c r="N93" i="5"/>
  <c r="O93" i="5" s="1"/>
  <c r="N92" i="5"/>
  <c r="P92" i="5" s="1"/>
  <c r="Q65" i="7" l="1"/>
  <c r="R66" i="7"/>
  <c r="Q69" i="7"/>
  <c r="R70" i="7"/>
  <c r="Q73" i="7"/>
  <c r="R74" i="7"/>
  <c r="Q77" i="7"/>
  <c r="R78" i="7"/>
  <c r="Q81" i="7"/>
  <c r="R82" i="7"/>
  <c r="Q85" i="7"/>
  <c r="R86" i="7"/>
  <c r="Q89" i="7"/>
  <c r="R90" i="7"/>
  <c r="Q93" i="7"/>
  <c r="R94" i="7"/>
  <c r="Q97" i="7"/>
  <c r="R99" i="7"/>
  <c r="Q102" i="7"/>
  <c r="R103" i="7"/>
  <c r="R304" i="7"/>
  <c r="Q64" i="7"/>
  <c r="Q68" i="7"/>
  <c r="Q72" i="7"/>
  <c r="Q76" i="7"/>
  <c r="Q80" i="7"/>
  <c r="Q84" i="7"/>
  <c r="Q88" i="7"/>
  <c r="Q92" i="7"/>
  <c r="Q96" i="7"/>
  <c r="Q101" i="7"/>
  <c r="Q63" i="7"/>
  <c r="Q67" i="7"/>
  <c r="Q71" i="7"/>
  <c r="Q75" i="7"/>
  <c r="Q79" i="7"/>
  <c r="Q83" i="7"/>
  <c r="Q87" i="7"/>
  <c r="Q91" i="7"/>
  <c r="Q95" i="7"/>
  <c r="Q100" i="7"/>
  <c r="O92" i="5"/>
  <c r="P93" i="5"/>
  <c r="O96" i="5"/>
  <c r="P97" i="5"/>
  <c r="O100" i="5"/>
  <c r="P101" i="5"/>
  <c r="O104" i="5"/>
  <c r="P105" i="5"/>
  <c r="O108" i="5"/>
  <c r="O95" i="5"/>
  <c r="O99" i="5"/>
  <c r="O103" i="5"/>
  <c r="O107" i="5"/>
  <c r="O94" i="5"/>
  <c r="O98" i="5"/>
  <c r="O102" i="5"/>
  <c r="O106" i="5"/>
  <c r="V19" i="7"/>
  <c r="V20" i="7"/>
  <c r="V21" i="7"/>
  <c r="V22" i="7"/>
  <c r="V23" i="7"/>
  <c r="V24" i="7"/>
  <c r="V25" i="7"/>
  <c r="V26" i="7"/>
  <c r="V27" i="7"/>
  <c r="V28" i="7"/>
  <c r="V29" i="7"/>
  <c r="V30" i="7"/>
  <c r="V31" i="7"/>
  <c r="V32" i="7"/>
  <c r="V33" i="7"/>
  <c r="V34" i="7"/>
  <c r="V35" i="7"/>
  <c r="V36" i="7"/>
  <c r="V37" i="7"/>
  <c r="V38" i="7"/>
  <c r="V39" i="7"/>
  <c r="V40" i="7"/>
  <c r="V41" i="7"/>
  <c r="V42" i="7"/>
  <c r="V43" i="7"/>
  <c r="V44" i="7"/>
  <c r="V45" i="7"/>
  <c r="V46" i="7"/>
  <c r="V47" i="7"/>
  <c r="V48" i="7"/>
  <c r="V49" i="7"/>
  <c r="V50" i="7"/>
  <c r="V51" i="7"/>
  <c r="V52" i="7"/>
  <c r="V53" i="7"/>
  <c r="V54" i="7"/>
  <c r="V55" i="7"/>
  <c r="V56" i="7"/>
  <c r="V57" i="7"/>
  <c r="V58" i="7"/>
  <c r="V59" i="7"/>
  <c r="V60" i="7"/>
  <c r="V61" i="7"/>
  <c r="V62" i="7"/>
  <c r="V18" i="7"/>
  <c r="T19" i="5"/>
  <c r="T20" i="5"/>
  <c r="T21" i="5"/>
  <c r="T22" i="5"/>
  <c r="T23" i="5"/>
  <c r="T24" i="5"/>
  <c r="T25" i="5"/>
  <c r="T26" i="5"/>
  <c r="T27" i="5"/>
  <c r="T28" i="5"/>
  <c r="T29" i="5"/>
  <c r="T30" i="5"/>
  <c r="T31" i="5"/>
  <c r="T32" i="5"/>
  <c r="T33" i="5"/>
  <c r="T34" i="5"/>
  <c r="T35" i="5"/>
  <c r="T36" i="5"/>
  <c r="T37" i="5"/>
  <c r="T38" i="5"/>
  <c r="T39" i="5"/>
  <c r="T40" i="5"/>
  <c r="T41" i="5"/>
  <c r="T42" i="5"/>
  <c r="T43" i="5"/>
  <c r="T44" i="5"/>
  <c r="T45" i="5"/>
  <c r="T46" i="5"/>
  <c r="T47" i="5"/>
  <c r="T48" i="5"/>
  <c r="T49" i="5"/>
  <c r="T50" i="5"/>
  <c r="T51" i="5"/>
  <c r="T52" i="5"/>
  <c r="T53" i="5"/>
  <c r="T54" i="5"/>
  <c r="T55" i="5"/>
  <c r="T56" i="5"/>
  <c r="T57" i="5"/>
  <c r="T58" i="5"/>
  <c r="T59" i="5"/>
  <c r="T60" i="5"/>
  <c r="T61" i="5"/>
  <c r="T62" i="5"/>
  <c r="T63" i="5"/>
  <c r="T64" i="5"/>
  <c r="T65" i="5"/>
  <c r="T66" i="5"/>
  <c r="T67" i="5"/>
  <c r="T68" i="5"/>
  <c r="T69" i="5"/>
  <c r="T70" i="5"/>
  <c r="T71" i="5"/>
  <c r="T72" i="5"/>
  <c r="T73" i="5"/>
  <c r="T74" i="5"/>
  <c r="T75" i="5"/>
  <c r="T76" i="5"/>
  <c r="T77" i="5"/>
  <c r="T78" i="5"/>
  <c r="T79" i="5"/>
  <c r="T80" i="5"/>
  <c r="T81" i="5"/>
  <c r="T82" i="5"/>
  <c r="T83" i="5"/>
  <c r="T84" i="5"/>
  <c r="T85" i="5"/>
  <c r="T86" i="5"/>
  <c r="T87" i="5"/>
  <c r="T88" i="5"/>
  <c r="T89" i="5"/>
  <c r="T91" i="5"/>
  <c r="T18" i="5"/>
  <c r="P62" i="7"/>
  <c r="Q62" i="7" s="1"/>
  <c r="P61" i="7"/>
  <c r="R61" i="7" s="1"/>
  <c r="P60" i="7"/>
  <c r="Q60" i="7" s="1"/>
  <c r="P59" i="7"/>
  <c r="Q59" i="7" s="1"/>
  <c r="P58" i="7"/>
  <c r="Q58" i="7" s="1"/>
  <c r="P57" i="7"/>
  <c r="R57" i="7" s="1"/>
  <c r="J91" i="6"/>
  <c r="J89" i="6"/>
  <c r="J88" i="6"/>
  <c r="J87" i="6"/>
  <c r="J86" i="6"/>
  <c r="J85" i="6"/>
  <c r="J84" i="6"/>
  <c r="J83" i="6"/>
  <c r="J82" i="6"/>
  <c r="J81" i="6"/>
  <c r="J80" i="6"/>
  <c r="J79" i="6"/>
  <c r="J78" i="6"/>
  <c r="J77" i="6"/>
  <c r="J76" i="6"/>
  <c r="J75" i="6"/>
  <c r="J74" i="6"/>
  <c r="J73" i="6"/>
  <c r="J72" i="6"/>
  <c r="J71" i="6"/>
  <c r="J70" i="6"/>
  <c r="J69" i="6"/>
  <c r="J68" i="6"/>
  <c r="J67" i="6"/>
  <c r="J66" i="6"/>
  <c r="J65" i="6"/>
  <c r="J64" i="6"/>
  <c r="N91" i="5"/>
  <c r="O91" i="5" s="1"/>
  <c r="N89" i="5"/>
  <c r="O89" i="5" s="1"/>
  <c r="N88" i="5"/>
  <c r="O88" i="5" s="1"/>
  <c r="N87" i="5"/>
  <c r="O87" i="5" s="1"/>
  <c r="N72" i="5"/>
  <c r="O72" i="5" s="1"/>
  <c r="N73" i="5"/>
  <c r="P73" i="5" s="1"/>
  <c r="N74" i="5"/>
  <c r="O74" i="5" s="1"/>
  <c r="N75" i="5"/>
  <c r="O75" i="5" s="1"/>
  <c r="N76" i="5"/>
  <c r="P76" i="5" s="1"/>
  <c r="N77" i="5"/>
  <c r="O77" i="5" s="1"/>
  <c r="N78" i="5"/>
  <c r="O78" i="5" s="1"/>
  <c r="N79" i="5"/>
  <c r="P79" i="5" s="1"/>
  <c r="N80" i="5"/>
  <c r="P80" i="5" s="1"/>
  <c r="N81" i="5"/>
  <c r="O81" i="5" s="1"/>
  <c r="N82" i="5"/>
  <c r="O82" i="5" s="1"/>
  <c r="N83" i="5"/>
  <c r="P83" i="5" s="1"/>
  <c r="N84" i="5"/>
  <c r="O84" i="5" s="1"/>
  <c r="N85" i="5"/>
  <c r="O85" i="5" s="1"/>
  <c r="N86" i="5"/>
  <c r="O86" i="5" s="1"/>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c r="I11" i="22" s="1"/>
  <c r="K11" i="22"/>
  <c r="L11" i="22" s="1"/>
  <c r="N11" i="22" s="1"/>
  <c r="A125" i="22"/>
  <c r="A127" i="22"/>
  <c r="B127" i="22" s="1"/>
  <c r="A128" i="22"/>
  <c r="B128" i="22" s="1"/>
  <c r="D128" i="22" s="1"/>
  <c r="A129" i="22"/>
  <c r="B129" i="22"/>
  <c r="D129" i="22" s="1"/>
  <c r="A130" i="22"/>
  <c r="B130" i="22" s="1"/>
  <c r="D130" i="22" s="1"/>
  <c r="A131" i="22"/>
  <c r="B131" i="22" s="1"/>
  <c r="D131" i="22" s="1"/>
  <c r="A132" i="22"/>
  <c r="B132" i="22" s="1"/>
  <c r="D132" i="22" s="1"/>
  <c r="H3" i="20"/>
  <c r="H5" i="20" s="1"/>
  <c r="H7" i="20" s="1"/>
  <c r="H4" i="20"/>
  <c r="H6" i="20"/>
  <c r="B14" i="20"/>
  <c r="B15" i="20"/>
  <c r="E15" i="20"/>
  <c r="G15" i="20"/>
  <c r="E16" i="20"/>
  <c r="K29" i="20"/>
  <c r="Z1" i="19"/>
  <c r="Z2" i="19"/>
  <c r="B6" i="19"/>
  <c r="AG6" i="19" s="1"/>
  <c r="A9" i="19"/>
  <c r="A10" i="19"/>
  <c r="A11" i="19"/>
  <c r="A12" i="19"/>
  <c r="A13" i="19"/>
  <c r="H25" i="19"/>
  <c r="A48" i="19" s="1"/>
  <c r="F43" i="19"/>
  <c r="A59"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P18" i="7"/>
  <c r="P19" i="7"/>
  <c r="Q19" i="7" s="1"/>
  <c r="P20" i="7"/>
  <c r="Q20" i="7" s="1"/>
  <c r="P21" i="7"/>
  <c r="Q21" i="7" s="1"/>
  <c r="P22" i="7"/>
  <c r="Q22" i="7" s="1"/>
  <c r="P23" i="7"/>
  <c r="Q23" i="7" s="1"/>
  <c r="P24" i="7"/>
  <c r="R24" i="7" s="1"/>
  <c r="P25" i="7"/>
  <c r="Q25" i="7" s="1"/>
  <c r="P26" i="7"/>
  <c r="Q26" i="7" s="1"/>
  <c r="P27" i="7"/>
  <c r="Q27" i="7" s="1"/>
  <c r="P28" i="7"/>
  <c r="Q28" i="7" s="1"/>
  <c r="P29" i="7"/>
  <c r="Q29" i="7" s="1"/>
  <c r="P30" i="7"/>
  <c r="Q30" i="7" s="1"/>
  <c r="P31" i="7"/>
  <c r="Q31" i="7" s="1"/>
  <c r="P32" i="7"/>
  <c r="R32" i="7" s="1"/>
  <c r="P33" i="7"/>
  <c r="R33" i="7" s="1"/>
  <c r="P34" i="7"/>
  <c r="Q34" i="7" s="1"/>
  <c r="P35" i="7"/>
  <c r="Q35" i="7" s="1"/>
  <c r="P36" i="7"/>
  <c r="R36" i="7" s="1"/>
  <c r="P37" i="7"/>
  <c r="R37" i="7" s="1"/>
  <c r="P38" i="7"/>
  <c r="Q38" i="7" s="1"/>
  <c r="P39" i="7"/>
  <c r="Q39" i="7" s="1"/>
  <c r="P40" i="7"/>
  <c r="R40" i="7" s="1"/>
  <c r="P41" i="7"/>
  <c r="Q41" i="7" s="1"/>
  <c r="P42" i="7"/>
  <c r="Q42" i="7" s="1"/>
  <c r="P43" i="7"/>
  <c r="R43" i="7" s="1"/>
  <c r="P44" i="7"/>
  <c r="Q44" i="7" s="1"/>
  <c r="P45" i="7"/>
  <c r="R45" i="7" s="1"/>
  <c r="P46" i="7"/>
  <c r="Q46" i="7" s="1"/>
  <c r="P47" i="7"/>
  <c r="Q47" i="7" s="1"/>
  <c r="P48" i="7"/>
  <c r="R48" i="7" s="1"/>
  <c r="P49" i="7"/>
  <c r="R49" i="7" s="1"/>
  <c r="P50" i="7"/>
  <c r="Q50" i="7" s="1"/>
  <c r="P51" i="7"/>
  <c r="Q51" i="7" s="1"/>
  <c r="P52" i="7"/>
  <c r="R52" i="7" s="1"/>
  <c r="P53" i="7"/>
  <c r="R53" i="7" s="1"/>
  <c r="P54" i="7"/>
  <c r="Q54" i="7" s="1"/>
  <c r="P55" i="7"/>
  <c r="Q55" i="7" s="1"/>
  <c r="P56" i="7"/>
  <c r="R56" i="7" s="1"/>
  <c r="A1" i="6"/>
  <c r="C9" i="6"/>
  <c r="C10" i="6"/>
  <c r="C11" i="6"/>
  <c r="C12"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A1" i="5"/>
  <c r="Z8" i="5"/>
  <c r="C9" i="5"/>
  <c r="B8" i="12" s="1"/>
  <c r="C10" i="5"/>
  <c r="C10" i="14" s="1"/>
  <c r="C11" i="5"/>
  <c r="B10" i="12" s="1"/>
  <c r="C12" i="5"/>
  <c r="B11" i="12" s="1"/>
  <c r="IV16" i="5"/>
  <c r="N18" i="5"/>
  <c r="N19" i="5"/>
  <c r="P19" i="5" s="1"/>
  <c r="N20" i="5"/>
  <c r="O20" i="5" s="1"/>
  <c r="N21" i="5"/>
  <c r="O21" i="5" s="1"/>
  <c r="N22" i="5"/>
  <c r="O22" i="5" s="1"/>
  <c r="N23" i="5"/>
  <c r="P23" i="5" s="1"/>
  <c r="N24" i="5"/>
  <c r="P24" i="5" s="1"/>
  <c r="N25" i="5"/>
  <c r="O25" i="5" s="1"/>
  <c r="N26" i="5"/>
  <c r="O26" i="5" s="1"/>
  <c r="N27" i="5"/>
  <c r="P27" i="5" s="1"/>
  <c r="N28" i="5"/>
  <c r="O28" i="5" s="1"/>
  <c r="N29" i="5"/>
  <c r="O29" i="5" s="1"/>
  <c r="N30" i="5"/>
  <c r="O30" i="5" s="1"/>
  <c r="N31" i="5"/>
  <c r="O31" i="5" s="1"/>
  <c r="N32" i="5"/>
  <c r="P32" i="5" s="1"/>
  <c r="N33" i="5"/>
  <c r="P33" i="5" s="1"/>
  <c r="N34" i="5"/>
  <c r="P34" i="5" s="1"/>
  <c r="N35" i="5"/>
  <c r="P35" i="5" s="1"/>
  <c r="N36" i="5"/>
  <c r="O36" i="5" s="1"/>
  <c r="N37" i="5"/>
  <c r="O37" i="5" s="1"/>
  <c r="N38" i="5"/>
  <c r="O38" i="5" s="1"/>
  <c r="N39" i="5"/>
  <c r="O39" i="5" s="1"/>
  <c r="N40" i="5"/>
  <c r="P40" i="5" s="1"/>
  <c r="N41" i="5"/>
  <c r="O41" i="5" s="1"/>
  <c r="N42" i="5"/>
  <c r="P42" i="5" s="1"/>
  <c r="N43" i="5"/>
  <c r="O43" i="5" s="1"/>
  <c r="N44" i="5"/>
  <c r="O44" i="5" s="1"/>
  <c r="N45" i="5"/>
  <c r="O45" i="5" s="1"/>
  <c r="N46" i="5"/>
  <c r="O46" i="5" s="1"/>
  <c r="N47" i="5"/>
  <c r="P47" i="5" s="1"/>
  <c r="N48" i="5"/>
  <c r="P48" i="5" s="1"/>
  <c r="N49" i="5"/>
  <c r="O49" i="5" s="1"/>
  <c r="N50" i="5"/>
  <c r="O50" i="5" s="1"/>
  <c r="N51" i="5"/>
  <c r="P51" i="5" s="1"/>
  <c r="N52" i="5"/>
  <c r="O52" i="5" s="1"/>
  <c r="N53" i="5"/>
  <c r="O53" i="5" s="1"/>
  <c r="N54" i="5"/>
  <c r="P54" i="5" s="1"/>
  <c r="N55" i="5"/>
  <c r="O55" i="5" s="1"/>
  <c r="N56" i="5"/>
  <c r="P56" i="5" s="1"/>
  <c r="N57" i="5"/>
  <c r="P57" i="5" s="1"/>
  <c r="N58" i="5"/>
  <c r="O58" i="5" s="1"/>
  <c r="N59" i="5"/>
  <c r="O59" i="5" s="1"/>
  <c r="N60" i="5"/>
  <c r="O60" i="5" s="1"/>
  <c r="N61" i="5"/>
  <c r="O61" i="5" s="1"/>
  <c r="N62" i="5"/>
  <c r="O62" i="5" s="1"/>
  <c r="N63" i="5"/>
  <c r="O63" i="5" s="1"/>
  <c r="N64" i="5"/>
  <c r="O64" i="5" s="1"/>
  <c r="N65" i="5"/>
  <c r="O65" i="5" s="1"/>
  <c r="N66" i="5"/>
  <c r="O66" i="5" s="1"/>
  <c r="N67" i="5"/>
  <c r="O67" i="5" s="1"/>
  <c r="N68" i="5"/>
  <c r="P68" i="5" s="1"/>
  <c r="N69" i="5"/>
  <c r="P69" i="5" s="1"/>
  <c r="N70" i="5"/>
  <c r="O70" i="5" s="1"/>
  <c r="N71" i="5"/>
  <c r="P71" i="5" s="1"/>
  <c r="N322" i="5"/>
  <c r="C326" i="5"/>
  <c r="C324" i="6" s="1"/>
  <c r="K326" i="5"/>
  <c r="O310" i="7" s="1"/>
  <c r="N22" i="8" s="1"/>
  <c r="C327" i="5"/>
  <c r="C311" i="7" s="1"/>
  <c r="C22" i="8" s="1"/>
  <c r="K327" i="5"/>
  <c r="O311" i="7" s="1"/>
  <c r="N23" i="8" s="1"/>
  <c r="J6" i="4"/>
  <c r="Z7" i="5" s="1"/>
  <c r="A7" i="5" s="1"/>
  <c r="M6" i="4"/>
  <c r="A7" i="4"/>
  <c r="A9" i="4"/>
  <c r="A8" i="6" s="1"/>
  <c r="A10" i="4"/>
  <c r="G22" i="4"/>
  <c r="F22" i="4" s="1"/>
  <c r="B2" i="2"/>
  <c r="A3" i="13" s="1"/>
  <c r="B3" i="2"/>
  <c r="A1" i="7" s="1"/>
  <c r="R30" i="7" l="1"/>
  <c r="V305" i="7"/>
  <c r="Q18" i="7"/>
  <c r="J8" i="15"/>
  <c r="J26" i="15" s="1"/>
  <c r="J321" i="6"/>
  <c r="J7" i="15" s="1"/>
  <c r="I25" i="15" s="1"/>
  <c r="O18" i="5"/>
  <c r="N321" i="5"/>
  <c r="T321" i="5"/>
  <c r="B9" i="12"/>
  <c r="P31" i="5"/>
  <c r="A3" i="10"/>
  <c r="A3" i="12"/>
  <c r="R42" i="7"/>
  <c r="R26" i="7"/>
  <c r="Q56" i="7"/>
  <c r="Q36" i="7"/>
  <c r="Q32" i="7"/>
  <c r="R28" i="7"/>
  <c r="R20" i="7"/>
  <c r="O73" i="5"/>
  <c r="P45" i="5"/>
  <c r="O42" i="5"/>
  <c r="P38" i="5"/>
  <c r="P26" i="5"/>
  <c r="Q33" i="7"/>
  <c r="R38" i="7"/>
  <c r="R34" i="7"/>
  <c r="R41" i="7"/>
  <c r="R22" i="7"/>
  <c r="R50" i="7"/>
  <c r="R21" i="7"/>
  <c r="R29" i="7"/>
  <c r="Q45" i="7"/>
  <c r="Q37" i="7"/>
  <c r="Q52" i="7"/>
  <c r="Q53" i="7"/>
  <c r="O19" i="5"/>
  <c r="O23" i="5"/>
  <c r="P43" i="5"/>
  <c r="C12" i="14"/>
  <c r="O80" i="5"/>
  <c r="P20" i="5"/>
  <c r="P72" i="5"/>
  <c r="P91" i="5"/>
  <c r="O56" i="5"/>
  <c r="O68" i="5"/>
  <c r="P37" i="5"/>
  <c r="O27" i="5"/>
  <c r="P46" i="5"/>
  <c r="O76" i="5"/>
  <c r="P64" i="5"/>
  <c r="P44" i="5"/>
  <c r="P39" i="5"/>
  <c r="P86" i="5"/>
  <c r="O79" i="5"/>
  <c r="P77" i="5"/>
  <c r="I325" i="6"/>
  <c r="O51" i="5"/>
  <c r="A8" i="8"/>
  <c r="A8" i="10"/>
  <c r="A3" i="7"/>
  <c r="A3" i="8"/>
  <c r="C12" i="15"/>
  <c r="A3" i="6"/>
  <c r="P29" i="5"/>
  <c r="P21" i="5"/>
  <c r="E16" i="17"/>
  <c r="F16" i="18"/>
  <c r="C11" i="14"/>
  <c r="O47" i="5"/>
  <c r="P25" i="5"/>
  <c r="P50" i="5"/>
  <c r="R18" i="7"/>
  <c r="R31" i="7"/>
  <c r="A7" i="9"/>
  <c r="E16" i="16"/>
  <c r="A8" i="11"/>
  <c r="A8" i="13"/>
  <c r="A3" i="9"/>
  <c r="A3" i="11"/>
  <c r="A3" i="5"/>
  <c r="A1" i="13"/>
  <c r="C15" i="19"/>
  <c r="A1" i="4"/>
  <c r="A3" i="14"/>
  <c r="A64" i="14" s="1"/>
  <c r="A1" i="11"/>
  <c r="A2" i="15"/>
  <c r="C22" i="14"/>
  <c r="C40" i="15" s="1"/>
  <c r="B46" i="19" s="1"/>
  <c r="B32" i="13"/>
  <c r="C9" i="14"/>
  <c r="R19" i="7"/>
  <c r="A2" i="4"/>
  <c r="A1" i="10"/>
  <c r="A1" i="14"/>
  <c r="A62" i="14" s="1"/>
  <c r="R39" i="7"/>
  <c r="A8" i="7"/>
  <c r="I324" i="6"/>
  <c r="A8" i="9"/>
  <c r="P87" i="5"/>
  <c r="P52" i="5"/>
  <c r="A1" i="9"/>
  <c r="A1" i="12"/>
  <c r="AG7" i="19"/>
  <c r="AG8" i="19" s="1"/>
  <c r="P74" i="5"/>
  <c r="C310" i="7"/>
  <c r="C21" i="8" s="1"/>
  <c r="O40" i="5"/>
  <c r="O32" i="5"/>
  <c r="R35" i="7"/>
  <c r="A1" i="19"/>
  <c r="P62" i="5"/>
  <c r="C325" i="6"/>
  <c r="O35" i="5"/>
  <c r="O24" i="5"/>
  <c r="P18" i="5"/>
  <c r="R27" i="7"/>
  <c r="A1" i="8"/>
  <c r="P65" i="5"/>
  <c r="O34" i="5"/>
  <c r="P60" i="5"/>
  <c r="A8" i="5"/>
  <c r="AG9" i="19"/>
  <c r="O83" i="5"/>
  <c r="P82" i="5"/>
  <c r="O54" i="5"/>
  <c r="R59" i="7"/>
  <c r="R62" i="7"/>
  <c r="Q61" i="7"/>
  <c r="R55" i="7"/>
  <c r="Q48" i="7"/>
  <c r="R47" i="7"/>
  <c r="R44" i="7"/>
  <c r="Q43" i="7"/>
  <c r="Q40" i="7"/>
  <c r="R51" i="7"/>
  <c r="R46" i="7"/>
  <c r="R54" i="7"/>
  <c r="Q49" i="7"/>
  <c r="R58" i="7"/>
  <c r="R60" i="7"/>
  <c r="Q57" i="7"/>
  <c r="R25" i="7"/>
  <c r="Q24" i="7"/>
  <c r="R23" i="7"/>
  <c r="P89" i="5"/>
  <c r="P88" i="5"/>
  <c r="P85" i="5"/>
  <c r="P84" i="5"/>
  <c r="P81" i="5"/>
  <c r="P78" i="5"/>
  <c r="P75" i="5"/>
  <c r="O71" i="5"/>
  <c r="P70" i="5"/>
  <c r="O69" i="5"/>
  <c r="P67" i="5"/>
  <c r="P66" i="5"/>
  <c r="P63" i="5"/>
  <c r="P61" i="5"/>
  <c r="O57" i="5"/>
  <c r="P59" i="5"/>
  <c r="P58" i="5"/>
  <c r="P55" i="5"/>
  <c r="P53" i="5"/>
  <c r="P49" i="5"/>
  <c r="O48" i="5"/>
  <c r="P41" i="5"/>
  <c r="P36" i="5"/>
  <c r="O33" i="5"/>
  <c r="P30" i="5"/>
  <c r="P28" i="5"/>
  <c r="P22" i="5"/>
  <c r="R305" i="7" l="1"/>
  <c r="D17" i="9" s="1"/>
  <c r="P321" i="5"/>
  <c r="D15" i="9" s="1"/>
  <c r="A7" i="11"/>
  <c r="A7" i="10"/>
  <c r="B7" i="14"/>
  <c r="A7" i="8"/>
  <c r="A7" i="13"/>
  <c r="A7" i="6"/>
  <c r="A7" i="7"/>
  <c r="B40" i="19"/>
  <c r="B8" i="14"/>
  <c r="A7" i="12"/>
  <c r="I16" i="15"/>
  <c r="D17" i="11"/>
  <c r="E17" i="13" s="1"/>
  <c r="D19" i="11"/>
  <c r="E19" i="13" s="1"/>
  <c r="J16" i="15"/>
  <c r="P315" i="7"/>
  <c r="N323" i="5"/>
  <c r="J6" i="15"/>
  <c r="D15" i="11"/>
  <c r="E15" i="13" s="1"/>
  <c r="D19" i="9" l="1"/>
  <c r="D23" i="11" s="1"/>
  <c r="D28" i="11" s="1"/>
  <c r="H16" i="15"/>
  <c r="J9" i="15"/>
  <c r="J15" i="15" s="1"/>
  <c r="H24" i="15"/>
  <c r="J31" i="15" l="1"/>
  <c r="J32" i="15" s="1"/>
  <c r="J35" i="15"/>
  <c r="J36" i="15" s="1"/>
  <c r="H15" i="15"/>
  <c r="H31" i="15" s="1"/>
  <c r="H32" i="15" s="1"/>
  <c r="I15" i="15"/>
  <c r="S207" i="7" l="1"/>
  <c r="T207" i="7" s="1"/>
  <c r="U207" i="7" s="1"/>
  <c r="S204" i="7"/>
  <c r="T204" i="7" s="1"/>
  <c r="U204" i="7" s="1"/>
  <c r="S209" i="7"/>
  <c r="T209" i="7" s="1"/>
  <c r="U209" i="7" s="1"/>
  <c r="S205" i="7"/>
  <c r="T205" i="7" s="1"/>
  <c r="U205" i="7" s="1"/>
  <c r="S210" i="7"/>
  <c r="T210" i="7" s="1"/>
  <c r="U210" i="7" s="1"/>
  <c r="S208" i="7"/>
  <c r="T208" i="7" s="1"/>
  <c r="U208" i="7" s="1"/>
  <c r="S206" i="7"/>
  <c r="T206" i="7" s="1"/>
  <c r="U206" i="7" s="1"/>
  <c r="S232" i="7"/>
  <c r="T232" i="7" s="1"/>
  <c r="U232" i="7" s="1"/>
  <c r="S220" i="7"/>
  <c r="T220" i="7" s="1"/>
  <c r="U220" i="7" s="1"/>
  <c r="S201" i="7"/>
  <c r="T201" i="7" s="1"/>
  <c r="U201" i="7" s="1"/>
  <c r="S229" i="7"/>
  <c r="T229" i="7" s="1"/>
  <c r="U229" i="7" s="1"/>
  <c r="S217" i="7"/>
  <c r="T217" i="7" s="1"/>
  <c r="U217" i="7" s="1"/>
  <c r="S225" i="7"/>
  <c r="T225" i="7" s="1"/>
  <c r="U225" i="7" s="1"/>
  <c r="S213" i="7"/>
  <c r="T213" i="7" s="1"/>
  <c r="U213" i="7" s="1"/>
  <c r="S231" i="7"/>
  <c r="T231" i="7" s="1"/>
  <c r="U231" i="7" s="1"/>
  <c r="S203" i="7"/>
  <c r="T203" i="7" s="1"/>
  <c r="U203" i="7" s="1"/>
  <c r="S230" i="7"/>
  <c r="T230" i="7" s="1"/>
  <c r="U230" i="7" s="1"/>
  <c r="S218" i="7"/>
  <c r="T218" i="7" s="1"/>
  <c r="U218" i="7" s="1"/>
  <c r="S199" i="7"/>
  <c r="T199" i="7" s="1"/>
  <c r="U199" i="7" s="1"/>
  <c r="S233" i="7"/>
  <c r="T233" i="7" s="1"/>
  <c r="U233" i="7" s="1"/>
  <c r="S221" i="7"/>
  <c r="T221" i="7" s="1"/>
  <c r="U221" i="7" s="1"/>
  <c r="S202" i="7"/>
  <c r="T202" i="7" s="1"/>
  <c r="U202" i="7" s="1"/>
  <c r="S224" i="7"/>
  <c r="T224" i="7" s="1"/>
  <c r="U224" i="7" s="1"/>
  <c r="S212" i="7"/>
  <c r="T212" i="7" s="1"/>
  <c r="U212" i="7" s="1"/>
  <c r="S234" i="7"/>
  <c r="T234" i="7" s="1"/>
  <c r="U234" i="7" s="1"/>
  <c r="S215" i="7"/>
  <c r="T215" i="7" s="1"/>
  <c r="U215" i="7" s="1"/>
  <c r="S235" i="7"/>
  <c r="T235" i="7" s="1"/>
  <c r="U235" i="7" s="1"/>
  <c r="S223" i="7"/>
  <c r="T223" i="7" s="1"/>
  <c r="U223" i="7" s="1"/>
  <c r="S211" i="7"/>
  <c r="T211" i="7" s="1"/>
  <c r="U211" i="7" s="1"/>
  <c r="S228" i="7"/>
  <c r="T228" i="7" s="1"/>
  <c r="U228" i="7" s="1"/>
  <c r="S216" i="7"/>
  <c r="T216" i="7" s="1"/>
  <c r="U216" i="7" s="1"/>
  <c r="S226" i="7"/>
  <c r="T226" i="7" s="1"/>
  <c r="U226" i="7" s="1"/>
  <c r="S214" i="7"/>
  <c r="T214" i="7" s="1"/>
  <c r="U214" i="7" s="1"/>
  <c r="S219" i="7"/>
  <c r="T219" i="7" s="1"/>
  <c r="U219" i="7" s="1"/>
  <c r="S200" i="7"/>
  <c r="T200" i="7" s="1"/>
  <c r="U200" i="7" s="1"/>
  <c r="S198" i="7"/>
  <c r="T198" i="7" s="1"/>
  <c r="U198" i="7" s="1"/>
  <c r="S222" i="7"/>
  <c r="T222" i="7" s="1"/>
  <c r="U222" i="7" s="1"/>
  <c r="S227" i="7"/>
  <c r="T227" i="7" s="1"/>
  <c r="U227" i="7" s="1"/>
  <c r="S242" i="7"/>
  <c r="T242" i="7" s="1"/>
  <c r="U242" i="7" s="1"/>
  <c r="S241" i="7"/>
  <c r="T241" i="7" s="1"/>
  <c r="U241" i="7" s="1"/>
  <c r="S192" i="7"/>
  <c r="T192" i="7" s="1"/>
  <c r="U192" i="7" s="1"/>
  <c r="S196" i="7"/>
  <c r="T196" i="7" s="1"/>
  <c r="U196" i="7" s="1"/>
  <c r="S238" i="7"/>
  <c r="T238" i="7" s="1"/>
  <c r="U238" i="7" s="1"/>
  <c r="S244" i="7"/>
  <c r="T244" i="7" s="1"/>
  <c r="U244" i="7" s="1"/>
  <c r="S191" i="7"/>
  <c r="T191" i="7" s="1"/>
  <c r="U191" i="7" s="1"/>
  <c r="S195" i="7"/>
  <c r="T195" i="7" s="1"/>
  <c r="U195" i="7" s="1"/>
  <c r="S237" i="7"/>
  <c r="T237" i="7" s="1"/>
  <c r="U237" i="7" s="1"/>
  <c r="S243" i="7"/>
  <c r="T243" i="7" s="1"/>
  <c r="U243" i="7" s="1"/>
  <c r="S190" i="7"/>
  <c r="T190" i="7" s="1"/>
  <c r="U190" i="7" s="1"/>
  <c r="S194" i="7"/>
  <c r="T194" i="7" s="1"/>
  <c r="U194" i="7" s="1"/>
  <c r="S236" i="7"/>
  <c r="T236" i="7" s="1"/>
  <c r="U236" i="7" s="1"/>
  <c r="S240" i="7"/>
  <c r="T240" i="7" s="1"/>
  <c r="U240" i="7" s="1"/>
  <c r="S239" i="7"/>
  <c r="T239" i="7" s="1"/>
  <c r="U239" i="7" s="1"/>
  <c r="S189" i="7"/>
  <c r="T189" i="7" s="1"/>
  <c r="U189" i="7" s="1"/>
  <c r="S197" i="7"/>
  <c r="T197" i="7" s="1"/>
  <c r="U197" i="7" s="1"/>
  <c r="S193" i="7"/>
  <c r="T193" i="7" s="1"/>
  <c r="U193" i="7" s="1"/>
  <c r="S298" i="7"/>
  <c r="T298" i="7" s="1"/>
  <c r="U298" i="7" s="1"/>
  <c r="S297" i="7"/>
  <c r="T297" i="7" s="1"/>
  <c r="U297" i="7" s="1"/>
  <c r="S301" i="7"/>
  <c r="T301" i="7" s="1"/>
  <c r="U301" i="7" s="1"/>
  <c r="S299" i="7"/>
  <c r="T299" i="7" s="1"/>
  <c r="U299" i="7" s="1"/>
  <c r="S296" i="7"/>
  <c r="T296" i="7" s="1"/>
  <c r="U296" i="7" s="1"/>
  <c r="S300" i="7"/>
  <c r="T300" i="7" s="1"/>
  <c r="U300" i="7" s="1"/>
  <c r="S295" i="7"/>
  <c r="T295" i="7" s="1"/>
  <c r="U295" i="7" s="1"/>
  <c r="S302" i="7"/>
  <c r="T302" i="7" s="1"/>
  <c r="U302" i="7" s="1"/>
  <c r="S303" i="7"/>
  <c r="T303" i="7" s="1"/>
  <c r="U303" i="7" s="1"/>
  <c r="S292" i="7"/>
  <c r="T292" i="7" s="1"/>
  <c r="U292" i="7" s="1"/>
  <c r="S293" i="7"/>
  <c r="T293" i="7" s="1"/>
  <c r="U293" i="7" s="1"/>
  <c r="S289" i="7"/>
  <c r="T289" i="7" s="1"/>
  <c r="U289" i="7" s="1"/>
  <c r="S294" i="7"/>
  <c r="T294" i="7" s="1"/>
  <c r="U294" i="7" s="1"/>
  <c r="S290" i="7"/>
  <c r="T290" i="7" s="1"/>
  <c r="U290" i="7" s="1"/>
  <c r="S291" i="7"/>
  <c r="T291" i="7" s="1"/>
  <c r="U291" i="7" s="1"/>
  <c r="S286" i="7"/>
  <c r="T286" i="7" s="1"/>
  <c r="U286" i="7" s="1"/>
  <c r="S282" i="7"/>
  <c r="T282" i="7" s="1"/>
  <c r="U282" i="7" s="1"/>
  <c r="S278" i="7"/>
  <c r="T278" i="7" s="1"/>
  <c r="U278" i="7" s="1"/>
  <c r="S274" i="7"/>
  <c r="T274" i="7" s="1"/>
  <c r="U274" i="7" s="1"/>
  <c r="S287" i="7"/>
  <c r="T287" i="7" s="1"/>
  <c r="U287" i="7" s="1"/>
  <c r="S283" i="7"/>
  <c r="T283" i="7" s="1"/>
  <c r="U283" i="7" s="1"/>
  <c r="S279" i="7"/>
  <c r="T279" i="7" s="1"/>
  <c r="U279" i="7" s="1"/>
  <c r="S275" i="7"/>
  <c r="T275" i="7" s="1"/>
  <c r="U275" i="7" s="1"/>
  <c r="S285" i="7"/>
  <c r="T285" i="7" s="1"/>
  <c r="U285" i="7" s="1"/>
  <c r="S277" i="7"/>
  <c r="T277" i="7" s="1"/>
  <c r="U277" i="7" s="1"/>
  <c r="S269" i="7"/>
  <c r="T269" i="7" s="1"/>
  <c r="U269" i="7" s="1"/>
  <c r="S265" i="7"/>
  <c r="T265" i="7" s="1"/>
  <c r="U265" i="7" s="1"/>
  <c r="S261" i="7"/>
  <c r="T261" i="7" s="1"/>
  <c r="U261" i="7" s="1"/>
  <c r="S257" i="7"/>
  <c r="T257" i="7" s="1"/>
  <c r="U257" i="7" s="1"/>
  <c r="S253" i="7"/>
  <c r="T253" i="7" s="1"/>
  <c r="U253" i="7" s="1"/>
  <c r="S249" i="7"/>
  <c r="T249" i="7" s="1"/>
  <c r="U249" i="7" s="1"/>
  <c r="S288" i="7"/>
  <c r="T288" i="7" s="1"/>
  <c r="U288" i="7" s="1"/>
  <c r="S280" i="7"/>
  <c r="T280" i="7" s="1"/>
  <c r="U280" i="7" s="1"/>
  <c r="S270" i="7"/>
  <c r="T270" i="7" s="1"/>
  <c r="U270" i="7" s="1"/>
  <c r="S266" i="7"/>
  <c r="T266" i="7" s="1"/>
  <c r="U266" i="7" s="1"/>
  <c r="S262" i="7"/>
  <c r="T262" i="7" s="1"/>
  <c r="U262" i="7" s="1"/>
  <c r="S258" i="7"/>
  <c r="T258" i="7" s="1"/>
  <c r="U258" i="7" s="1"/>
  <c r="S254" i="7"/>
  <c r="T254" i="7" s="1"/>
  <c r="U254" i="7" s="1"/>
  <c r="S250" i="7"/>
  <c r="T250" i="7" s="1"/>
  <c r="U250" i="7" s="1"/>
  <c r="S246" i="7"/>
  <c r="T246" i="7" s="1"/>
  <c r="U246" i="7" s="1"/>
  <c r="S268" i="7"/>
  <c r="T268" i="7" s="1"/>
  <c r="U268" i="7" s="1"/>
  <c r="S260" i="7"/>
  <c r="T260" i="7" s="1"/>
  <c r="U260" i="7" s="1"/>
  <c r="S252" i="7"/>
  <c r="T252" i="7" s="1"/>
  <c r="U252" i="7" s="1"/>
  <c r="S272" i="7"/>
  <c r="T272" i="7" s="1"/>
  <c r="U272" i="7" s="1"/>
  <c r="S259" i="7"/>
  <c r="T259" i="7" s="1"/>
  <c r="U259" i="7" s="1"/>
  <c r="S271" i="7"/>
  <c r="T271" i="7" s="1"/>
  <c r="U271" i="7" s="1"/>
  <c r="S263" i="7"/>
  <c r="T263" i="7" s="1"/>
  <c r="U263" i="7" s="1"/>
  <c r="S255" i="7"/>
  <c r="T255" i="7" s="1"/>
  <c r="U255" i="7" s="1"/>
  <c r="S247" i="7"/>
  <c r="T247" i="7" s="1"/>
  <c r="U247" i="7" s="1"/>
  <c r="S284" i="7"/>
  <c r="T284" i="7" s="1"/>
  <c r="U284" i="7" s="1"/>
  <c r="S281" i="7"/>
  <c r="T281" i="7" s="1"/>
  <c r="U281" i="7" s="1"/>
  <c r="S264" i="7"/>
  <c r="T264" i="7" s="1"/>
  <c r="U264" i="7" s="1"/>
  <c r="S256" i="7"/>
  <c r="T256" i="7" s="1"/>
  <c r="U256" i="7" s="1"/>
  <c r="S248" i="7"/>
  <c r="T248" i="7" s="1"/>
  <c r="U248" i="7" s="1"/>
  <c r="S276" i="7"/>
  <c r="T276" i="7" s="1"/>
  <c r="U276" i="7" s="1"/>
  <c r="S273" i="7"/>
  <c r="T273" i="7" s="1"/>
  <c r="U273" i="7" s="1"/>
  <c r="S267" i="7"/>
  <c r="T267" i="7" s="1"/>
  <c r="U267" i="7" s="1"/>
  <c r="S251" i="7"/>
  <c r="T251" i="7" s="1"/>
  <c r="U251" i="7" s="1"/>
  <c r="S188" i="7"/>
  <c r="T188" i="7" s="1"/>
  <c r="U188" i="7" s="1"/>
  <c r="S186" i="7"/>
  <c r="T186" i="7" s="1"/>
  <c r="U186" i="7" s="1"/>
  <c r="S182" i="7"/>
  <c r="T182" i="7" s="1"/>
  <c r="U182" i="7" s="1"/>
  <c r="S178" i="7"/>
  <c r="T178" i="7" s="1"/>
  <c r="U178" i="7" s="1"/>
  <c r="S174" i="7"/>
  <c r="T174" i="7" s="1"/>
  <c r="U174" i="7" s="1"/>
  <c r="S170" i="7"/>
  <c r="T170" i="7" s="1"/>
  <c r="U170" i="7" s="1"/>
  <c r="S166" i="7"/>
  <c r="T166" i="7" s="1"/>
  <c r="U166" i="7" s="1"/>
  <c r="S187" i="7"/>
  <c r="T187" i="7" s="1"/>
  <c r="U187" i="7" s="1"/>
  <c r="S183" i="7"/>
  <c r="T183" i="7" s="1"/>
  <c r="U183" i="7" s="1"/>
  <c r="S177" i="7"/>
  <c r="T177" i="7" s="1"/>
  <c r="U177" i="7" s="1"/>
  <c r="S172" i="7"/>
  <c r="T172" i="7" s="1"/>
  <c r="U172" i="7" s="1"/>
  <c r="S167" i="7"/>
  <c r="T167" i="7" s="1"/>
  <c r="U167" i="7" s="1"/>
  <c r="S162" i="7"/>
  <c r="T162" i="7" s="1"/>
  <c r="U162" i="7" s="1"/>
  <c r="S158" i="7"/>
  <c r="T158" i="7" s="1"/>
  <c r="U158" i="7" s="1"/>
  <c r="S154" i="7"/>
  <c r="T154" i="7" s="1"/>
  <c r="U154" i="7" s="1"/>
  <c r="S150" i="7"/>
  <c r="T150" i="7" s="1"/>
  <c r="U150" i="7" s="1"/>
  <c r="S146" i="7"/>
  <c r="T146" i="7" s="1"/>
  <c r="U146" i="7" s="1"/>
  <c r="S142" i="7"/>
  <c r="T142" i="7" s="1"/>
  <c r="U142" i="7" s="1"/>
  <c r="S138" i="7"/>
  <c r="T138" i="7" s="1"/>
  <c r="U138" i="7" s="1"/>
  <c r="S134" i="7"/>
  <c r="T134" i="7" s="1"/>
  <c r="U134" i="7" s="1"/>
  <c r="S130" i="7"/>
  <c r="T130" i="7" s="1"/>
  <c r="U130" i="7" s="1"/>
  <c r="S184" i="7"/>
  <c r="T184" i="7" s="1"/>
  <c r="U184" i="7" s="1"/>
  <c r="S179" i="7"/>
  <c r="T179" i="7" s="1"/>
  <c r="U179" i="7" s="1"/>
  <c r="S175" i="7"/>
  <c r="T175" i="7" s="1"/>
  <c r="U175" i="7" s="1"/>
  <c r="S173" i="7"/>
  <c r="T173" i="7" s="1"/>
  <c r="U173" i="7" s="1"/>
  <c r="S159" i="7"/>
  <c r="T159" i="7" s="1"/>
  <c r="U159" i="7" s="1"/>
  <c r="S153" i="7"/>
  <c r="T153" i="7" s="1"/>
  <c r="U153" i="7" s="1"/>
  <c r="S148" i="7"/>
  <c r="T148" i="7" s="1"/>
  <c r="U148" i="7" s="1"/>
  <c r="S143" i="7"/>
  <c r="T143" i="7" s="1"/>
  <c r="U143" i="7" s="1"/>
  <c r="S137" i="7"/>
  <c r="T137" i="7" s="1"/>
  <c r="U137" i="7" s="1"/>
  <c r="S132" i="7"/>
  <c r="T132" i="7" s="1"/>
  <c r="U132" i="7" s="1"/>
  <c r="S126" i="7"/>
  <c r="T126" i="7" s="1"/>
  <c r="U126" i="7" s="1"/>
  <c r="S122" i="7"/>
  <c r="T122" i="7" s="1"/>
  <c r="U122" i="7" s="1"/>
  <c r="S118" i="7"/>
  <c r="T118" i="7" s="1"/>
  <c r="U118" i="7" s="1"/>
  <c r="S181" i="7"/>
  <c r="T181" i="7" s="1"/>
  <c r="U181" i="7" s="1"/>
  <c r="S169" i="7"/>
  <c r="T169" i="7" s="1"/>
  <c r="U169" i="7" s="1"/>
  <c r="S163" i="7"/>
  <c r="T163" i="7" s="1"/>
  <c r="U163" i="7" s="1"/>
  <c r="S151" i="7"/>
  <c r="T151" i="7" s="1"/>
  <c r="U151" i="7" s="1"/>
  <c r="S135" i="7"/>
  <c r="T135" i="7" s="1"/>
  <c r="U135" i="7" s="1"/>
  <c r="S164" i="7"/>
  <c r="T164" i="7" s="1"/>
  <c r="U164" i="7" s="1"/>
  <c r="S157" i="7"/>
  <c r="T157" i="7" s="1"/>
  <c r="U157" i="7" s="1"/>
  <c r="S152" i="7"/>
  <c r="T152" i="7" s="1"/>
  <c r="U152" i="7" s="1"/>
  <c r="S147" i="7"/>
  <c r="T147" i="7" s="1"/>
  <c r="U147" i="7" s="1"/>
  <c r="S141" i="7"/>
  <c r="T141" i="7" s="1"/>
  <c r="U141" i="7" s="1"/>
  <c r="S136" i="7"/>
  <c r="T136" i="7" s="1"/>
  <c r="U136" i="7" s="1"/>
  <c r="S131" i="7"/>
  <c r="T131" i="7" s="1"/>
  <c r="U131" i="7" s="1"/>
  <c r="S127" i="7"/>
  <c r="T127" i="7" s="1"/>
  <c r="U127" i="7" s="1"/>
  <c r="S123" i="7"/>
  <c r="T123" i="7" s="1"/>
  <c r="U123" i="7" s="1"/>
  <c r="S119" i="7"/>
  <c r="T119" i="7" s="1"/>
  <c r="U119" i="7" s="1"/>
  <c r="S161" i="7"/>
  <c r="T161" i="7" s="1"/>
  <c r="U161" i="7" s="1"/>
  <c r="S156" i="7"/>
  <c r="T156" i="7" s="1"/>
  <c r="U156" i="7" s="1"/>
  <c r="S145" i="7"/>
  <c r="T145" i="7" s="1"/>
  <c r="U145" i="7" s="1"/>
  <c r="S140" i="7"/>
  <c r="T140" i="7" s="1"/>
  <c r="U140" i="7" s="1"/>
  <c r="S180" i="7"/>
  <c r="T180" i="7" s="1"/>
  <c r="U180" i="7" s="1"/>
  <c r="S160" i="7"/>
  <c r="T160" i="7" s="1"/>
  <c r="U160" i="7" s="1"/>
  <c r="S149" i="7"/>
  <c r="T149" i="7" s="1"/>
  <c r="U149" i="7" s="1"/>
  <c r="S139" i="7"/>
  <c r="T139" i="7" s="1"/>
  <c r="U139" i="7" s="1"/>
  <c r="S129" i="7"/>
  <c r="T129" i="7" s="1"/>
  <c r="U129" i="7" s="1"/>
  <c r="S125" i="7"/>
  <c r="T125" i="7" s="1"/>
  <c r="U125" i="7" s="1"/>
  <c r="S176" i="7"/>
  <c r="T176" i="7" s="1"/>
  <c r="U176" i="7" s="1"/>
  <c r="S171" i="7"/>
  <c r="T171" i="7" s="1"/>
  <c r="U171" i="7" s="1"/>
  <c r="S144" i="7"/>
  <c r="T144" i="7" s="1"/>
  <c r="U144" i="7" s="1"/>
  <c r="S133" i="7"/>
  <c r="T133" i="7" s="1"/>
  <c r="U133" i="7" s="1"/>
  <c r="S128" i="7"/>
  <c r="T128" i="7" s="1"/>
  <c r="U128" i="7" s="1"/>
  <c r="S120" i="7"/>
  <c r="T120" i="7" s="1"/>
  <c r="U120" i="7" s="1"/>
  <c r="S185" i="7"/>
  <c r="T185" i="7" s="1"/>
  <c r="U185" i="7" s="1"/>
  <c r="S168" i="7"/>
  <c r="T168" i="7" s="1"/>
  <c r="U168" i="7" s="1"/>
  <c r="S155" i="7"/>
  <c r="T155" i="7" s="1"/>
  <c r="U155" i="7" s="1"/>
  <c r="S124" i="7"/>
  <c r="T124" i="7" s="1"/>
  <c r="U124" i="7" s="1"/>
  <c r="S121" i="7"/>
  <c r="T121" i="7" s="1"/>
  <c r="U121" i="7" s="1"/>
  <c r="S106" i="7"/>
  <c r="T106" i="7" s="1"/>
  <c r="U106" i="7" s="1"/>
  <c r="S109" i="7"/>
  <c r="T109" i="7" s="1"/>
  <c r="U109" i="7" s="1"/>
  <c r="S105" i="7"/>
  <c r="T105" i="7" s="1"/>
  <c r="U105" i="7" s="1"/>
  <c r="S107" i="7"/>
  <c r="T107" i="7" s="1"/>
  <c r="U107" i="7" s="1"/>
  <c r="S108" i="7"/>
  <c r="T108" i="7" s="1"/>
  <c r="U108" i="7" s="1"/>
  <c r="S117" i="7"/>
  <c r="T117" i="7" s="1"/>
  <c r="U117" i="7" s="1"/>
  <c r="S113" i="7"/>
  <c r="T113" i="7" s="1"/>
  <c r="U113" i="7" s="1"/>
  <c r="S114" i="7"/>
  <c r="T114" i="7" s="1"/>
  <c r="U114" i="7" s="1"/>
  <c r="S112" i="7"/>
  <c r="T112" i="7" s="1"/>
  <c r="U112" i="7" s="1"/>
  <c r="S115" i="7"/>
  <c r="T115" i="7" s="1"/>
  <c r="U115" i="7" s="1"/>
  <c r="S116" i="7"/>
  <c r="T116" i="7" s="1"/>
  <c r="U116" i="7" s="1"/>
  <c r="S110" i="7"/>
  <c r="T110" i="7" s="1"/>
  <c r="U110" i="7" s="1"/>
  <c r="S111" i="7"/>
  <c r="T111" i="7" s="1"/>
  <c r="U111" i="7" s="1"/>
  <c r="S104" i="7"/>
  <c r="T104" i="7" s="1"/>
  <c r="U104" i="7" s="1"/>
  <c r="S95" i="7"/>
  <c r="T95" i="7" s="1"/>
  <c r="U95" i="7" s="1"/>
  <c r="S87" i="7"/>
  <c r="T87" i="7" s="1"/>
  <c r="U87" i="7" s="1"/>
  <c r="S79" i="7"/>
  <c r="T79" i="7" s="1"/>
  <c r="U79" i="7" s="1"/>
  <c r="S71" i="7"/>
  <c r="T71" i="7" s="1"/>
  <c r="U71" i="7" s="1"/>
  <c r="S63" i="7"/>
  <c r="T63" i="7" s="1"/>
  <c r="U63" i="7" s="1"/>
  <c r="S103" i="7"/>
  <c r="T103" i="7" s="1"/>
  <c r="U103" i="7" s="1"/>
  <c r="S102" i="7"/>
  <c r="T102" i="7" s="1"/>
  <c r="U102" i="7" s="1"/>
  <c r="S101" i="7"/>
  <c r="T101" i="7" s="1"/>
  <c r="U101" i="7" s="1"/>
  <c r="S94" i="7"/>
  <c r="T94" i="7" s="1"/>
  <c r="U94" i="7" s="1"/>
  <c r="S93" i="7"/>
  <c r="T93" i="7" s="1"/>
  <c r="U93" i="7" s="1"/>
  <c r="S92" i="7"/>
  <c r="T92" i="7" s="1"/>
  <c r="U92" i="7" s="1"/>
  <c r="S86" i="7"/>
  <c r="T86" i="7" s="1"/>
  <c r="U86" i="7" s="1"/>
  <c r="S85" i="7"/>
  <c r="T85" i="7" s="1"/>
  <c r="U85" i="7" s="1"/>
  <c r="S84" i="7"/>
  <c r="T84" i="7" s="1"/>
  <c r="U84" i="7" s="1"/>
  <c r="S78" i="7"/>
  <c r="T78" i="7" s="1"/>
  <c r="U78" i="7" s="1"/>
  <c r="S77" i="7"/>
  <c r="T77" i="7" s="1"/>
  <c r="U77" i="7" s="1"/>
  <c r="S76" i="7"/>
  <c r="T76" i="7" s="1"/>
  <c r="U76" i="7" s="1"/>
  <c r="S70" i="7"/>
  <c r="T70" i="7" s="1"/>
  <c r="U70" i="7" s="1"/>
  <c r="S69" i="7"/>
  <c r="T69" i="7" s="1"/>
  <c r="U69" i="7" s="1"/>
  <c r="S68" i="7"/>
  <c r="T68" i="7" s="1"/>
  <c r="U68" i="7" s="1"/>
  <c r="S67" i="7"/>
  <c r="T67" i="7" s="1"/>
  <c r="U67" i="7" s="1"/>
  <c r="S304" i="7"/>
  <c r="T304" i="7" s="1"/>
  <c r="U304" i="7" s="1"/>
  <c r="S90" i="7"/>
  <c r="T90" i="7" s="1"/>
  <c r="U90" i="7" s="1"/>
  <c r="S89" i="7"/>
  <c r="T89" i="7" s="1"/>
  <c r="U89" i="7" s="1"/>
  <c r="S88" i="7"/>
  <c r="T88" i="7" s="1"/>
  <c r="U88" i="7" s="1"/>
  <c r="S74" i="7"/>
  <c r="T74" i="7" s="1"/>
  <c r="U74" i="7" s="1"/>
  <c r="S73" i="7"/>
  <c r="T73" i="7" s="1"/>
  <c r="U73" i="7" s="1"/>
  <c r="S72" i="7"/>
  <c r="T72" i="7" s="1"/>
  <c r="U72" i="7" s="1"/>
  <c r="S66" i="7"/>
  <c r="T66" i="7" s="1"/>
  <c r="U66" i="7" s="1"/>
  <c r="S65" i="7"/>
  <c r="T65" i="7" s="1"/>
  <c r="U65" i="7" s="1"/>
  <c r="S100" i="7"/>
  <c r="T100" i="7" s="1"/>
  <c r="U100" i="7" s="1"/>
  <c r="S83" i="7"/>
  <c r="T83" i="7" s="1"/>
  <c r="U83" i="7" s="1"/>
  <c r="S64" i="7"/>
  <c r="T64" i="7" s="1"/>
  <c r="U64" i="7" s="1"/>
  <c r="S75" i="7"/>
  <c r="T75" i="7" s="1"/>
  <c r="U75" i="7" s="1"/>
  <c r="S99" i="7"/>
  <c r="T99" i="7" s="1"/>
  <c r="U99" i="7" s="1"/>
  <c r="S97" i="7"/>
  <c r="T97" i="7" s="1"/>
  <c r="U97" i="7" s="1"/>
  <c r="S96" i="7"/>
  <c r="T96" i="7" s="1"/>
  <c r="U96" i="7" s="1"/>
  <c r="S82" i="7"/>
  <c r="T82" i="7" s="1"/>
  <c r="U82" i="7" s="1"/>
  <c r="S81" i="7"/>
  <c r="T81" i="7" s="1"/>
  <c r="U81" i="7" s="1"/>
  <c r="S80" i="7"/>
  <c r="T80" i="7" s="1"/>
  <c r="U80" i="7" s="1"/>
  <c r="S91" i="7"/>
  <c r="T91" i="7" s="1"/>
  <c r="U91" i="7" s="1"/>
  <c r="S32" i="7"/>
  <c r="T32" i="7" s="1"/>
  <c r="U32" i="7" s="1"/>
  <c r="S39" i="7"/>
  <c r="T39" i="7" s="1"/>
  <c r="U39" i="7" s="1"/>
  <c r="F19" i="13"/>
  <c r="D19" i="13" s="1"/>
  <c r="S20" i="7"/>
  <c r="T20" i="7" s="1"/>
  <c r="U20" i="7" s="1"/>
  <c r="S19" i="7"/>
  <c r="T19" i="7" s="1"/>
  <c r="U19" i="7" s="1"/>
  <c r="S37" i="7"/>
  <c r="T37" i="7" s="1"/>
  <c r="U37" i="7" s="1"/>
  <c r="S22" i="7"/>
  <c r="T22" i="7" s="1"/>
  <c r="U22" i="7" s="1"/>
  <c r="S27" i="7"/>
  <c r="T27" i="7" s="1"/>
  <c r="U27" i="7" s="1"/>
  <c r="S52" i="7"/>
  <c r="T52" i="7" s="1"/>
  <c r="U52" i="7" s="1"/>
  <c r="S44" i="7"/>
  <c r="T44" i="7" s="1"/>
  <c r="U44" i="7" s="1"/>
  <c r="S43" i="7"/>
  <c r="T43" i="7" s="1"/>
  <c r="U43" i="7" s="1"/>
  <c r="S59" i="7"/>
  <c r="T59" i="7" s="1"/>
  <c r="U59" i="7" s="1"/>
  <c r="S40" i="7"/>
  <c r="T40" i="7" s="1"/>
  <c r="U40" i="7" s="1"/>
  <c r="S29" i="7"/>
  <c r="T29" i="7" s="1"/>
  <c r="U29" i="7" s="1"/>
  <c r="S45" i="7"/>
  <c r="T45" i="7" s="1"/>
  <c r="U45" i="7" s="1"/>
  <c r="S33" i="7"/>
  <c r="T33" i="7" s="1"/>
  <c r="U33" i="7" s="1"/>
  <c r="S23" i="7"/>
  <c r="T23" i="7" s="1"/>
  <c r="U23" i="7" s="1"/>
  <c r="S46" i="7"/>
  <c r="T46" i="7" s="1"/>
  <c r="U46" i="7" s="1"/>
  <c r="S30" i="7"/>
  <c r="T30" i="7" s="1"/>
  <c r="U30" i="7" s="1"/>
  <c r="S34" i="7"/>
  <c r="T34" i="7" s="1"/>
  <c r="U34" i="7" s="1"/>
  <c r="S38" i="7"/>
  <c r="T38" i="7" s="1"/>
  <c r="U38" i="7" s="1"/>
  <c r="S56" i="7"/>
  <c r="T56" i="7" s="1"/>
  <c r="U56" i="7" s="1"/>
  <c r="S50" i="7"/>
  <c r="T50" i="7" s="1"/>
  <c r="U50" i="7" s="1"/>
  <c r="S28" i="7"/>
  <c r="T28" i="7" s="1"/>
  <c r="U28" i="7" s="1"/>
  <c r="S24" i="7"/>
  <c r="T24" i="7" s="1"/>
  <c r="U24" i="7" s="1"/>
  <c r="S49" i="7"/>
  <c r="T49" i="7" s="1"/>
  <c r="U49" i="7" s="1"/>
  <c r="S55" i="7"/>
  <c r="T55" i="7" s="1"/>
  <c r="U55" i="7" s="1"/>
  <c r="S31" i="7"/>
  <c r="T31" i="7" s="1"/>
  <c r="U31" i="7" s="1"/>
  <c r="S36" i="7"/>
  <c r="T36" i="7" s="1"/>
  <c r="U36" i="7" s="1"/>
  <c r="S58" i="7"/>
  <c r="T58" i="7" s="1"/>
  <c r="U58" i="7" s="1"/>
  <c r="S48" i="7"/>
  <c r="T48" i="7" s="1"/>
  <c r="U48" i="7" s="1"/>
  <c r="S53" i="7"/>
  <c r="T53" i="7" s="1"/>
  <c r="U53" i="7" s="1"/>
  <c r="S35" i="7"/>
  <c r="T35" i="7" s="1"/>
  <c r="U35" i="7" s="1"/>
  <c r="S18" i="7"/>
  <c r="T18" i="7" s="1"/>
  <c r="U18" i="7" s="1"/>
  <c r="S51" i="7"/>
  <c r="T51" i="7" s="1"/>
  <c r="U51" i="7" s="1"/>
  <c r="S41" i="7"/>
  <c r="T41" i="7" s="1"/>
  <c r="U41" i="7" s="1"/>
  <c r="S54" i="7"/>
  <c r="T54" i="7" s="1"/>
  <c r="U54" i="7" s="1"/>
  <c r="S21" i="7"/>
  <c r="T21" i="7" s="1"/>
  <c r="U21" i="7" s="1"/>
  <c r="S42" i="7"/>
  <c r="T42" i="7" s="1"/>
  <c r="U42" i="7" s="1"/>
  <c r="S47" i="7"/>
  <c r="T47" i="7" s="1"/>
  <c r="U47" i="7" s="1"/>
  <c r="S25" i="7"/>
  <c r="T25" i="7" s="1"/>
  <c r="U25" i="7" s="1"/>
  <c r="S60" i="7"/>
  <c r="T60" i="7" s="1"/>
  <c r="U60" i="7" s="1"/>
  <c r="S57" i="7"/>
  <c r="T57" i="7" s="1"/>
  <c r="U57" i="7" s="1"/>
  <c r="S62" i="7"/>
  <c r="T62" i="7" s="1"/>
  <c r="U62" i="7" s="1"/>
  <c r="S26" i="7"/>
  <c r="T26" i="7" s="1"/>
  <c r="U26" i="7" s="1"/>
  <c r="S61" i="7"/>
  <c r="T61" i="7" s="1"/>
  <c r="U61" i="7" s="1"/>
  <c r="I35" i="15"/>
  <c r="I36" i="15" s="1"/>
  <c r="F17" i="13" s="1"/>
  <c r="D17" i="13" s="1"/>
  <c r="I31" i="15"/>
  <c r="I32" i="15" s="1"/>
  <c r="H35" i="15"/>
  <c r="H36" i="15" s="1"/>
  <c r="Q290" i="5" l="1"/>
  <c r="R290" i="5" s="1"/>
  <c r="S290" i="5" s="1"/>
  <c r="Q278" i="5"/>
  <c r="R278" i="5" s="1"/>
  <c r="S278" i="5" s="1"/>
  <c r="Q289" i="5"/>
  <c r="R289" i="5" s="1"/>
  <c r="S289" i="5" s="1"/>
  <c r="Q283" i="5"/>
  <c r="R283" i="5" s="1"/>
  <c r="S283" i="5" s="1"/>
  <c r="Q288" i="5"/>
  <c r="R288" i="5" s="1"/>
  <c r="S288" i="5" s="1"/>
  <c r="Q279" i="5"/>
  <c r="R279" i="5" s="1"/>
  <c r="S279" i="5" s="1"/>
  <c r="Q292" i="5"/>
  <c r="R292" i="5" s="1"/>
  <c r="S292" i="5" s="1"/>
  <c r="Q285" i="5"/>
  <c r="R285" i="5" s="1"/>
  <c r="S285" i="5" s="1"/>
  <c r="Q293" i="5"/>
  <c r="R293" i="5" s="1"/>
  <c r="S293" i="5" s="1"/>
  <c r="Q281" i="5"/>
  <c r="R281" i="5" s="1"/>
  <c r="S281" i="5" s="1"/>
  <c r="Q286" i="5"/>
  <c r="R286" i="5" s="1"/>
  <c r="S286" i="5" s="1"/>
  <c r="Q291" i="5"/>
  <c r="R291" i="5" s="1"/>
  <c r="S291" i="5" s="1"/>
  <c r="Q284" i="5"/>
  <c r="R284" i="5" s="1"/>
  <c r="S284" i="5" s="1"/>
  <c r="Q280" i="5"/>
  <c r="R280" i="5" s="1"/>
  <c r="S280" i="5" s="1"/>
  <c r="Q282" i="5"/>
  <c r="R282" i="5" s="1"/>
  <c r="S282" i="5" s="1"/>
  <c r="Q287" i="5"/>
  <c r="R287" i="5" s="1"/>
  <c r="S287" i="5" s="1"/>
  <c r="Q263" i="5"/>
  <c r="R263" i="5" s="1"/>
  <c r="S263" i="5" s="1"/>
  <c r="Q275" i="5"/>
  <c r="R275" i="5" s="1"/>
  <c r="S275" i="5" s="1"/>
  <c r="Q303" i="5"/>
  <c r="R303" i="5" s="1"/>
  <c r="S303" i="5" s="1"/>
  <c r="Q315" i="5"/>
  <c r="R315" i="5" s="1"/>
  <c r="S315" i="5" s="1"/>
  <c r="Q274" i="5"/>
  <c r="R274" i="5" s="1"/>
  <c r="S274" i="5" s="1"/>
  <c r="Q302" i="5"/>
  <c r="R302" i="5" s="1"/>
  <c r="S302" i="5" s="1"/>
  <c r="Q270" i="5"/>
  <c r="R270" i="5" s="1"/>
  <c r="S270" i="5" s="1"/>
  <c r="Q298" i="5"/>
  <c r="R298" i="5" s="1"/>
  <c r="S298" i="5" s="1"/>
  <c r="Q310" i="5"/>
  <c r="R310" i="5" s="1"/>
  <c r="S310" i="5" s="1"/>
  <c r="Q265" i="5"/>
  <c r="R265" i="5" s="1"/>
  <c r="S265" i="5" s="1"/>
  <c r="Q277" i="5"/>
  <c r="R277" i="5" s="1"/>
  <c r="S277" i="5" s="1"/>
  <c r="Q305" i="5"/>
  <c r="R305" i="5" s="1"/>
  <c r="S305" i="5" s="1"/>
  <c r="Q317" i="5"/>
  <c r="R317" i="5" s="1"/>
  <c r="S317" i="5" s="1"/>
  <c r="Q260" i="5"/>
  <c r="R260" i="5" s="1"/>
  <c r="S260" i="5" s="1"/>
  <c r="Q272" i="5"/>
  <c r="R272" i="5" s="1"/>
  <c r="S272" i="5" s="1"/>
  <c r="Q300" i="5"/>
  <c r="R300" i="5" s="1"/>
  <c r="S300" i="5" s="1"/>
  <c r="Q312" i="5"/>
  <c r="R312" i="5" s="1"/>
  <c r="S312" i="5" s="1"/>
  <c r="Q267" i="5"/>
  <c r="R267" i="5" s="1"/>
  <c r="S267" i="5" s="1"/>
  <c r="Q295" i="5"/>
  <c r="R295" i="5" s="1"/>
  <c r="S295" i="5" s="1"/>
  <c r="Q307" i="5"/>
  <c r="R307" i="5" s="1"/>
  <c r="S307" i="5" s="1"/>
  <c r="Q262" i="5"/>
  <c r="R262" i="5" s="1"/>
  <c r="S262" i="5" s="1"/>
  <c r="Q314" i="5"/>
  <c r="R314" i="5" s="1"/>
  <c r="S314" i="5" s="1"/>
  <c r="Q296" i="5"/>
  <c r="R296" i="5" s="1"/>
  <c r="S296" i="5" s="1"/>
  <c r="Q269" i="5"/>
  <c r="R269" i="5" s="1"/>
  <c r="S269" i="5" s="1"/>
  <c r="Q297" i="5"/>
  <c r="R297" i="5" s="1"/>
  <c r="S297" i="5" s="1"/>
  <c r="Q309" i="5"/>
  <c r="R309" i="5" s="1"/>
  <c r="S309" i="5" s="1"/>
  <c r="Q264" i="5"/>
  <c r="R264" i="5" s="1"/>
  <c r="S264" i="5" s="1"/>
  <c r="Q276" i="5"/>
  <c r="R276" i="5" s="1"/>
  <c r="S276" i="5" s="1"/>
  <c r="Q304" i="5"/>
  <c r="R304" i="5" s="1"/>
  <c r="S304" i="5" s="1"/>
  <c r="Q316" i="5"/>
  <c r="R316" i="5" s="1"/>
  <c r="S316" i="5" s="1"/>
  <c r="Q271" i="5"/>
  <c r="R271" i="5" s="1"/>
  <c r="S271" i="5" s="1"/>
  <c r="Q299" i="5"/>
  <c r="R299" i="5" s="1"/>
  <c r="S299" i="5" s="1"/>
  <c r="Q311" i="5"/>
  <c r="R311" i="5" s="1"/>
  <c r="S311" i="5" s="1"/>
  <c r="Q266" i="5"/>
  <c r="R266" i="5" s="1"/>
  <c r="S266" i="5" s="1"/>
  <c r="Q294" i="5"/>
  <c r="R294" i="5" s="1"/>
  <c r="S294" i="5" s="1"/>
  <c r="Q306" i="5"/>
  <c r="R306" i="5" s="1"/>
  <c r="S306" i="5" s="1"/>
  <c r="Q318" i="5"/>
  <c r="R318" i="5" s="1"/>
  <c r="S318" i="5" s="1"/>
  <c r="Q261" i="5"/>
  <c r="R261" i="5" s="1"/>
  <c r="S261" i="5" s="1"/>
  <c r="Q273" i="5"/>
  <c r="R273" i="5" s="1"/>
  <c r="S273" i="5" s="1"/>
  <c r="Q301" i="5"/>
  <c r="R301" i="5" s="1"/>
  <c r="S301" i="5" s="1"/>
  <c r="Q313" i="5"/>
  <c r="R313" i="5" s="1"/>
  <c r="S313" i="5" s="1"/>
  <c r="Q268" i="5"/>
  <c r="R268" i="5" s="1"/>
  <c r="S268" i="5" s="1"/>
  <c r="Q308" i="5"/>
  <c r="R308" i="5" s="1"/>
  <c r="S308" i="5" s="1"/>
  <c r="Q247" i="5"/>
  <c r="R247" i="5" s="1"/>
  <c r="S247" i="5" s="1"/>
  <c r="Q235" i="5"/>
  <c r="R235" i="5" s="1"/>
  <c r="S235" i="5" s="1"/>
  <c r="Q223" i="5"/>
  <c r="R223" i="5" s="1"/>
  <c r="S223" i="5" s="1"/>
  <c r="Q211" i="5"/>
  <c r="R211" i="5" s="1"/>
  <c r="S211" i="5" s="1"/>
  <c r="Q256" i="5"/>
  <c r="R256" i="5" s="1"/>
  <c r="S256" i="5" s="1"/>
  <c r="Q219" i="5"/>
  <c r="R219" i="5" s="1"/>
  <c r="S219" i="5" s="1"/>
  <c r="Q212" i="5"/>
  <c r="R212" i="5" s="1"/>
  <c r="S212" i="5" s="1"/>
  <c r="Q220" i="5"/>
  <c r="R220" i="5" s="1"/>
  <c r="S220" i="5" s="1"/>
  <c r="Q252" i="5"/>
  <c r="R252" i="5" s="1"/>
  <c r="S252" i="5" s="1"/>
  <c r="Q240" i="5"/>
  <c r="R240" i="5" s="1"/>
  <c r="S240" i="5" s="1"/>
  <c r="Q228" i="5"/>
  <c r="R228" i="5" s="1"/>
  <c r="S228" i="5" s="1"/>
  <c r="Q216" i="5"/>
  <c r="R216" i="5" s="1"/>
  <c r="S216" i="5" s="1"/>
  <c r="Q243" i="5"/>
  <c r="R243" i="5" s="1"/>
  <c r="S243" i="5" s="1"/>
  <c r="Q236" i="5"/>
  <c r="R236" i="5" s="1"/>
  <c r="S236" i="5" s="1"/>
  <c r="Q215" i="5"/>
  <c r="R215" i="5" s="1"/>
  <c r="S215" i="5" s="1"/>
  <c r="Q257" i="5"/>
  <c r="R257" i="5" s="1"/>
  <c r="S257" i="5" s="1"/>
  <c r="Q244" i="5"/>
  <c r="R244" i="5" s="1"/>
  <c r="S244" i="5" s="1"/>
  <c r="Q242" i="5"/>
  <c r="R242" i="5" s="1"/>
  <c r="S242" i="5" s="1"/>
  <c r="Q230" i="5"/>
  <c r="R230" i="5" s="1"/>
  <c r="S230" i="5" s="1"/>
  <c r="Q206" i="5"/>
  <c r="R206" i="5" s="1"/>
  <c r="S206" i="5" s="1"/>
  <c r="Q258" i="5"/>
  <c r="R258" i="5" s="1"/>
  <c r="S258" i="5" s="1"/>
  <c r="Q245" i="5"/>
  <c r="R245" i="5" s="1"/>
  <c r="S245" i="5" s="1"/>
  <c r="Q233" i="5"/>
  <c r="R233" i="5" s="1"/>
  <c r="S233" i="5" s="1"/>
  <c r="Q221" i="5"/>
  <c r="R221" i="5" s="1"/>
  <c r="S221" i="5" s="1"/>
  <c r="Q209" i="5"/>
  <c r="R209" i="5" s="1"/>
  <c r="S209" i="5" s="1"/>
  <c r="Q231" i="5"/>
  <c r="R231" i="5" s="1"/>
  <c r="S231" i="5" s="1"/>
  <c r="Q207" i="5"/>
  <c r="R207" i="5" s="1"/>
  <c r="S207" i="5" s="1"/>
  <c r="Q255" i="5"/>
  <c r="R255" i="5" s="1"/>
  <c r="S255" i="5" s="1"/>
  <c r="Q250" i="5"/>
  <c r="R250" i="5" s="1"/>
  <c r="S250" i="5" s="1"/>
  <c r="Q238" i="5"/>
  <c r="R238" i="5" s="1"/>
  <c r="S238" i="5" s="1"/>
  <c r="Q226" i="5"/>
  <c r="R226" i="5" s="1"/>
  <c r="S226" i="5" s="1"/>
  <c r="Q214" i="5"/>
  <c r="R214" i="5" s="1"/>
  <c r="S214" i="5" s="1"/>
  <c r="Q248" i="5"/>
  <c r="R248" i="5" s="1"/>
  <c r="S248" i="5" s="1"/>
  <c r="Q224" i="5"/>
  <c r="R224" i="5" s="1"/>
  <c r="S224" i="5" s="1"/>
  <c r="Q239" i="5"/>
  <c r="R239" i="5" s="1"/>
  <c r="S239" i="5" s="1"/>
  <c r="Q232" i="5"/>
  <c r="R232" i="5" s="1"/>
  <c r="S232" i="5" s="1"/>
  <c r="Q249" i="5"/>
  <c r="R249" i="5" s="1"/>
  <c r="S249" i="5" s="1"/>
  <c r="Q237" i="5"/>
  <c r="R237" i="5" s="1"/>
  <c r="S237" i="5" s="1"/>
  <c r="Q225" i="5"/>
  <c r="R225" i="5" s="1"/>
  <c r="S225" i="5" s="1"/>
  <c r="Q213" i="5"/>
  <c r="R213" i="5" s="1"/>
  <c r="S213" i="5" s="1"/>
  <c r="Q254" i="5"/>
  <c r="R254" i="5" s="1"/>
  <c r="S254" i="5" s="1"/>
  <c r="Q241" i="5"/>
  <c r="R241" i="5" s="1"/>
  <c r="S241" i="5" s="1"/>
  <c r="Q229" i="5"/>
  <c r="R229" i="5" s="1"/>
  <c r="S229" i="5" s="1"/>
  <c r="Q217" i="5"/>
  <c r="R217" i="5" s="1"/>
  <c r="S217" i="5" s="1"/>
  <c r="Q205" i="5"/>
  <c r="R205" i="5" s="1"/>
  <c r="S205" i="5" s="1"/>
  <c r="Q259" i="5"/>
  <c r="R259" i="5" s="1"/>
  <c r="S259" i="5" s="1"/>
  <c r="Q246" i="5"/>
  <c r="R246" i="5" s="1"/>
  <c r="S246" i="5" s="1"/>
  <c r="Q234" i="5"/>
  <c r="R234" i="5" s="1"/>
  <c r="S234" i="5" s="1"/>
  <c r="Q222" i="5"/>
  <c r="R222" i="5" s="1"/>
  <c r="S222" i="5" s="1"/>
  <c r="Q210" i="5"/>
  <c r="R210" i="5" s="1"/>
  <c r="S210" i="5" s="1"/>
  <c r="Q251" i="5"/>
  <c r="R251" i="5" s="1"/>
  <c r="S251" i="5" s="1"/>
  <c r="Q227" i="5"/>
  <c r="R227" i="5" s="1"/>
  <c r="S227" i="5" s="1"/>
  <c r="Q208" i="5"/>
  <c r="R208" i="5" s="1"/>
  <c r="S208" i="5" s="1"/>
  <c r="Q218" i="5"/>
  <c r="R218" i="5" s="1"/>
  <c r="S218" i="5" s="1"/>
  <c r="Q319" i="5"/>
  <c r="R319" i="5" s="1"/>
  <c r="S319" i="5" s="1"/>
  <c r="Q204" i="5"/>
  <c r="R204" i="5" s="1"/>
  <c r="S204" i="5" s="1"/>
  <c r="Q200" i="5"/>
  <c r="R200" i="5" s="1"/>
  <c r="S200" i="5" s="1"/>
  <c r="Q196" i="5"/>
  <c r="R196" i="5" s="1"/>
  <c r="S196" i="5" s="1"/>
  <c r="Q201" i="5"/>
  <c r="R201" i="5" s="1"/>
  <c r="S201" i="5" s="1"/>
  <c r="Q197" i="5"/>
  <c r="R197" i="5" s="1"/>
  <c r="S197" i="5" s="1"/>
  <c r="Q199" i="5"/>
  <c r="R199" i="5" s="1"/>
  <c r="S199" i="5" s="1"/>
  <c r="Q192" i="5"/>
  <c r="R192" i="5" s="1"/>
  <c r="S192" i="5" s="1"/>
  <c r="Q188" i="5"/>
  <c r="R188" i="5" s="1"/>
  <c r="S188" i="5" s="1"/>
  <c r="Q184" i="5"/>
  <c r="R184" i="5" s="1"/>
  <c r="S184" i="5" s="1"/>
  <c r="Q180" i="5"/>
  <c r="R180" i="5" s="1"/>
  <c r="S180" i="5" s="1"/>
  <c r="Q176" i="5"/>
  <c r="R176" i="5" s="1"/>
  <c r="S176" i="5" s="1"/>
  <c r="Q202" i="5"/>
  <c r="R202" i="5" s="1"/>
  <c r="S202" i="5" s="1"/>
  <c r="Q194" i="5"/>
  <c r="R194" i="5" s="1"/>
  <c r="S194" i="5" s="1"/>
  <c r="Q189" i="5"/>
  <c r="R189" i="5" s="1"/>
  <c r="S189" i="5" s="1"/>
  <c r="Q185" i="5"/>
  <c r="R185" i="5" s="1"/>
  <c r="S185" i="5" s="1"/>
  <c r="Q181" i="5"/>
  <c r="R181" i="5" s="1"/>
  <c r="S181" i="5" s="1"/>
  <c r="Q203" i="5"/>
  <c r="R203" i="5" s="1"/>
  <c r="S203" i="5" s="1"/>
  <c r="Q195" i="5"/>
  <c r="R195" i="5" s="1"/>
  <c r="S195" i="5" s="1"/>
  <c r="Q190" i="5"/>
  <c r="R190" i="5" s="1"/>
  <c r="S190" i="5" s="1"/>
  <c r="Q186" i="5"/>
  <c r="R186" i="5" s="1"/>
  <c r="S186" i="5" s="1"/>
  <c r="Q182" i="5"/>
  <c r="R182" i="5" s="1"/>
  <c r="S182" i="5" s="1"/>
  <c r="Q183" i="5"/>
  <c r="R183" i="5" s="1"/>
  <c r="S183" i="5" s="1"/>
  <c r="Q178" i="5"/>
  <c r="R178" i="5" s="1"/>
  <c r="S178" i="5" s="1"/>
  <c r="Q172" i="5"/>
  <c r="R172" i="5" s="1"/>
  <c r="S172" i="5" s="1"/>
  <c r="Q168" i="5"/>
  <c r="R168" i="5" s="1"/>
  <c r="S168" i="5" s="1"/>
  <c r="Q164" i="5"/>
  <c r="R164" i="5" s="1"/>
  <c r="S164" i="5" s="1"/>
  <c r="Q160" i="5"/>
  <c r="R160" i="5" s="1"/>
  <c r="S160" i="5" s="1"/>
  <c r="Q161" i="5"/>
  <c r="R161" i="5" s="1"/>
  <c r="S161" i="5" s="1"/>
  <c r="Q162" i="5"/>
  <c r="R162" i="5" s="1"/>
  <c r="S162" i="5" s="1"/>
  <c r="Q174" i="5"/>
  <c r="R174" i="5" s="1"/>
  <c r="S174" i="5" s="1"/>
  <c r="Q167" i="5"/>
  <c r="R167" i="5" s="1"/>
  <c r="S167" i="5" s="1"/>
  <c r="Q177" i="5"/>
  <c r="R177" i="5" s="1"/>
  <c r="S177" i="5" s="1"/>
  <c r="Q173" i="5"/>
  <c r="R173" i="5" s="1"/>
  <c r="S173" i="5" s="1"/>
  <c r="Q169" i="5"/>
  <c r="R169" i="5" s="1"/>
  <c r="S169" i="5" s="1"/>
  <c r="Q165" i="5"/>
  <c r="R165" i="5" s="1"/>
  <c r="S165" i="5" s="1"/>
  <c r="Q158" i="5"/>
  <c r="R158" i="5" s="1"/>
  <c r="S158" i="5" s="1"/>
  <c r="Q191" i="5"/>
  <c r="R191" i="5" s="1"/>
  <c r="S191" i="5" s="1"/>
  <c r="Q187" i="5"/>
  <c r="R187" i="5" s="1"/>
  <c r="S187" i="5" s="1"/>
  <c r="Q175" i="5"/>
  <c r="R175" i="5" s="1"/>
  <c r="S175" i="5" s="1"/>
  <c r="Q170" i="5"/>
  <c r="R170" i="5" s="1"/>
  <c r="S170" i="5" s="1"/>
  <c r="Q166" i="5"/>
  <c r="R166" i="5" s="1"/>
  <c r="S166" i="5" s="1"/>
  <c r="Q198" i="5"/>
  <c r="R198" i="5" s="1"/>
  <c r="S198" i="5" s="1"/>
  <c r="Q179" i="5"/>
  <c r="R179" i="5" s="1"/>
  <c r="S179" i="5" s="1"/>
  <c r="Q171" i="5"/>
  <c r="R171" i="5" s="1"/>
  <c r="S171" i="5" s="1"/>
  <c r="Q163" i="5"/>
  <c r="R163" i="5" s="1"/>
  <c r="S163" i="5" s="1"/>
  <c r="Q159" i="5"/>
  <c r="R159" i="5" s="1"/>
  <c r="S159" i="5" s="1"/>
  <c r="Q153" i="5"/>
  <c r="R153" i="5" s="1"/>
  <c r="S153" i="5" s="1"/>
  <c r="Q149" i="5"/>
  <c r="R149" i="5" s="1"/>
  <c r="S149" i="5" s="1"/>
  <c r="Q145" i="5"/>
  <c r="R145" i="5" s="1"/>
  <c r="S145" i="5" s="1"/>
  <c r="Q141" i="5"/>
  <c r="R141" i="5" s="1"/>
  <c r="S141" i="5" s="1"/>
  <c r="Q137" i="5"/>
  <c r="R137" i="5" s="1"/>
  <c r="S137" i="5" s="1"/>
  <c r="Q133" i="5"/>
  <c r="R133" i="5" s="1"/>
  <c r="S133" i="5" s="1"/>
  <c r="Q129" i="5"/>
  <c r="R129" i="5" s="1"/>
  <c r="S129" i="5" s="1"/>
  <c r="Q125" i="5"/>
  <c r="R125" i="5" s="1"/>
  <c r="S125" i="5" s="1"/>
  <c r="Q136" i="5"/>
  <c r="R136" i="5" s="1"/>
  <c r="S136" i="5" s="1"/>
  <c r="Q132" i="5"/>
  <c r="R132" i="5" s="1"/>
  <c r="S132" i="5" s="1"/>
  <c r="Q154" i="5"/>
  <c r="R154" i="5" s="1"/>
  <c r="S154" i="5" s="1"/>
  <c r="Q150" i="5"/>
  <c r="R150" i="5" s="1"/>
  <c r="S150" i="5" s="1"/>
  <c r="Q146" i="5"/>
  <c r="R146" i="5" s="1"/>
  <c r="S146" i="5" s="1"/>
  <c r="Q142" i="5"/>
  <c r="R142" i="5" s="1"/>
  <c r="S142" i="5" s="1"/>
  <c r="Q138" i="5"/>
  <c r="R138" i="5" s="1"/>
  <c r="S138" i="5" s="1"/>
  <c r="Q134" i="5"/>
  <c r="R134" i="5" s="1"/>
  <c r="S134" i="5" s="1"/>
  <c r="Q130" i="5"/>
  <c r="R130" i="5" s="1"/>
  <c r="S130" i="5" s="1"/>
  <c r="Q126" i="5"/>
  <c r="R126" i="5" s="1"/>
  <c r="S126" i="5" s="1"/>
  <c r="Q148" i="5"/>
  <c r="R148" i="5" s="1"/>
  <c r="S148" i="5" s="1"/>
  <c r="Q144" i="5"/>
  <c r="R144" i="5" s="1"/>
  <c r="S144" i="5" s="1"/>
  <c r="Q140" i="5"/>
  <c r="R140" i="5" s="1"/>
  <c r="S140" i="5" s="1"/>
  <c r="Q124" i="5"/>
  <c r="R124" i="5" s="1"/>
  <c r="S124" i="5" s="1"/>
  <c r="Q155" i="5"/>
  <c r="R155" i="5" s="1"/>
  <c r="S155" i="5" s="1"/>
  <c r="Q151" i="5"/>
  <c r="R151" i="5" s="1"/>
  <c r="S151" i="5" s="1"/>
  <c r="Q147" i="5"/>
  <c r="R147" i="5" s="1"/>
  <c r="S147" i="5" s="1"/>
  <c r="Q143" i="5"/>
  <c r="R143" i="5" s="1"/>
  <c r="S143" i="5" s="1"/>
  <c r="Q139" i="5"/>
  <c r="R139" i="5" s="1"/>
  <c r="S139" i="5" s="1"/>
  <c r="Q135" i="5"/>
  <c r="R135" i="5" s="1"/>
  <c r="S135" i="5" s="1"/>
  <c r="Q131" i="5"/>
  <c r="R131" i="5" s="1"/>
  <c r="S131" i="5" s="1"/>
  <c r="Q127" i="5"/>
  <c r="R127" i="5" s="1"/>
  <c r="S127" i="5" s="1"/>
  <c r="Q123" i="5"/>
  <c r="R123" i="5" s="1"/>
  <c r="S123" i="5" s="1"/>
  <c r="Q156" i="5"/>
  <c r="R156" i="5" s="1"/>
  <c r="S156" i="5" s="1"/>
  <c r="Q152" i="5"/>
  <c r="R152" i="5" s="1"/>
  <c r="S152" i="5" s="1"/>
  <c r="Q128" i="5"/>
  <c r="R128" i="5" s="1"/>
  <c r="S128" i="5" s="1"/>
  <c r="Q121" i="5"/>
  <c r="R121" i="5" s="1"/>
  <c r="S121" i="5" s="1"/>
  <c r="Q120" i="5"/>
  <c r="R120" i="5" s="1"/>
  <c r="S120" i="5" s="1"/>
  <c r="Q122" i="5"/>
  <c r="R122" i="5" s="1"/>
  <c r="S122" i="5" s="1"/>
  <c r="Q157" i="5"/>
  <c r="R157" i="5" s="1"/>
  <c r="S157" i="5" s="1"/>
  <c r="Q119" i="5"/>
  <c r="R119" i="5" s="1"/>
  <c r="S119" i="5" s="1"/>
  <c r="Q116" i="5"/>
  <c r="R116" i="5" s="1"/>
  <c r="S116" i="5" s="1"/>
  <c r="Q118" i="5"/>
  <c r="R118" i="5" s="1"/>
  <c r="S118" i="5" s="1"/>
  <c r="Q117" i="5"/>
  <c r="R117" i="5" s="1"/>
  <c r="S117" i="5" s="1"/>
  <c r="Q115" i="5"/>
  <c r="R115" i="5" s="1"/>
  <c r="S115" i="5" s="1"/>
  <c r="Q113" i="5"/>
  <c r="R113" i="5" s="1"/>
  <c r="S113" i="5" s="1"/>
  <c r="Q114" i="5"/>
  <c r="R114" i="5" s="1"/>
  <c r="S114" i="5" s="1"/>
  <c r="Q111" i="5"/>
  <c r="R111" i="5" s="1"/>
  <c r="S111" i="5" s="1"/>
  <c r="Q112" i="5"/>
  <c r="R112" i="5" s="1"/>
  <c r="S112" i="5" s="1"/>
  <c r="Q109" i="5"/>
  <c r="R109" i="5" s="1"/>
  <c r="S109" i="5" s="1"/>
  <c r="Q110" i="5"/>
  <c r="R110" i="5" s="1"/>
  <c r="S110" i="5" s="1"/>
  <c r="Q108" i="5"/>
  <c r="R108" i="5" s="1"/>
  <c r="S108" i="5" s="1"/>
  <c r="Q107" i="5"/>
  <c r="R107" i="5" s="1"/>
  <c r="S107" i="5" s="1"/>
  <c r="Q106" i="5"/>
  <c r="R106" i="5" s="1"/>
  <c r="S106" i="5" s="1"/>
  <c r="Q105" i="5"/>
  <c r="R105" i="5" s="1"/>
  <c r="S105" i="5" s="1"/>
  <c r="Q104" i="5"/>
  <c r="R104" i="5" s="1"/>
  <c r="S104" i="5" s="1"/>
  <c r="Q103" i="5"/>
  <c r="R103" i="5" s="1"/>
  <c r="S103" i="5" s="1"/>
  <c r="Q102" i="5"/>
  <c r="R102" i="5" s="1"/>
  <c r="S102" i="5" s="1"/>
  <c r="Q101" i="5"/>
  <c r="R101" i="5" s="1"/>
  <c r="S101" i="5" s="1"/>
  <c r="Q100" i="5"/>
  <c r="R100" i="5" s="1"/>
  <c r="S100" i="5" s="1"/>
  <c r="Q99" i="5"/>
  <c r="R99" i="5" s="1"/>
  <c r="S99" i="5" s="1"/>
  <c r="Q98" i="5"/>
  <c r="R98" i="5" s="1"/>
  <c r="S98" i="5" s="1"/>
  <c r="Q97" i="5"/>
  <c r="R97" i="5" s="1"/>
  <c r="S97" i="5" s="1"/>
  <c r="Q96" i="5"/>
  <c r="R96" i="5" s="1"/>
  <c r="S96" i="5" s="1"/>
  <c r="Q95" i="5"/>
  <c r="R95" i="5" s="1"/>
  <c r="S95" i="5" s="1"/>
  <c r="Q94" i="5"/>
  <c r="R94" i="5" s="1"/>
  <c r="S94" i="5" s="1"/>
  <c r="Q93" i="5"/>
  <c r="R93" i="5" s="1"/>
  <c r="S93" i="5" s="1"/>
  <c r="Q92" i="5"/>
  <c r="R92" i="5" s="1"/>
  <c r="S92" i="5" s="1"/>
  <c r="U305" i="7"/>
  <c r="D17" i="10" s="1"/>
  <c r="Q54" i="5"/>
  <c r="R54" i="5" s="1"/>
  <c r="S54" i="5" s="1"/>
  <c r="Q75" i="5"/>
  <c r="R75" i="5" s="1"/>
  <c r="S75" i="5" s="1"/>
  <c r="Q57" i="5"/>
  <c r="R57" i="5" s="1"/>
  <c r="S57" i="5" s="1"/>
  <c r="Q23" i="5"/>
  <c r="R23" i="5" s="1"/>
  <c r="S23" i="5" s="1"/>
  <c r="Q66" i="5"/>
  <c r="R66" i="5" s="1"/>
  <c r="S66" i="5" s="1"/>
  <c r="Q30" i="5"/>
  <c r="R30" i="5" s="1"/>
  <c r="S30" i="5" s="1"/>
  <c r="F15" i="13"/>
  <c r="D15" i="13" s="1"/>
  <c r="Q81" i="5"/>
  <c r="R81" i="5" s="1"/>
  <c r="S81" i="5" s="1"/>
  <c r="Q87" i="5"/>
  <c r="R87" i="5" s="1"/>
  <c r="S87" i="5" s="1"/>
  <c r="Q40" i="5"/>
  <c r="R40" i="5" s="1"/>
  <c r="S40" i="5" s="1"/>
  <c r="Q26" i="5"/>
  <c r="R26" i="5" s="1"/>
  <c r="S26" i="5" s="1"/>
  <c r="Q56" i="5"/>
  <c r="R56" i="5" s="1"/>
  <c r="S56" i="5" s="1"/>
  <c r="Q47" i="5"/>
  <c r="R47" i="5" s="1"/>
  <c r="S47" i="5" s="1"/>
  <c r="Q33" i="5"/>
  <c r="R33" i="5" s="1"/>
  <c r="S33" i="5" s="1"/>
  <c r="Q89" i="5"/>
  <c r="R89" i="5" s="1"/>
  <c r="S89" i="5" s="1"/>
  <c r="Q24" i="5"/>
  <c r="R24" i="5" s="1"/>
  <c r="S24" i="5" s="1"/>
  <c r="Q68" i="5"/>
  <c r="R68" i="5" s="1"/>
  <c r="S68" i="5" s="1"/>
  <c r="Q22" i="5"/>
  <c r="R22" i="5" s="1"/>
  <c r="S22" i="5" s="1"/>
  <c r="Q42" i="5"/>
  <c r="R42" i="5" s="1"/>
  <c r="S42" i="5" s="1"/>
  <c r="Q25" i="5"/>
  <c r="R25" i="5" s="1"/>
  <c r="S25" i="5" s="1"/>
  <c r="Q59" i="5"/>
  <c r="R59" i="5" s="1"/>
  <c r="S59" i="5" s="1"/>
  <c r="Q65" i="5"/>
  <c r="R65" i="5" s="1"/>
  <c r="S65" i="5" s="1"/>
  <c r="Q64" i="5"/>
  <c r="R64" i="5" s="1"/>
  <c r="S64" i="5" s="1"/>
  <c r="Q60" i="5"/>
  <c r="R60" i="5" s="1"/>
  <c r="S60" i="5" s="1"/>
  <c r="Q79" i="5"/>
  <c r="R79" i="5" s="1"/>
  <c r="S79" i="5" s="1"/>
  <c r="Q61" i="5"/>
  <c r="R61" i="5" s="1"/>
  <c r="S61" i="5" s="1"/>
  <c r="Q20" i="5"/>
  <c r="R20" i="5" s="1"/>
  <c r="S20" i="5" s="1"/>
  <c r="Q85" i="5"/>
  <c r="R85" i="5" s="1"/>
  <c r="S85" i="5" s="1"/>
  <c r="Q70" i="5"/>
  <c r="R70" i="5" s="1"/>
  <c r="S70" i="5" s="1"/>
  <c r="Q19" i="5"/>
  <c r="R19" i="5" s="1"/>
  <c r="S19" i="5" s="1"/>
  <c r="Q18" i="5"/>
  <c r="R18" i="5" s="1"/>
  <c r="Q53" i="5"/>
  <c r="R53" i="5" s="1"/>
  <c r="S53" i="5" s="1"/>
  <c r="Q34" i="5"/>
  <c r="R34" i="5" s="1"/>
  <c r="S34" i="5" s="1"/>
  <c r="Q41" i="5"/>
  <c r="R41" i="5" s="1"/>
  <c r="S41" i="5" s="1"/>
  <c r="Q55" i="5"/>
  <c r="R55" i="5" s="1"/>
  <c r="S55" i="5" s="1"/>
  <c r="Q29" i="5"/>
  <c r="R29" i="5" s="1"/>
  <c r="S29" i="5" s="1"/>
  <c r="Q31" i="5"/>
  <c r="R31" i="5" s="1"/>
  <c r="S31" i="5" s="1"/>
  <c r="Q77" i="5"/>
  <c r="R77" i="5" s="1"/>
  <c r="S77" i="5" s="1"/>
  <c r="Q35" i="5"/>
  <c r="R35" i="5" s="1"/>
  <c r="S35" i="5" s="1"/>
  <c r="Q74" i="5"/>
  <c r="R74" i="5" s="1"/>
  <c r="S74" i="5" s="1"/>
  <c r="Q49" i="5"/>
  <c r="R49" i="5" s="1"/>
  <c r="S49" i="5" s="1"/>
  <c r="Q76" i="5"/>
  <c r="R76" i="5" s="1"/>
  <c r="S76" i="5" s="1"/>
  <c r="Q28" i="5"/>
  <c r="R28" i="5" s="1"/>
  <c r="S28" i="5" s="1"/>
  <c r="Q51" i="5"/>
  <c r="R51" i="5" s="1"/>
  <c r="S51" i="5" s="1"/>
  <c r="Q72" i="5"/>
  <c r="R72" i="5" s="1"/>
  <c r="S72" i="5" s="1"/>
  <c r="Q82" i="5"/>
  <c r="R82" i="5" s="1"/>
  <c r="S82" i="5" s="1"/>
  <c r="Q45" i="5"/>
  <c r="R45" i="5" s="1"/>
  <c r="S45" i="5" s="1"/>
  <c r="Q67" i="5"/>
  <c r="R67" i="5" s="1"/>
  <c r="S67" i="5" s="1"/>
  <c r="Q73" i="5"/>
  <c r="R73" i="5" s="1"/>
  <c r="S73" i="5" s="1"/>
  <c r="Q50" i="5"/>
  <c r="R50" i="5" s="1"/>
  <c r="S50" i="5" s="1"/>
  <c r="Q39" i="5"/>
  <c r="R39" i="5" s="1"/>
  <c r="S39" i="5" s="1"/>
  <c r="Q62" i="5"/>
  <c r="R62" i="5" s="1"/>
  <c r="S62" i="5" s="1"/>
  <c r="Q84" i="5"/>
  <c r="R84" i="5" s="1"/>
  <c r="S84" i="5" s="1"/>
  <c r="Q43" i="5"/>
  <c r="R43" i="5" s="1"/>
  <c r="S43" i="5" s="1"/>
  <c r="Q83" i="5"/>
  <c r="R83" i="5" s="1"/>
  <c r="S83" i="5" s="1"/>
  <c r="Q86" i="5"/>
  <c r="R86" i="5" s="1"/>
  <c r="S86" i="5" s="1"/>
  <c r="Q38" i="5"/>
  <c r="R38" i="5" s="1"/>
  <c r="S38" i="5" s="1"/>
  <c r="Q71" i="5"/>
  <c r="R71" i="5" s="1"/>
  <c r="S71" i="5" s="1"/>
  <c r="Q88" i="5"/>
  <c r="R88" i="5" s="1"/>
  <c r="S88" i="5" s="1"/>
  <c r="Q32" i="5"/>
  <c r="R32" i="5" s="1"/>
  <c r="S32" i="5" s="1"/>
  <c r="Q69" i="5"/>
  <c r="R69" i="5" s="1"/>
  <c r="S69" i="5" s="1"/>
  <c r="Q36" i="5"/>
  <c r="R36" i="5" s="1"/>
  <c r="S36" i="5" s="1"/>
  <c r="Q80" i="5"/>
  <c r="R80" i="5" s="1"/>
  <c r="S80" i="5" s="1"/>
  <c r="Q63" i="5"/>
  <c r="R63" i="5" s="1"/>
  <c r="S63" i="5" s="1"/>
  <c r="Q37" i="5"/>
  <c r="R37" i="5" s="1"/>
  <c r="S37" i="5" s="1"/>
  <c r="Q44" i="5"/>
  <c r="R44" i="5" s="1"/>
  <c r="S44" i="5" s="1"/>
  <c r="Q21" i="5"/>
  <c r="R21" i="5" s="1"/>
  <c r="S21" i="5" s="1"/>
  <c r="Q27" i="5"/>
  <c r="R27" i="5" s="1"/>
  <c r="S27" i="5" s="1"/>
  <c r="Q78" i="5"/>
  <c r="R78" i="5" s="1"/>
  <c r="S78" i="5" s="1"/>
  <c r="Q46" i="5"/>
  <c r="R46" i="5" s="1"/>
  <c r="S46" i="5" s="1"/>
  <c r="Q91" i="5"/>
  <c r="R91" i="5" s="1"/>
  <c r="S91" i="5" s="1"/>
  <c r="Q58" i="5"/>
  <c r="R58" i="5" s="1"/>
  <c r="S58" i="5" s="1"/>
  <c r="Q48" i="5"/>
  <c r="R48" i="5" s="1"/>
  <c r="S48" i="5" s="1"/>
  <c r="Q52" i="5"/>
  <c r="R52" i="5" s="1"/>
  <c r="S52" i="5" s="1"/>
  <c r="S18" i="5" l="1"/>
  <c r="S321" i="5" s="1"/>
  <c r="D15" i="10" s="1"/>
  <c r="D19" i="10" s="1"/>
  <c r="D23" i="13" s="1"/>
  <c r="D28" i="13" s="1"/>
  <c r="H18" i="19" s="1"/>
  <c r="R321" i="5"/>
  <c r="P1" i="22" l="1"/>
  <c r="Y23" i="22" s="1"/>
  <c r="T23" i="22" s="1"/>
  <c r="Y40" i="22" l="1"/>
  <c r="T40" i="22" s="1"/>
  <c r="Y43" i="22"/>
  <c r="T43" i="22" s="1"/>
  <c r="Y20" i="22"/>
  <c r="T20" i="22" s="1"/>
  <c r="P9" i="22"/>
  <c r="Q9" i="22" s="1"/>
  <c r="S9" i="22" s="1"/>
  <c r="Y42" i="22"/>
  <c r="T42" i="22" s="1"/>
  <c r="Y32" i="22"/>
  <c r="T32" i="22" s="1"/>
  <c r="P7" i="22"/>
  <c r="Q7" i="22" s="1"/>
  <c r="S7" i="22" s="1"/>
  <c r="Y37" i="22"/>
  <c r="T37" i="22" s="1"/>
  <c r="P6" i="22"/>
  <c r="Q6" i="22" s="1"/>
  <c r="Y12" i="22"/>
  <c r="T12" i="22" s="1"/>
  <c r="Y21" i="22"/>
  <c r="T21" i="22" s="1"/>
  <c r="Y10" i="22"/>
  <c r="T10" i="22" s="1"/>
  <c r="Y11" i="22"/>
  <c r="T11" i="22" s="1"/>
  <c r="P8" i="22"/>
  <c r="Q8" i="22" s="1"/>
  <c r="S8" i="22" s="1"/>
  <c r="Y36" i="22"/>
  <c r="T36" i="22" s="1"/>
  <c r="Y29" i="22"/>
  <c r="T29" i="22" s="1"/>
  <c r="Y41" i="22"/>
  <c r="T41" i="22" s="1"/>
  <c r="Y34" i="22"/>
  <c r="T34" i="22" s="1"/>
  <c r="Y38" i="22"/>
  <c r="T38" i="22" s="1"/>
  <c r="Y19" i="22"/>
  <c r="T19" i="22" s="1"/>
  <c r="Y28" i="22"/>
  <c r="T28" i="22" s="1"/>
  <c r="P10" i="22"/>
  <c r="Q10" i="22" s="1"/>
  <c r="S10" i="22" s="1"/>
  <c r="Y17" i="22"/>
  <c r="T17" i="22" s="1"/>
  <c r="Y14" i="22"/>
  <c r="T14" i="22" s="1"/>
  <c r="Y18" i="22"/>
  <c r="T18" i="22" s="1"/>
  <c r="Y8" i="22"/>
  <c r="T8" i="22" s="1"/>
  <c r="Y9" i="22"/>
  <c r="T9" i="22" s="1"/>
  <c r="Y30" i="22"/>
  <c r="T30" i="22" s="1"/>
  <c r="Y31" i="22"/>
  <c r="T31" i="22" s="1"/>
  <c r="Y16" i="22"/>
  <c r="T16" i="22" s="1"/>
  <c r="Y39" i="22"/>
  <c r="T39" i="22" s="1"/>
  <c r="P11" i="22"/>
  <c r="Q11" i="22" s="1"/>
  <c r="S11" i="22" s="1"/>
  <c r="Y15" i="22"/>
  <c r="T15" i="22" s="1"/>
  <c r="Y33" i="22"/>
  <c r="T33" i="22" s="1"/>
  <c r="Y22" i="22"/>
  <c r="T22" i="22" s="1"/>
  <c r="Y13" i="22"/>
  <c r="T13" i="22" s="1"/>
  <c r="Y35" i="22"/>
  <c r="T35" i="22" s="1"/>
  <c r="P4" i="22" l="1"/>
  <c r="H19" i="19" s="1"/>
  <c r="B17" i="19" s="1"/>
  <c r="U5" i="22"/>
  <c r="U4" i="22"/>
</calcChain>
</file>

<file path=xl/sharedStrings.xml><?xml version="1.0" encoding="utf-8"?>
<sst xmlns="http://schemas.openxmlformats.org/spreadsheetml/2006/main" count="3853" uniqueCount="833">
  <si>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</si>
  <si>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</si>
  <si>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</si>
  <si>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</si>
  <si>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</si>
  <si>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</si>
  <si>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</si>
  <si>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</si>
  <si>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</si>
  <si>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</si>
  <si>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</si>
  <si>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</si>
  <si>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</si>
  <si>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</si>
  <si>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</si>
  <si>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</si>
  <si>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</si>
  <si>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</si>
  <si>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</si>
  <si>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</si>
  <si>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</si>
  <si>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</si>
  <si>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</si>
  <si>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</si>
  <si>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</si>
  <si>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</si>
  <si>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</si>
  <si>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</si>
  <si>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</si>
  <si>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</si>
  <si>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</si>
  <si>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</si>
  <si>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</si>
  <si>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</si>
  <si>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</si>
  <si>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</si>
  <si>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</si>
  <si>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</si>
  <si>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</si>
  <si>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</si>
  <si>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</si>
  <si>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</si>
  <si>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</si>
  <si>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</si>
  <si>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</si>
  <si>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</si>
  <si>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</si>
  <si>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</si>
  <si>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</si>
  <si>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</si>
  <si>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</si>
  <si>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</si>
  <si>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</si>
  <si>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</si>
  <si>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</si>
  <si>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</si>
  <si>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</si>
  <si>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</si>
  <si>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</si>
  <si>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</si>
  <si>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</si>
  <si>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</si>
  <si>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</si>
  <si>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</si>
  <si>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</si>
  <si>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</si>
  <si>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</si>
  <si>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</si>
  <si>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</si>
  <si>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</si>
  <si>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</si>
  <si>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</si>
  <si>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</si>
  <si>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</si>
  <si>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</si>
  <si>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</si>
  <si>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</si>
  <si>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</si>
  <si>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</si>
  <si>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</si>
  <si>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</si>
  <si>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</si>
  <si>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</si>
  <si>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</si>
  <si>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</si>
  <si>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</si>
  <si>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</si>
  <si>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</si>
  <si>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</si>
  <si>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</si>
  <si>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</si>
  <si>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</si>
  <si>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</si>
  <si>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</si>
  <si>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</si>
  <si>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</si>
  <si>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</si>
  <si>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</si>
  <si>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</si>
  <si>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</si>
  <si>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</si>
  <si>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</si>
  <si>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</si>
  <si>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</si>
  <si>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</si>
  <si>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</si>
  <si>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</si>
  <si>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</si>
  <si>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</si>
  <si>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</si>
  <si>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</si>
  <si>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</si>
  <si>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</si>
  <si>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</si>
  <si>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</si>
  <si>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</si>
  <si>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</si>
  <si>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</si>
  <si>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</si>
  <si>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</si>
  <si>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</si>
  <si>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</si>
  <si>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</si>
  <si>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</si>
  <si>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</si>
  <si>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</si>
  <si>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</si>
  <si>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</si>
  <si>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</si>
  <si>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</si>
  <si>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</si>
  <si>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</si>
  <si>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</si>
  <si>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</si>
  <si>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</si>
  <si>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</si>
  <si>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</si>
  <si>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</si>
  <si>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</si>
  <si>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</si>
  <si>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</si>
  <si>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</si>
  <si>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</si>
  <si>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</si>
  <si>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</si>
  <si>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</si>
  <si>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</si>
  <si>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</si>
  <si>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</si>
  <si>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</si>
  <si>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</si>
  <si>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</si>
  <si>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</si>
  <si>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</si>
  <si>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</si>
  <si>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</si>
  <si>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</si>
  <si>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</si>
  <si>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</si>
  <si>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</si>
  <si>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</si>
  <si>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</si>
  <si>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</si>
  <si>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</si>
  <si>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</si>
  <si>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</si>
  <si>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</si>
  <si>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</si>
  <si>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</si>
  <si>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</si>
  <si>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</si>
  <si>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</si>
  <si>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</si>
  <si>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</si>
  <si>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</si>
  <si>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</si>
  <si>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</si>
  <si>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</si>
  <si>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</si>
  <si>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</si>
  <si>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</si>
  <si>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</si>
  <si>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</si>
  <si>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</si>
  <si>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</si>
  <si>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</si>
  <si>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</si>
  <si>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</si>
  <si>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</si>
  <si>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</si>
  <si>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</si>
  <si>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</si>
  <si>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</si>
  <si>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</si>
  <si>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</si>
  <si>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</si>
  <si>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</si>
  <si>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</si>
  <si>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</si>
  <si>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</si>
  <si>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</si>
  <si>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</si>
  <si>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</si>
  <si>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</si>
  <si>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</si>
  <si>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</si>
  <si>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</si>
  <si>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</si>
  <si>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</si>
  <si>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</si>
  <si>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</si>
  <si>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</si>
  <si>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</si>
  <si>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</si>
  <si>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</si>
  <si>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</si>
  <si>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</si>
  <si>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</si>
  <si>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</si>
  <si>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</si>
  <si>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</si>
  <si>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</si>
  <si>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</si>
  <si>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</si>
  <si>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</si>
  <si>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</si>
  <si>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</si>
  <si>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</si>
  <si>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</si>
  <si>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</si>
  <si>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</si>
  <si>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</si>
  <si>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</si>
  <si>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Schedule 5</t>
  </si>
  <si>
    <t>Schedule 6</t>
  </si>
  <si>
    <t>Grand Summary [Schedule 1to 5]</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</si>
  <si>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</si>
  <si>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</si>
  <si>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</si>
  <si>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</si>
  <si>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</si>
  <si>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</si>
  <si>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</si>
  <si>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</si>
  <si>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</si>
  <si>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</si>
  <si>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</si>
  <si>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</si>
  <si>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</si>
  <si>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</si>
  <si>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</si>
  <si>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</si>
  <si>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</si>
  <si>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</si>
  <si>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</si>
  <si>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</si>
  <si>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</si>
  <si>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</si>
  <si>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</si>
  <si>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</si>
  <si>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</si>
  <si>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</si>
  <si>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</si>
  <si>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</si>
  <si>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</si>
  <si>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</si>
  <si>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</si>
  <si>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</si>
  <si>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</si>
  <si>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</si>
  <si>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</si>
  <si>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</si>
  <si>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</si>
  <si>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</si>
  <si>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</si>
  <si>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</si>
  <si>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</si>
  <si>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</si>
  <si>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</si>
  <si>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</si>
  <si>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</si>
  <si>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</si>
  <si>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</si>
  <si>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</si>
  <si>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</si>
  <si>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</si>
  <si>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</si>
  <si>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</si>
  <si>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</si>
  <si>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</si>
  <si>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</si>
  <si>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</si>
  <si>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</si>
  <si>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</si>
  <si>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</si>
  <si>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</si>
  <si>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</si>
  <si>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</si>
  <si>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</si>
  <si>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</si>
  <si>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</si>
  <si>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</si>
  <si>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</si>
  <si>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</si>
  <si>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</si>
  <si>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</si>
  <si>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</si>
  <si>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</si>
  <si>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</si>
  <si>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</si>
  <si>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</si>
  <si>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</si>
  <si>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</si>
  <si>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</si>
  <si>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</si>
  <si>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</si>
  <si>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</si>
  <si>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</si>
  <si>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</si>
  <si>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</si>
  <si>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</si>
  <si>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</si>
  <si>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</si>
  <si>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</si>
  <si>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</si>
  <si>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</si>
  <si>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</si>
  <si>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</si>
  <si>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</si>
  <si>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</si>
  <si>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</si>
  <si>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</si>
  <si>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</si>
  <si>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</si>
  <si>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</si>
  <si>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</si>
  <si>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</si>
  <si>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</si>
  <si>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</si>
  <si>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</si>
  <si>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</si>
  <si>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</si>
  <si>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</si>
  <si>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</si>
  <si>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</si>
  <si>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</si>
  <si>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</si>
  <si>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</si>
  <si>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</si>
  <si>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</si>
  <si>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</si>
  <si>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</si>
  <si>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</si>
  <si>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</si>
  <si>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</si>
  <si>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</si>
  <si>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</si>
  <si>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</si>
  <si>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</si>
  <si>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</si>
  <si>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</si>
  <si>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</si>
  <si>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</si>
  <si>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</si>
  <si>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</si>
  <si>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</si>
  <si>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</si>
  <si>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</si>
  <si>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</si>
  <si>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</si>
  <si>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</si>
  <si>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</si>
  <si>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</si>
  <si>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</si>
  <si>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</si>
  <si>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</si>
  <si>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</si>
  <si>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</si>
  <si>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</si>
  <si>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</si>
  <si>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</si>
  <si>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</si>
  <si>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</si>
  <si>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</si>
  <si>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</si>
  <si>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</si>
  <si>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</si>
  <si>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</si>
  <si>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</si>
  <si>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</si>
  <si>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</si>
  <si>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</si>
  <si>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</si>
  <si>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</si>
  <si>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</si>
  <si>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</si>
  <si>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</si>
  <si>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</si>
  <si>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</si>
  <si>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</si>
  <si>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</si>
  <si>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</si>
  <si>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</si>
  <si>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</si>
  <si>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</si>
  <si>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</si>
  <si>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</si>
  <si>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</si>
  <si>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</si>
  <si>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</si>
  <si>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</si>
  <si>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</si>
  <si>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</si>
  <si>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</si>
  <si>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</si>
  <si>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</si>
  <si>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</si>
  <si>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</si>
  <si>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</si>
  <si>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</si>
  <si>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</si>
  <si>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</si>
  <si>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</si>
  <si>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</si>
  <si>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</si>
  <si>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</si>
  <si>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</si>
  <si>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</si>
  <si>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</si>
  <si>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</si>
  <si>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</si>
  <si>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</si>
  <si>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</si>
  <si>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</si>
  <si>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</si>
  <si>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</si>
  <si>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</si>
  <si>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</si>
  <si>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</si>
  <si>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</si>
  <si>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</si>
  <si>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</si>
  <si>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</si>
  <si>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</si>
  <si>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</si>
  <si>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</si>
  <si>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</si>
  <si>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</si>
  <si>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</si>
  <si>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</si>
  <si>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</si>
  <si>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</si>
  <si>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</si>
  <si>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</si>
  <si>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</si>
  <si>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</si>
  <si>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</si>
  <si>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</si>
  <si>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</si>
  <si>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</si>
  <si>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rate of GST in column ‘10’ is confirmed. If not  indicate applicable rate of GST #</t>
  </si>
  <si>
    <t>Whether SAC in column ‘8’ is confirmed. If not  indicate applicable the SAC #</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</si>
  <si>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</si>
  <si>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Training charges for training to be imparted (Not Applicable)</t>
  </si>
  <si>
    <t>Taxes and Duties not included in Schedule 1 &amp; 3</t>
  </si>
  <si>
    <t>(SUMMARY OF TAXES &amp; DUTIES not included in Schedule 1 &amp; 3)</t>
  </si>
  <si>
    <t>Break-up of Type Test Charges (Not Applicable)</t>
  </si>
  <si>
    <t>Type tests :</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</si>
  <si>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</si>
  <si>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</si>
  <si>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 xml:space="preserve">EA </t>
  </si>
  <si>
    <t>SET</t>
  </si>
  <si>
    <t>420kV, 3150A, 63kA Circuit Breaker (3-Phase) without closing resistorand with Support Structure</t>
  </si>
  <si>
    <t>Controlled Switching Device for 420 kV, 3-ph Circuit Breaker</t>
  </si>
  <si>
    <t>420 kV, 3000A, 63KA, 1-Phase CurrentTransformer with 120% extended currentrating</t>
  </si>
  <si>
    <t>420kV, 3150A, 63KA,  Isolator (3-phase)(Double Break) with one E/S</t>
  </si>
  <si>
    <t>420 kV, 4400 pF Capacitive Voltage Transformer (1-Phase)</t>
  </si>
  <si>
    <t>336kV Surge Arrester (1-phase)</t>
  </si>
  <si>
    <t>420 kV, 1 phase Bus Post Insulator (except for Line Traps)</t>
  </si>
  <si>
    <t>216kV Surge Arrester (1-phase)</t>
  </si>
  <si>
    <t>245 kV, 1 phase Bus Post Insulator (except for Line Traps)</t>
  </si>
  <si>
    <t>400KV  TENSION INSULATOR STRING  AND ASSOCIATED HARDWARE FITTINGSWITHOUT TURN BUCKLE SUITABLE FOR QUAD CONDUCTOR</t>
  </si>
  <si>
    <t>400KV   TENSION INSULATOR STRING  AND ASSOCIATED HARDWARE FITTINGSWITH TURN BUCKLE SUITABLE FOR QUAD CONDUCTOR</t>
  </si>
  <si>
    <t>Erection Hardware for 400kV I type layout-Line bay  as per technicalspecification</t>
  </si>
  <si>
    <t>400KV SUSPENSION INSULATOR STRING  AND ASSOCIATED HARDWARE FITTINGSWITH DROP CLAMP SUITABLE FOR QUAD CONDUCTOR</t>
  </si>
  <si>
    <t>Erection Hardware for 400kV I type layout-Transformer bay as pertechnical specification</t>
  </si>
  <si>
    <t>Erection Hardware for 400kV I type layout-Spare bay of half dia as pertechnical specification</t>
  </si>
  <si>
    <t>400kV Line Protection Panel (with Automation)</t>
  </si>
  <si>
    <t>400kV Transformer Protection Panel (For both HV &amp; MV side)-(withAutomation)</t>
  </si>
  <si>
    <t>400kV,3150A,0.5mH ,63kA Line Trap</t>
  </si>
  <si>
    <t>420 kV ,1 phase Bus Post Insulators for Line Traps</t>
  </si>
  <si>
    <t>Coupling device for PLCC</t>
  </si>
  <si>
    <t>Digital Protection Coupler</t>
  </si>
  <si>
    <t xml:space="preserve">KM </t>
  </si>
  <si>
    <t>Analog Protection Coupler for PLCC</t>
  </si>
  <si>
    <t>SDH EQUIPMENT (STM-16 MADM UPTO 5 MSP PROTECTED DIRECTIONS)-BASEEQUIPMENT (COMMON CARDS, CROSS CONNECT/CONTROL CARDS, OPTICAL BASECARDS, POWER SUPPLY CARDS, POWER CABLING, OTHER HARDWARE ANDACCESSORIES INCLUDING SUB RACKS, PATCH CORD, DDF ETC FULLY EQUIPEDEXCLUDING OPTICAL INTERFACE &amp; TRIBUTARY CARDS</t>
  </si>
  <si>
    <t>TRIBUTARY INTERFACE- E1 INTERFACE (MINIMUM 16 NOS.)</t>
  </si>
  <si>
    <t>ETHERNET INTERFACE 10/100 BASE T WITH LAYER-2 SWITCHING (MIN 8INTERFACES PER CARD)</t>
  </si>
  <si>
    <t>TRIBUTARY INTERFACE-GIGABIT ETHERNET INTERFACES 10/100 MBPS WITH LAYER-2 SWITCHING (MINIMUM 2 NOS.)</t>
  </si>
  <si>
    <t>Equipment Cabinets For SDH</t>
  </si>
  <si>
    <t>OPGW Fibre Optic Distribution Panel (FODP): Indoor Type: 96F</t>
  </si>
  <si>
    <t>S16.1 SFP</t>
  </si>
  <si>
    <t>Air conditioning system  for Switchyard Panel Room of 6m length</t>
  </si>
  <si>
    <t>Fire Detection and Alarm System for Switchyard Panel Room of 6 mlength</t>
  </si>
  <si>
    <t>4.5 kg CO2 type Portable Fire extinguisher</t>
  </si>
  <si>
    <t>LOT</t>
  </si>
  <si>
    <t xml:space="preserve">LS </t>
  </si>
  <si>
    <t>Illumination System for switchyard panel room of 6 m length</t>
  </si>
  <si>
    <t>Lighting Panel type ACP-2 as per technical specification</t>
  </si>
  <si>
    <t>LIGHTING FIXTURE LED LUMINAIRES TYPE FL2 AS PER TECH. SPECIFICATIONS</t>
  </si>
  <si>
    <t>Outdoor Power Receptacle for oilfiltration unit (250A)</t>
  </si>
  <si>
    <t>40 MM MS ROD FOR MAIN EARTHMAT</t>
  </si>
  <si>
    <t>PMU with GPS Clock (clock can be either internal or external)</t>
  </si>
  <si>
    <t>WAMS Hardware - Time System (GPS receiver)</t>
  </si>
  <si>
    <t>WAMS Miscellaneous - Armored Fibre Optic Cable and associatedtermination (e.g. L2 Switch) for connecting PMU panels located indifferent control room of a station</t>
  </si>
  <si>
    <t>1.1KV GRADE 3CX2.5 SQMM CONTROL CABLE</t>
  </si>
  <si>
    <t>1.1KV GRADE 5CX2.5 SQMM CONTROL CABLE</t>
  </si>
  <si>
    <t>1.1KV GRADE 10CX2.5 SQMM CONTROL CABLE</t>
  </si>
  <si>
    <t xml:space="preserve">M  </t>
  </si>
  <si>
    <t>1.1KV GRADE 19CX1.5 SQMM CONTROL CABLE</t>
  </si>
  <si>
    <t>1.1KV GRADE 27CX1.5 SQMM CONTROL CABLE</t>
  </si>
  <si>
    <t>1.1KV GRADE 3.5CX300 SQMM (XLPE) POWER CABLE</t>
  </si>
  <si>
    <t>1.1KV GRADE 3.5CX70 SQMM (PVC) POWER CABLE</t>
  </si>
  <si>
    <t>1.1KV GRADE 3.5CX35 SQMM (PVC) POWER CABLE</t>
  </si>
  <si>
    <t>1.1KV GRADE 4CX16 SQMM (PVC) POWER CABLE</t>
  </si>
  <si>
    <t>1.1KV GRADE 4CX6 SQMM (PVC) POWER CABLE</t>
  </si>
  <si>
    <t>1.1KV GRADE 2CX6 SQMM (PVC) POWER CABLE</t>
  </si>
  <si>
    <t>Spares for 420kV Circuit Breaker</t>
  </si>
  <si>
    <t>Spares for 420kV Double break Isolator</t>
  </si>
  <si>
    <t>Spare-420kV CT 1</t>
  </si>
  <si>
    <t>Spare-420kV CVT 1</t>
  </si>
  <si>
    <t>SPARES FOR 336KV SURGE ARRESTER</t>
  </si>
  <si>
    <t>Relay &amp; protection Panels (with automation)</t>
  </si>
  <si>
    <t>Spares-Substation Automation System</t>
  </si>
  <si>
    <t>Augmentation of existing 400kV bus bar protection scheme.(No. of baysas per specification)-(with Automation)</t>
  </si>
  <si>
    <t>Augmentation of Substation automation System for 400kV Main bay as perTechnical Specification</t>
  </si>
  <si>
    <t xml:space="preserve">MT </t>
  </si>
  <si>
    <t>Fabrication, galvanising and supply of  Lattice Structures (MS Steel),to be designed during detailed engineering, for towers, beams andequipment support structure  including pack plates / packwashers andgusset plates excluding fasteners and foundation bolts</t>
  </si>
  <si>
    <t>Fabrication, galvanising and supply of fasteners ( nuts, bolts andwashers ) including step bolts for lattice and pipe structures to bedesigned during detailed engineering</t>
  </si>
  <si>
    <t>Fabrication, galvanising and supply of foundation bolts including nuts,checknut and washers for lattice and pipe structures to be designedduring detailed engineering</t>
  </si>
  <si>
    <t>ORIGINAL</t>
  </si>
  <si>
    <t>Gurugram (Haryana) - 122001</t>
  </si>
  <si>
    <t xml:space="preserve">PLCC Equipment                          </t>
  </si>
  <si>
    <t xml:space="preserve">POWER &amp; CONTROL CABLE                   </t>
  </si>
  <si>
    <t xml:space="preserve">FIRE FIGHTING SYSTEM                    </t>
  </si>
  <si>
    <t xml:space="preserve">ILLUMINATION SYSTEM                     </t>
  </si>
  <si>
    <t>Erection Hardware for 400kV I type layout-Bus Work (For two diameters)as per technical specification</t>
  </si>
  <si>
    <t>400KV CIRCUIT BREAKER RELAY PANEL (WITH AUTOMATION)</t>
  </si>
  <si>
    <t>FIRE WALL MOUNTED LED LUMINARIE TYPE FL-2 (250W)</t>
  </si>
  <si>
    <t>SPARES FOFIRE PROTECTION SYSTEM</t>
  </si>
  <si>
    <t>LED FLOOD LIGHT LUMINARIESTYPE FL-1 (150W) AS PER TECHNICALSPECIFICATION</t>
  </si>
  <si>
    <t>Spare-216kV Surge Arrester</t>
  </si>
  <si>
    <t>765kV AIS Substation Extension Package SS-124 (including 765/400kV GIS Bus Duct) for (i) Extension of 765/400kV Indore Substation under Augmentation of transformation capacity at 765/400kV Indore S/S in Madhya Pradesh; (ii) Extension of 400kV Indore (PG) S/s under Implementation of 400kV line bay at 765/400/220kV Indore (PG) S/s in MP for RE interconnection; (iii) Extension of 400kV Parli (New) S/s under Implementation of 400kV line bay at 765/400kV Parli (New) S/s for interconnection of RE project and (iv) Extension of 400/220kV Bhuj GIS PS under Augmentation of transformation capacity at 400/220kV Bhuj PS in Gujarat by 1x500MVA, 400/220kV ICT (9th)</t>
  </si>
  <si>
    <t>SS-124</t>
  </si>
  <si>
    <t>Spec No: CC/NT/W-AIS/DOM/A10/24/03802</t>
  </si>
  <si>
    <t xml:space="preserve"> Substation Extension Package SS-124</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</si>
  <si>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</si>
  <si>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Extension of 400kV Parli (New) S/s</t>
  </si>
  <si>
    <t xml:space="preserve">Extension of 765/400kV Indore Substation </t>
  </si>
  <si>
    <t xml:space="preserve">Extension of 400/220kV Bhuj GIS PS </t>
  </si>
  <si>
    <t>III</t>
  </si>
  <si>
    <t xml:space="preserve">Extension of 400kV Indore (PG) S/s </t>
  </si>
  <si>
    <t>IV</t>
  </si>
  <si>
    <t>TOTAL for Local Transportation, In-transit Insurance, Loading and Unloading</t>
  </si>
  <si>
    <t xml:space="preserve">Total of Installation Charges </t>
  </si>
  <si>
    <t xml:space="preserve">400 kV AIS EQUIPMENT                    </t>
  </si>
  <si>
    <t xml:space="preserve">Erection Hardware (400kV)               </t>
  </si>
  <si>
    <t xml:space="preserve">400 kV Control and Relay Panel          </t>
  </si>
  <si>
    <t xml:space="preserve">AC+FIRE PROTN+ILLUM FOR SPR             </t>
  </si>
  <si>
    <t xml:space="preserve">ILLUMINATION SYSTEM (OUTDOOR)           </t>
  </si>
  <si>
    <t xml:space="preserve">Main Earthmat                           </t>
  </si>
  <si>
    <t xml:space="preserve">VISUAL MONITORING SYSTEM                </t>
  </si>
  <si>
    <t xml:space="preserve">Mandatory Spares-CB                     </t>
  </si>
  <si>
    <t xml:space="preserve">Mandatory Spares-ISO                    </t>
  </si>
  <si>
    <t xml:space="preserve">Mandatory Spares-CT                     </t>
  </si>
  <si>
    <t xml:space="preserve">Mandatory Spares-LA                     </t>
  </si>
  <si>
    <t xml:space="preserve">Power &amp; Control cables                  </t>
  </si>
  <si>
    <t xml:space="preserve">structure Supply-Civil                  </t>
  </si>
  <si>
    <t xml:space="preserve">BOQ of Comm Equip Supply                </t>
  </si>
  <si>
    <t xml:space="preserve">PMUs for 400kV Bay at Parli New SS      </t>
  </si>
  <si>
    <t xml:space="preserve">Mandatory Spares-CRP &amp; SAS              </t>
  </si>
  <si>
    <t xml:space="preserve">Mandatory Spares-CVT                    </t>
  </si>
  <si>
    <t xml:space="preserve">MANDATORY SPARES -PLCC                  </t>
  </si>
  <si>
    <t>420kV, 3150A, 63KA Circuit Breaker (3-Phase) with closing resistor with support structure</t>
  </si>
  <si>
    <t>AUGMENTATION OF   SUBSTATION AUTOMATION SYSTEM FOR 400KV MAIN BAY ASPER TECHNICAL SPECIFICATION : OTHER MAKE</t>
  </si>
  <si>
    <t>AUGMENTATION OF   SUBSTATION AUTOMATION SYSTEM FOR 400KV TIE BAY ASPER TECHNICAL SPECIFICATION : OTHER MAKE</t>
  </si>
  <si>
    <t>CARRIER EQUIPMENT ANALOG TYPE (FOR SPEECH+DATA &amp; SPEECH+PROTECTION)</t>
  </si>
  <si>
    <t>HF CABLE 75 OHMS FOR PLCC</t>
  </si>
  <si>
    <t>Sub Lighting panel (outdoor) type SLP (Switchyard and Street Lighting)</t>
  </si>
  <si>
    <t>COLOR IP CAMERA, WITH PAN, TILT AND ZOOM FACILITIES, ALONGWITH ALLREQUIRED ITEMS, ACCESSORIES, LINE INTERFACE UNITS, FIBER PATCH CORDS,POWER SUPPLY UNITS, JUNCTION BOXES, CABLES, FIBER OPTIC CABLES, ETC.,AND INCLUDING INTEGRATION IN EXISTING HARDWARE AND SOFTWARE FORAUGMENTATION OF VISUAL MONITORING SYSTEM AS PER TECHNICALSPECIFICATION.</t>
  </si>
  <si>
    <t>4PAIR, 0.5 SQ.MM SCREENED CABLE</t>
  </si>
  <si>
    <t>24F (DWSM) APPROACH FIBRE OPTIC CABLE</t>
  </si>
  <si>
    <t>GI PIPE INSTALLATION HARDWARE FOR APPROACH CABLING</t>
  </si>
  <si>
    <t>GI ELBOW INSTALLATION HARDWARE FOR APPROAH CABLING</t>
  </si>
  <si>
    <t>GI FLEXIBLE CONDUIT INSTALLATION HARDWARE FOR APPROAH CABLING</t>
  </si>
  <si>
    <t>SUBSTATION GRADE LAYER 2 LAN SWITCH</t>
  </si>
  <si>
    <t>SUBSTATION GRADE LAYER 3 LAN SWITCH</t>
  </si>
  <si>
    <t>LIU - FO PATCH PANEL-12 PORT</t>
  </si>
  <si>
    <t>SPARES FOR PLCC</t>
  </si>
  <si>
    <t xml:space="preserve">765 kV AIS EQUIPMENT                    </t>
  </si>
  <si>
    <t xml:space="preserve">400 kV &amp; 33 kV AIS EQUIPMENT            </t>
  </si>
  <si>
    <t xml:space="preserve">765 kV GIS EQUIPMENT                    </t>
  </si>
  <si>
    <t xml:space="preserve">400 kV GIS EQUIPMENT                    </t>
  </si>
  <si>
    <t xml:space="preserve">HV CABLE                                </t>
  </si>
  <si>
    <t xml:space="preserve">CIVIL-SUPPLY OF STEEL STRUCTURE         </t>
  </si>
  <si>
    <t xml:space="preserve">765 kV CRP                              </t>
  </si>
  <si>
    <t xml:space="preserve">400 kV CRP                              </t>
  </si>
  <si>
    <t xml:space="preserve">765KV SAS                               </t>
  </si>
  <si>
    <t xml:space="preserve">400 kV SAS                              </t>
  </si>
  <si>
    <t xml:space="preserve">Erection Hardware for 765 kV S/Y        </t>
  </si>
  <si>
    <t xml:space="preserve">Erection Hardware for 400kV S/Y         </t>
  </si>
  <si>
    <t xml:space="preserve">765kV Insulator and Hardware            </t>
  </si>
  <si>
    <t xml:space="preserve">400kV Insulator and Hardware            </t>
  </si>
  <si>
    <t xml:space="preserve">Mandatory Spares(LOT)                   </t>
  </si>
  <si>
    <t xml:space="preserve">Mandatory Spares-GIS-765kV-General      </t>
  </si>
  <si>
    <t xml:space="preserve">Mandatory Spares-GIS-400kV-General      </t>
  </si>
  <si>
    <t>765kV, 3150A, 50kA Circuit Breaker(3-Phase) without closing resistor(with support structure)</t>
  </si>
  <si>
    <t>765kV, 3150A, 50Ka, Vertical Knee/DoubleBreak Isolator (3-Phase) with one E/S</t>
  </si>
  <si>
    <t>765kV, 3150A, 50kA, Vertical Knee/DoubleBreak Isolator (1-Phase) with one E/S</t>
  </si>
  <si>
    <t>765kV, 3150A, 50kA, Vertical Knee/DoubleBreak Isolator (1-Phase) without E/S</t>
  </si>
  <si>
    <t>765 kV, 3000A, 50KA, 1-Phase CurrentTransformer with 120% extended currentrating</t>
  </si>
  <si>
    <t>624kV Surge Arrester (1-Phase)</t>
  </si>
  <si>
    <t>765 kV, 1 phase Bus Post Insulator (except for Line Traps)</t>
  </si>
  <si>
    <t>Controlled Switching Device for 765 kV, 3-ph Circuit Breaker</t>
  </si>
  <si>
    <t>420kV, 3150A, 63KA, Isolator (1 phase)(Double Break) with one E/S</t>
  </si>
  <si>
    <t>420kV, 3150A, 63KA, Isolator (1 phase)(Double Break) without E/S</t>
  </si>
  <si>
    <t>Current transformer (33kV) for transformer Netural along with supportstructure &amp; terminal connector</t>
  </si>
  <si>
    <t>3150A, 50KA, 1 SEC SINGLE PHASE 765KV SF6 TO AIR BUSHING</t>
  </si>
  <si>
    <t>800kV, 3000/3150 A, 50kA, Single phase, SF6 Gas Insulated Bus Duct (GIB) outside GIS Hall along with associated support structure.</t>
  </si>
  <si>
    <t>420KV, 3150A, 63KA SF6 TO AIR BUSHING including support structure</t>
  </si>
  <si>
    <t>420KV, 3000A, 63KA, SINGLE PHASE, SF6 GAS INSULATED BUS DUCT (GIB)OUTSIDE GIS HALL ALONGWITH ASSOCIATED SUPPORT STRUCTURE, ETC. AS PERTECHNICAL SPECIFICATION</t>
  </si>
  <si>
    <t>66KV, 1-CORE, 185 SQ.MM XLPE CU CABLE ALONGWITH ACCESSORIES ETC.</t>
  </si>
  <si>
    <t>66KV CABLE TERMINATION KIT FOR 185SQ MM CABLE WITH SUPPORT STRUCTUREREQUIRED AT BOTH ENDS</t>
  </si>
  <si>
    <t>Fabrication, galvanising and supply of  Lattice Structures (HT Steel),to be designed during detailed engineering, for towers, beams andequipment support structure  including pack plates / packwashers andgusset plates excluding fasteners and foundation bolts</t>
  </si>
  <si>
    <t>765kV Transformer Protection Panel (For both HV &amp; MV side)-(withAutomation)</t>
  </si>
  <si>
    <t>765KV CIRCUIT BREAKER RELAY PANEL (WITH AUTOMATION)</t>
  </si>
  <si>
    <t>Augmentation of Substation automation system for 765kV Main bay as perTechnical Specification</t>
  </si>
  <si>
    <t>Erection Hardware for 765kV I type layout-Transformer bay as pertechnical specification</t>
  </si>
  <si>
    <t>Bus post insulators, spacers, equipmentsupport structures, conductors, Altube, clamp, connectors (including765kV, 400kV, tertiary and neuturalbushing terminal connectors etc) forarrangement of netural formation forTransformer(s), DELTA formation for onebank (each bank comprises of 3 singlephase units of Autotransformers) andmaking connection arrangement toconnect spare unit in place of any unitof the bank without physical shifting</t>
  </si>
  <si>
    <t>765KV TENSION INSULATOR STRING  AND ASSOCIATED HARDWARE FITTINGSWITHOUT TURN BUCKLE SUITABLE FOR QUAD CONDUCTOR</t>
  </si>
  <si>
    <t>765KV TENSION INSULATOR STRING AND ASSOCIATED HARDWARE FITTINGS WITHTURN BUCKLE SUITABLE FOR QUAD CONDUCTOR</t>
  </si>
  <si>
    <t>765KV SUSPENSION INSULATOR STRING  AND ASSOCIATED HARDWARE FITTINGSWITH THROUGH CLAMP SUITABLE FOR QUAD CONDUCTOR</t>
  </si>
  <si>
    <t>400KV SUSPENSION INSULATOR STRING  AND ASSOCIATED HARDWARE FITTINGSWITH THROUGH CLAMP SUITABLE FOR QUAD CONDUCTOR</t>
  </si>
  <si>
    <t>1.1KV GRADE 7CX2.5 SQMM CONTROL CABLE</t>
  </si>
  <si>
    <t>1.1KV GRADE 14CX2.5 SQMM CONTROL CABLE</t>
  </si>
  <si>
    <t>1.1KV GRADE 19CX2.5 SQMM CONTROL CABLE</t>
  </si>
  <si>
    <t>1.1KV GRADE 27CX2.5 SQMM CONTROL CABLE</t>
  </si>
  <si>
    <t>1.1KV, 1CX 150 SQMM XLPE POWER CABLE</t>
  </si>
  <si>
    <t>HVW SPRAY SYSTEM, HYDRANT SYSTEM AND COMPLETE U/G &amp; O/G PIPING ANDACCESSORIES ETC. OUT SIDE THE PUMP HOUSE  FOR 765 KV, 1-PHASEAUTOTRANSFORMER</t>
  </si>
  <si>
    <t>Spare-765KV Circuit Breaker</t>
  </si>
  <si>
    <t>Spare-765kV VKDB Isolator</t>
  </si>
  <si>
    <t>SPARE-765KV CURRENT TRANSFORMER</t>
  </si>
  <si>
    <t>SPARES FOR 624KV SURGE ARRESTER</t>
  </si>
  <si>
    <t>765KV GIS-SF6 GAS PRESSURE RELIEF DEVICE ASSEMBLY OF EACH TYPE</t>
  </si>
  <si>
    <t>SF6  PRESSURE  GAUGE  CUM  SWITCH  /DENSITY MONITORS  AND  PRESSURESWITCH AS APPLICABLE, OF EACH TYPE-765KV GIS</t>
  </si>
  <si>
    <t>COUPLING  DEVICE  FOR  PRESSURE  GAUGE  CUM  SWITCH  FOR  CONNECTINGGAS HANDLING PLANT OF EACH TYPE-765KV GIS</t>
  </si>
  <si>
    <t>RUBBER  GASKETS,  Ã‚â‚¬Å’OÃ‚â‚¬Â  RINGS  AND  SEALS  FOR  SF6  GAS  FOR  GISENCLOSURE OF EACH TYPE-765KV GIS</t>
  </si>
  <si>
    <t>765KV GIS-MOLECULAR FILTER FOR SF6 GAS WITH FILTER BAGS (5 % OF TOTALWEIGHT)</t>
  </si>
  <si>
    <t>CONTROL VALVES FOR SF6 GAS OF EACH TYPE-765KV GIS</t>
  </si>
  <si>
    <t>765KV GIS-SF6 GAS (5 % OF TOTAL GAS QUANTITY)</t>
  </si>
  <si>
    <t>LOCKING   DEVICE   TO   KEEP   THE   DIS-CONNECTORS   (ISOLATORS)AND EARTHING/FAST EARTHING SWITCHES IN CLOSE OR OPEN POSITION IN CASEOF REMOVAL OF THE DRIVING MECHANISM-765KV GIS</t>
  </si>
  <si>
    <t>UHF PD SENSORS OF EACH TYPE ALONG WITH BNC CONNECTOR FOR 765KV GIS</t>
  </si>
  <si>
    <t>765KV GIS-SUPPORT INSULATORS (GAS THROUGH) OF EACH TYPE (COMPLETE WITHMETAL RING ETC.) ALONG WITH ASSOCIATED CONTACTS AND SHIELDS</t>
  </si>
  <si>
    <t>765KV GIS-GAS BARRIERS OF EACH TYPE (COMPLETE WITH METAL RING ETC.)ALONG WITH ASSOCIATED CONTACTS AND SHIELDS</t>
  </si>
  <si>
    <t>765KV GIS- 3150A SF6 TO AIR BUSHING COMPLETE IN ALL RESPECT</t>
  </si>
  <si>
    <t>LCC SPARES  - AUX. RELAYS, CONTACTORS,PUSH BUTTONS, SWITCHES, LAMPS,ANNUNCIATION WINDOWS, MCB, FUSES,TIMERS, TERMINAL BLOCKS ETC. OF EACHTYPE &amp; RATING-765kV GIS</t>
  </si>
  <si>
    <t>400KV GIS-SF6 GAS PRESSURE RELIEF DEVICE ASSEMBLY OF EACH TYPE</t>
  </si>
  <si>
    <t>SF6  PRESSURE  GAUGE  CUM  SWITCH  /DENSITY MONITORS  AND  PRESSURESWITCH AS APPLICABLE, OF EACH TYPE-400KV GIS</t>
  </si>
  <si>
    <t>COUPLING  DEVICE  FOR  PRESSURE  GAUGE  CUM  SWITCH  FOR  CONNECTINGGAS HANDLING PLANT OF EACH TYPE-400KV GIS</t>
  </si>
  <si>
    <t>RUBBER  GASKETS,  Ã‚â‚¬Å’OÃ‚â‚¬Â  RINGS  AND  SEALS  FOR  SF6  GAS  FOR  GISENCLOSURE OF EACH TYPE-400KV GIS</t>
  </si>
  <si>
    <t>400KV GIS-MOLECULAR FILTER FOR SF6 GAS WITH FILTER BAGS (5 % OF TOTALWEIGHT)</t>
  </si>
  <si>
    <t>CONTROL VALVES FOR SF6 GAS OF EACH TYPE-400KV GIS</t>
  </si>
  <si>
    <t>400KV GIS-SF6 GAS (5 % OF TOTAL GAS QUANTITY)</t>
  </si>
  <si>
    <t>LOCKING   DEVICE   TO   KEEP   THE   DIS-CONNECTORS   (ISOLATORS)AND EARTHING/FAST EARTHING SWITCHES IN CLOSE OR OPEN POSITION IN CASEOF REMOVAL OF THE DRIVING MECHANISM-400KV GIS</t>
  </si>
  <si>
    <t>UHF PD SENSORS OF EACH TYPE ALONG WITH BNC CONNECTOR FOR 420KV GIS</t>
  </si>
  <si>
    <t>400KV GIS-SUPPORT INSULATORS (GAS THROUGH) OF EACH TYPE (COMPLETE WITHMETAL RING ETC.) ALONG WITH ASSOCIATED CONTACTS AND SHIELDS</t>
  </si>
  <si>
    <t>400KV GIS-GAS BARRIERS OF EACH TYPE (COMPLETE WITH METAL RING ETC.)ALONG WITH ASSOCIATED CONTACTS AND SHIELDS</t>
  </si>
  <si>
    <t>400KV GIS- 3150A SF6 TO AIR BUSHING COMPLETE IN ALL RESPECT</t>
  </si>
  <si>
    <t>LCC SPARES  - AUX. RELAYS, CONTACTORS,PUSH BUTTONS, SWITCHES,LAMPS,ANNUNCIATION WINDOWS, MCB, FUSES,TIMERS, TERMINAL BLOCKS ETC. OF EACHTYPE &amp; RATING-400kV GIS</t>
  </si>
  <si>
    <t xml:space="preserve">400 kV &amp; 220 kV AIS EQUIPMENT           </t>
  </si>
  <si>
    <t xml:space="preserve">220 kV GIS EQUIPMENT                    </t>
  </si>
  <si>
    <t xml:space="preserve">Erection Hardware (400kV &amp; 220 kV)      </t>
  </si>
  <si>
    <t xml:space="preserve">Mandatory spares -220kV GIS             </t>
  </si>
  <si>
    <t xml:space="preserve">CRP &amp; SAS                               </t>
  </si>
  <si>
    <t xml:space="preserve">FIRE PROTECTION SYSTEM                  </t>
  </si>
  <si>
    <t xml:space="preserve">Mandatory Spares-Fire Protection System </t>
  </si>
  <si>
    <t xml:space="preserve">Mandatory Spares-Surge Arrester         </t>
  </si>
  <si>
    <t xml:space="preserve">PMUs for 9th ICT at Bhuj                </t>
  </si>
  <si>
    <t>245kV, 1600A, 50kA Single phase SF6 to Air Bushing</t>
  </si>
  <si>
    <t>245KV,1600A, 50KA, SINGLE PHASE, SF6 GAS INSULATED BUS DUCT (GIB)OUTSIDE GIS HALL ALONGWITH ASSOCIATED SUPPORT STRUCTURE ETC. AS PERTECHNICAL SPECIFICATION</t>
  </si>
  <si>
    <t>Erection Hardware for 220kV DM-type layout for GIS terminationarrangement-Transformer bay as per technical specification</t>
  </si>
  <si>
    <t>Erection Hardware for 400kV I type layout for GIS terminationarrangement-Transformer bay as per technical specification</t>
  </si>
  <si>
    <t>220KV GIS-SF6 GAS PRESSURE RELIEF DEVICE ASSEMBLY OF EACH TYPE</t>
  </si>
  <si>
    <t>SF6  PRESSURE  GAUGE  CUM  SWITCH  /DENSITY MONITORS  AND  PRESSURESWITCH AS APPLICABLE, OF EACH TYPE-220KV GIS</t>
  </si>
  <si>
    <t>COUPLING  DEVICE  FOR  PRESSURE  GAUGE  CUM  SWITCH  FOR  CONNECTINGGAS HANDLING PLANT OF EACH TYPE-220KV GIS</t>
  </si>
  <si>
    <t>RUBBER  GASKETS,  Ã‚â‚¬Å’OÃ‚â‚¬Â  RINGS  AND  SEALS  FOR  SF6  GAS  FOR  GISENCLOSURE OF EACH TYPE-220KV GIS</t>
  </si>
  <si>
    <t>220KV GIS-MOLECULAR FILTER FOR SF6 GAS WITH FILTER BAGS (5 % OF TOTALWEIGHT)</t>
  </si>
  <si>
    <t>CONTROL VALVES FOR SF6 GAS OF EACH TYPE-220KV GIS</t>
  </si>
  <si>
    <t>220KV GIS-SF6 GAS (5 % OF TOTAL GAS QUANTITY)</t>
  </si>
  <si>
    <t>LOCKING   DEVICE   TO   KEEP   THE   DIS-CONNECTORS   (ISOLATORS)AND EARTHING/FAST EARTHING SWITCHES (AS APPLICABLE) IN CLOSE OR OPENPOSITION IN CASE OF REMOVAL OF THE DRIVING MECHANISM-220KV GIS</t>
  </si>
  <si>
    <t>UHF PD SENSORS OF EACH TYPE ALONG WITH BNC CONNECTOR FOR 245KV GIS</t>
  </si>
  <si>
    <t>220KV GIS-SUPPORT INSULATORS (GAS THROUGH) OF EACH TYPE (COMPLETE WITHMETAL RING ETC.) ALONG WITH ASSOCIATED CONTACTS AND SHIELDS</t>
  </si>
  <si>
    <t>220KV GIS-GAS BARRIERS OF EACH TYPE (COMPLETE WITH METAL RING ETC.)ALONG WITH ASSOCIATED CONTACTS AND SHIELDS</t>
  </si>
  <si>
    <t>220KV GIS- 1600A SF6 TO AIR BUSHING COMPLETE IN ALL RESPECT</t>
  </si>
  <si>
    <t>LCC SPARES  - AUX. RELAYS, CONTACTORS,PUSH BUTTONS, SWITCHES, LAMPS,ANNUNCIATION WINDOWS, MCB, FUSES,TIMERS, TERMINAL BLOCKS ETC. OF EACHTYPE &amp; RATING-220kV GIS</t>
  </si>
  <si>
    <t>Augmentation of Substation automation System for 220kV bay as perTechnical Specification</t>
  </si>
  <si>
    <t>220kV Circuit Breaker Relay Panel with Auto Reclose (with Automation)</t>
  </si>
  <si>
    <t>Augmentation of existing 220kV bus bar protection scheme.(No. of baysas per specification)-(with Automation)</t>
  </si>
  <si>
    <t>LIGHTING FIXTURE LED LUMINAIRES TYPE FL-1 AS PER TECH. SPECIFICATIONS</t>
  </si>
  <si>
    <t>HVW spray system, Hydrant system and complete U/G &amp; O/G piping andaccessories etc. out side the pump house  for 500MVA , 400KV/220/33kV, 3-phase  Autotransformer</t>
  </si>
  <si>
    <t>BAY CONTROL UNIT (IED) OF MAIN SYSTEM</t>
  </si>
  <si>
    <t>ETHERNET SWITCH SUITABLE FOR 19Ã‚â‚¬Â RACK MOUNTING WITH 24 FIBER OPTICPORTS</t>
  </si>
  <si>
    <t>Deluge valve (1 No. of each size)</t>
  </si>
  <si>
    <t xml:space="preserve">400 kV CRP &amp; SAS                        </t>
  </si>
  <si>
    <t xml:space="preserve">STRUCTURE (SUPPLY)                      </t>
  </si>
  <si>
    <t xml:space="preserve">PMUs for 400kV Bay at Indore 765kV SS   </t>
  </si>
  <si>
    <t xml:space="preserve">civil work-erection of steel structure  </t>
  </si>
  <si>
    <t xml:space="preserve">Civil Work                              </t>
  </si>
  <si>
    <t>765kV, 3150A, 50kA, Vertical Knee/DoubleBreak Isolator (3-Phase) with one E/S</t>
  </si>
  <si>
    <t>Erection of 765 kV, 1-Phase, Bus Post Insulator (except wave Traps)</t>
  </si>
  <si>
    <t>420kV, 3150A, 63kA Circuit Breaker(3-Phase) without closing resistor(with support structure)</t>
  </si>
  <si>
    <t>420 kV Bus Post Insulator (Except for wave traps)</t>
  </si>
  <si>
    <t>Current transformer (33kV) for transformer Netural along with support structure &amp; terminal connector</t>
  </si>
  <si>
    <t>765kV , 3150A, 50kA GIS SF6 to AIR Bushing for connection of GIS to AIS</t>
  </si>
  <si>
    <t>420kV, SF6 to Air Bushing alongwithassociated support structure for 3150A,63 kA for 1 sec. Single Phase</t>
  </si>
  <si>
    <t>420kV, 3000A, 63kA, Single phase, SF6 Gas Insulated Bus Duct (GIB) outside GIS Hall alongwith associated support structure, etc. asper Technical Specification</t>
  </si>
  <si>
    <t>66kV, 1-Core, 185 sq.mm XLPE CU Cable alongwith accessories etc.</t>
  </si>
  <si>
    <t>Termination kit &amp; other accessiories for 66kV HT Cable</t>
  </si>
  <si>
    <t>Erection of  Lattice Structures (MS Steel), to be designed during detailed engineering, for towers, beams and equipment supportstructure  including pack plates / packwashers and gusset plates excluding fasteners and foundation bolts</t>
  </si>
  <si>
    <t xml:space="preserve">Erection of  Lattice Structures (HT Steel), to be designed during detailed engineering, for towers, beams and equipment supportstructure  including pack plates / packwashers and gusset plates excluding fasteners and foundation bolts.
</t>
  </si>
  <si>
    <t>Erection of fasteners ( nuts, bolts and washers ) including step bolts for lattice and pipe structures to be designed duringdetailed engineering</t>
  </si>
  <si>
    <t>Erection of foundation bolts including nuts, checknut and washers for lattice and pipe structures to be designed during detailedengineering</t>
  </si>
  <si>
    <t>Excavation in all kind of soil including  rock  for all leads and lifts, backfilling, disposal of surplus earth within a lead up to2Km as per technical specification. The surplus earth shall be roughly graded .</t>
  </si>
  <si>
    <t xml:space="preserve">M3 </t>
  </si>
  <si>
    <t>Excavation in hard rock which require blasting (including chemical blasting and rock excavated using specialized tools) for allfoundation works including stacking, measuring, disposal etc.for all leads and lifts as per technical specification.</t>
  </si>
  <si>
    <t>Providing and laying of Plain Cement Concrete (PCC) (1:4:8)</t>
  </si>
  <si>
    <t>Providing and laying of Plain Cement Concrete (PCC) (1:2:4)</t>
  </si>
  <si>
    <t>Providing and laying Plain Cement Concrete 1:5:10 (1 cement : 5 sand : 10 brick aggregate)</t>
  </si>
  <si>
    <t>Providing and laying of Reinforced Cement Concrete M25 mix including pre cast, shuttering, Grouting of pockets &amp; underpinning butexcluding steel reinforcement</t>
  </si>
  <si>
    <t>Steel Reinforcement</t>
  </si>
  <si>
    <t>Stone filling (40 mm size) for transformer/Reactor foundation</t>
  </si>
  <si>
    <t>Misc. Structural steel including rails, embedments, edge protection angles, gratings etc. but excluding the reinforcement steel andsteel for lattice and pipe structures.</t>
  </si>
  <si>
    <t>Stone spreading in switchyard excluding PCC</t>
  </si>
  <si>
    <t xml:space="preserve">M2 </t>
  </si>
  <si>
    <t>Antiweed treatment</t>
  </si>
  <si>
    <t>Removing,cleaning and washing of existing stones and respreading of stones in switchyard excluding PCC</t>
  </si>
  <si>
    <t>External finishing / painting of fire wall (water proofing cement paint) (DSR 13.44.1)</t>
  </si>
  <si>
    <t xml:space="preserve"> Construction of rail cum road as per drawing including all item such as excavation,compactions, rolling watering, WBM etc. butexcluding concrete reinforcement and structural steel-Section having four rails for auto transformer.</t>
  </si>
  <si>
    <t>Supplying and erecting dewatering pumps- 2 HP</t>
  </si>
  <si>
    <t>Supplying and erecting dewatering pumps-5 HP</t>
  </si>
  <si>
    <t>Cable Trench including all types of crossings, all metallic works and sump pit including concrte and reinforcement steel Section 2-2</t>
  </si>
  <si>
    <t>Cable Trench including all types of crossings, all metallic works and sump pit including concrte and reinforcement steel Section 3-3</t>
  </si>
  <si>
    <t>Cable Trench including all types of crossings, all metallic works and sump pit including concrte and reinforcement steel Section 4-4</t>
  </si>
  <si>
    <t>14.4.2  Providing, laying and fixing following dia RCC pipe NP2 class (light duty) in ground complete with RCC collars, jointingwith cement mortar 1:2 (1 cement : 2 fine sand) including trenching (75 cm deep) and refilling etc as required. : 150 mm dia</t>
  </si>
  <si>
    <t>14.4.3  Providing, laying and fixing following dia RCC pipe NP2 class (light duty) in ground complete with RCC collars, jointingwith cement mortar 1:2 (1 cement : 2 fine sand) including trenching (75 cm deep) and refilling etc as required. : 250 mm dia</t>
  </si>
  <si>
    <t>RCC culvert crossings including supplying and laying hume pipe 250mm dia of grade (NP-3) excluding concrete as per specification.</t>
  </si>
  <si>
    <t>RCC culvert crossings including supplying and laying hume pipe 300mm dia of grade (NP-3) excluding concrete as per specification.</t>
  </si>
  <si>
    <t>RCC culvert crossings including supplying and laying hume pipe 450mm dia of grade (NP-3) excluding concrete as per specification.</t>
  </si>
  <si>
    <t>Supplying, filling and compacting stone boulders mixed with sand under foundations, roads, cable trenches, drains etc in layers notexceeding 250mm thickness including ramming, watering compacting</t>
  </si>
  <si>
    <t>Supplying, filling and compacting CNS material as per specification under floors, foundations, roads, cable trenches, drains etc inlayers not exceeding 200 mm thickness</t>
  </si>
  <si>
    <t>765kV Transformer Protection Panel (For both HV &amp; MV side)-(with Automation)</t>
  </si>
  <si>
    <t>765kV Circuit Breaker Relay Panel (with Automation)</t>
  </si>
  <si>
    <t>Augmentation of existing 765kV bus bar protection scheme.(No. of bays as per specification)-(with Automation)</t>
  </si>
  <si>
    <t>400kV Circuit Breaker Relay Panel (with Automation)</t>
  </si>
  <si>
    <t>Augmentation of existing 400kV bus bar protection scheme.(No. of bays as per specification)-(with Automation)</t>
  </si>
  <si>
    <t>Augmentation of  Substation automation system for 765kV Main bay  as per Technical Specification</t>
  </si>
  <si>
    <t>Augmentation of   Substation automation System for 400kV Main bay as per Technical Specification</t>
  </si>
  <si>
    <t>Erection Hardware for 765kV I type layout-Transformer bay as per specification</t>
  </si>
  <si>
    <t>Erection Hardware for 400kV I type layout-Transformer bay as per technical specification(including its Tertiary Loading arrangement)</t>
  </si>
  <si>
    <t>765KV TENSION INSULATOR STRING  AND ASSOCIATED HARDWARE FITTINGS WITHOUT TURN BUCKLE SUITABLE FOR QUAD CONDUCTOR</t>
  </si>
  <si>
    <t>765KV TENSION INSULATOR STRING AND ASSOCIATED HARDWARE FITTINGS WITH TURN BUCKLE SUITABLE FOR QUAD CONDUCTOR</t>
  </si>
  <si>
    <t>765KV SUSPENSION INSULATOR STRING  AND ASSOCIATED HARDWARE FITTINGS WITH THROUGH CLAMP SUITABLE FOR QUAD CONDUCTOR</t>
  </si>
  <si>
    <t>400KV  TENSION INSULATOR STRING  AND ASSOCIATED HARDWARE FITTINGS WITHOUT TURN BUCKLE SUITABLE FOR QUAD CONDUCTOR</t>
  </si>
  <si>
    <t>400KV   TENSION INSULATOR STRING  AND ASSOCIATED HARDWARE FITTINGS WITH TURN BUCKLE SUITABLE FOR QUAD CONDUCTOR</t>
  </si>
  <si>
    <t>400KV SUSPENSION INSULATOR STRING  AND ASSOCIATED HARDWARE FITTINGS WITH DROP CLAMP SUITABLE FOR QUAD CONDUCTOR</t>
  </si>
  <si>
    <t>400KV SUSPENSION INSULATOR STRING  AND ASSOCIATED HARDWARE FITTINGS WITH THROUGH CLAMP SUITABLE FOR QUAD CONDUCTOR</t>
  </si>
  <si>
    <t>HVW spray system, Hydrant system and complete U/G &amp; O/G piping and accessories etc. out side the pump house  for 765 KV, 1-phaseAutotransformer</t>
  </si>
  <si>
    <t>Lighting Fixture LED Luminaires type FL-1 as per tech. specifications</t>
  </si>
  <si>
    <t>Lighting Fixture LED Luminaires type FL2 as per tech. specifications</t>
  </si>
  <si>
    <t>Fire Wall Mounted LED Luminarie Type FL-2 (250W)</t>
  </si>
  <si>
    <t>Color IP camera, with PAN, TILT and ZOOM facilities, alongwith all required Items, Accessories, Line Interface units, Fiber patchcords, Power supply units, Junction Boxes, Cables, Fiber Optic Cables, etc., and including Integration in existing Hardware andSoftware for Augmentation of Visual Monitoring System as per technical specification.</t>
  </si>
  <si>
    <t>1.1kV grade Power Cables (PVCinsulated)along withlugs,glands,straight joints &amp;accessories,etc.</t>
  </si>
  <si>
    <t>1.1kV grade Control Cables (PVCinsulated) along withlugs,glands,straight joints &amp;accessories,etc.</t>
  </si>
  <si>
    <t>1.1kV grade Power Cables (XLPEinsulated) along withlugs,glands,straight joints &amp;accessories,etc.</t>
  </si>
  <si>
    <t xml:space="preserve">STRUCTURE(ERECTION)                     </t>
  </si>
  <si>
    <t xml:space="preserve">Civil Works                             </t>
  </si>
  <si>
    <t xml:space="preserve">Install of Comm Equip                   </t>
  </si>
  <si>
    <t>Erection Hardware for 400kV I type layout-Line bay  as per specification</t>
  </si>
  <si>
    <t>Augmentation of   Substation automation System for 400kV Main bay as per Technical Specification : Other Make</t>
  </si>
  <si>
    <t>Carrier Equipment Analog type (for Speech+Data &amp; Speech+Protection)</t>
  </si>
  <si>
    <t>Protection Coupler (Analog)</t>
  </si>
  <si>
    <t>HF CABLE FOR PLCC-75 OHM (KM)</t>
  </si>
  <si>
    <t>Fire Detection and Alarm System for Switchyard Panel Room of 6 m length</t>
  </si>
  <si>
    <t>40 mm MS rod for Main Earthmat</t>
  </si>
  <si>
    <t>LED Flood Light Luminaries Type-FL-1 as per technical specification</t>
  </si>
  <si>
    <t>LED Flood Light Luminaries Type FL-2 (250W) as per technical specification</t>
  </si>
  <si>
    <t>Switchyard Panel Room - Civil Works. All civil works as per drawing and specifications complete, including - brickwork, finishing(external and internal), windows etc. However, excavation, PCC, RCC and reinforcement shall be paid separately as per BPS.</t>
  </si>
  <si>
    <t>SDH Equipment (STM-16 MADM upto 5 MSP protected directions)-Base Equipment (Common cards, Cross Connect/control cards, optical basecards, power supply cards, power cabling, other hardware and accessories including sub racks, patch cord, DDF etc fully equipedexcluding optical interface &amp; Tributary cards</t>
  </si>
  <si>
    <t>Optical Interface Cards/SFP# -S16.1 for SDH Equipment-STM-16</t>
  </si>
  <si>
    <t>Tributary interface- E1 interface (Minimum 16 nos.)</t>
  </si>
  <si>
    <t>Ethernet Interface 10/100 Base T with Layer-2 switching (Min 8 Interfaces per card)</t>
  </si>
  <si>
    <t>Tributary interface-Gigabit Ethernet Interfaces 10/100 Mbps with Layer -2 Switching (minimum 2 nos.)</t>
  </si>
  <si>
    <t>Equipment Cabinets-For SDH Equipments</t>
  </si>
  <si>
    <t>Fibre Optic Approach cabling: Including installation hardware like GI pipe, elbow, conduits, accessories etc.: 24 Fibre</t>
  </si>
  <si>
    <t>Fibre Optic Distribution Panel (FODP): Indoor Type: FC Coupling and mounted on ETSI 19" rack or slimline rack: Type 2  (96 Fibre)</t>
  </si>
  <si>
    <t>Service:- Phasor Measurement Unit (PMU)</t>
  </si>
  <si>
    <t>WAMS TIME SYSTEM(GPS RECEIVER)</t>
  </si>
  <si>
    <t>SUBSTATION GRADE Layer 2 LAN SWITCH</t>
  </si>
  <si>
    <t>SUBSTATION GRADE Layer 3 LAN SWITCH</t>
  </si>
  <si>
    <t>Services:- Armored Fibre Optic Cable and associated termination equipment</t>
  </si>
  <si>
    <t>SUPPLY, INSTALLATION, TESTING AND COMMISSIONING OF LIU-FO PATCH PANEL-12 PORT</t>
  </si>
  <si>
    <t>Integration of PMU with the PDC (Phasor Data Concentrator) of RLDCs and respective SLDCs as required.</t>
  </si>
  <si>
    <t>420kV, 3150A, 63KA Circuit Breaker(3-Phase) with closing resistor(withsupport structure)</t>
  </si>
  <si>
    <t>Erection Hardware for 400kV I type layout-Bus Work (For two diameters)/bays as per specification</t>
  </si>
  <si>
    <t>Erection Hardware for 400kV I type layout-Spare bay of half dia as per specification</t>
  </si>
  <si>
    <t>Augmentation of   Substation automation System for 400kV Tie bay as per Technical Specification : Other Make</t>
  </si>
  <si>
    <t>3.75m wide Bitumen road with earthen shoulder including 100 mm dia RCC Hume Pipe @ 100 metre interval as per drawing and TS (as perDSR item no 16.35 and 16.30.1) and including 225 mm thick WBM in three equal layers of 75 mm each as per CPWD specification.</t>
  </si>
  <si>
    <t>Earthwork in excavation &amp; filling in all types of soil and soft/disintegrated rock in open areas/nallas/channels, to the requiredslopes, shapes, levels, elevations and profile, including trimming of bottom and slopes of excavation, bailing out rain(dewatering), pumping, removal of slush, preparing embankments/marginal banks, loosening, dressing, spreading material in layers notexceeding 200mm, as per direction of Engineer-in-Charge, water flooding, compacting to achieve 95% consolidation at optimum moisturecontent, finishing etc. all complete, for all leads and lifts within leveling boundary, including disposal of surplus earth andstacking of unsuitable material within a lead of 2.0 Km beyond substation boundary, with all labour, material, tools, tackles andequipment, safeguards and incidentals, Royalty,taxes etc. as necessary, as per drawings, specification and directions of theEngineer-in-Charge. Clearing of jungle is included in this item. (Only excavation/cutting will be measured for payment purpose.)</t>
  </si>
  <si>
    <t>Drain including culverts but excluding concrete &amp; reinforcement steel-Section A-A</t>
  </si>
  <si>
    <t>Drain including culverts but excluding concrete &amp; reinforcement steel-Section B-B</t>
  </si>
  <si>
    <t>Drain including culverts but excluding concrete &amp; reinforcement steel-Section C-C</t>
  </si>
  <si>
    <t>Drain including culverts but excluding concrete &amp; reinforcement steel-Section D-D</t>
  </si>
  <si>
    <t>245 kV Bust Post Insulator (Except for wave traps)</t>
  </si>
  <si>
    <t>245kV,1600A, 50 kA for 1 sec SF6 to Air Bushing</t>
  </si>
  <si>
    <t>245kV,1600A, 50kA, Single phase, SF6 Gas Insulated Bus Duct (GIB) outside GIS Hall alongwith associated support structure etc. asper Technical Specification</t>
  </si>
  <si>
    <t>Erection Hardware for 400kV I type layout for GIS termination arrangement-Transformer bay as per technical specification</t>
  </si>
  <si>
    <t>Erection Hardware for 220kV DM type layout-Transformer bay as per technical specification</t>
  </si>
  <si>
    <t>Augmentation of existing 220kV bus bar protection scheme.(No. of bays as per specification)-(with Automation)</t>
  </si>
  <si>
    <t>Augmentation of   Substation automation System for 220kV bay as per Technical Specification</t>
  </si>
  <si>
    <t>400kV Transformer Protection Panel (For both HV &amp; MV side)-(with Automation)</t>
  </si>
  <si>
    <t>HVW spray system, Hydrant system and complete U/G &amp; O/G piping and accessories etc. out side the pump house  for 500MVA ,400KV/220/33 kV, 3-phase  Autotransformer</t>
  </si>
  <si>
    <t>Providing and laying of Reinforced Cement Concrete M30 including pre cast, shuttering, Grouting of pockets &amp; underpinning butexcluding steel reinforcement</t>
  </si>
  <si>
    <t>Reinforcement steel meeting corrosion resistance properties as per IS:1786 and manufacturer specificationâ€‹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</si>
</sst>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81">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2"/>
      <color rgb="FFFF0000"/>
      <name val="Arial"/>
      <family val="2"/>
    </font>
  </fonts>
  <fills count="16">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00B0F0"/>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6">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cellStyleXfs>
  <cellXfs count="1004">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5" fillId="0" borderId="0" xfId="0" applyFont="1" applyAlignment="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5"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Alignment="1" applyProtection="1">
      <alignment vertical="center"/>
      <protection hidden="1"/>
    </xf>
    <xf numFmtId="0" fontId="9" fillId="0" borderId="15" xfId="114" applyFont="1" applyBorder="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4"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6"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107"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70"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indent="2"/>
    </xf>
    <xf numFmtId="0" fontId="7" fillId="0" borderId="0" xfId="73" applyFont="1" applyAlignment="1">
      <alignment horizontal="left" vertical="center"/>
    </xf>
    <xf numFmtId="175" fontId="7" fillId="0" borderId="0" xfId="73" applyNumberFormat="1" applyFont="1" applyAlignment="1">
      <alignment horizontal="left" vertical="center" indent="1"/>
    </xf>
    <xf numFmtId="0" fontId="4" fillId="3" borderId="22" xfId="73" applyFill="1" applyBorder="1" applyAlignment="1" applyProtection="1">
      <alignment horizontal="left" vertical="center"/>
      <protection locked="0"/>
    </xf>
    <xf numFmtId="0" fontId="2" fillId="0" borderId="0" xfId="115" applyFont="1" applyAlignment="1">
      <alignment horizontal="left" vertical="center"/>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51"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2"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164"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34" fillId="0" borderId="0" xfId="115" applyFont="1" applyAlignment="1" applyProtection="1">
      <alignment horizontal="justify"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71" fillId="0" borderId="0" xfId="114" applyFont="1" applyAlignment="1" applyProtection="1">
      <alignment vertical="top"/>
      <protection hidden="1"/>
    </xf>
    <xf numFmtId="0" fontId="72" fillId="0" borderId="0" xfId="114" applyFont="1" applyAlignment="1" applyProtection="1">
      <alignment vertical="top"/>
      <protection hidden="1"/>
    </xf>
    <xf numFmtId="2" fontId="72" fillId="0" borderId="0" xfId="114" applyNumberFormat="1" applyFont="1" applyAlignment="1" applyProtection="1">
      <alignment vertical="top"/>
      <protection hidden="1"/>
    </xf>
    <xf numFmtId="174" fontId="71"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2" fillId="0" borderId="0" xfId="115" applyFont="1" applyAlignment="1" applyProtection="1">
      <alignment vertical="center" wrapText="1"/>
      <protection hidden="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4" fillId="0" borderId="0" xfId="73" applyAlignment="1">
      <alignment horizontal="left"/>
    </xf>
    <xf numFmtId="0" fontId="1" fillId="0" borderId="0" xfId="115" applyFont="1" applyAlignment="1">
      <alignment horizontal="center" vertical="center"/>
    </xf>
    <xf numFmtId="0" fontId="2" fillId="0" borderId="0" xfId="115" applyFont="1" applyAlignment="1">
      <alignment horizontal="center" vertical="center"/>
    </xf>
    <xf numFmtId="0" fontId="4" fillId="0" borderId="9" xfId="0" applyFont="1" applyBorder="1" applyAlignment="1" applyProtection="1">
      <alignment horizontal="center" vertical="center"/>
      <protection locked="0"/>
    </xf>
    <xf numFmtId="0" fontId="1" fillId="0" borderId="0" xfId="0" applyFont="1" applyAlignment="1">
      <alignment vertical="center" wrapText="1"/>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164" fontId="37" fillId="0" borderId="0" xfId="113" applyNumberFormat="1" applyFont="1" applyFill="1" applyBorder="1" applyAlignment="1" applyProtection="1">
      <alignment vertical="center"/>
      <protection hidden="1"/>
    </xf>
    <xf numFmtId="0" fontId="73" fillId="0" borderId="0" xfId="0" applyFont="1"/>
    <xf numFmtId="0" fontId="55" fillId="0" borderId="0" xfId="113" applyNumberFormat="1" applyFont="1" applyFill="1" applyBorder="1" applyAlignment="1" applyProtection="1">
      <alignment vertical="center"/>
      <protection hidden="1"/>
    </xf>
    <xf numFmtId="164"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37" fontId="37" fillId="0" borderId="0" xfId="113" applyNumberFormat="1" applyFont="1" applyFill="1" applyBorder="1" applyAlignment="1" applyProtection="1">
      <alignment vertical="top"/>
      <protection hidden="1"/>
    </xf>
    <xf numFmtId="4" fontId="7" fillId="0" borderId="0" xfId="106" applyNumberFormat="1" applyFont="1" applyAlignment="1">
      <alignment horizontal="left" vertical="center" indent="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pplyProtection="1">
      <alignment horizontal="center" vertical="center"/>
      <protection locked="0"/>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5" fillId="11" borderId="9" xfId="0" applyFont="1" applyFill="1" applyBorder="1" applyAlignment="1">
      <alignment vertical="top"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0" fontId="73" fillId="3" borderId="24" xfId="109" applyFont="1" applyFill="1" applyBorder="1" applyAlignment="1" applyProtection="1">
      <alignment vertical="top" wrapText="1"/>
      <protection locked="0"/>
    </xf>
    <xf numFmtId="10" fontId="2" fillId="0" borderId="18" xfId="111" applyNumberFormat="1" applyFont="1" applyFill="1" applyBorder="1" applyAlignment="1" applyProtection="1">
      <alignment horizontal="center" vertical="top" wrapText="1"/>
      <protection locked="0" hidden="1"/>
    </xf>
    <xf numFmtId="0" fontId="73" fillId="3" borderId="14" xfId="109" applyFont="1" applyFill="1" applyBorder="1" applyAlignment="1" applyProtection="1">
      <alignment vertical="top" wrapText="1"/>
      <protection locked="0"/>
    </xf>
    <xf numFmtId="0" fontId="73" fillId="0" borderId="9" xfId="0" applyFont="1" applyBorder="1" applyAlignment="1">
      <alignment vertical="top" wrapText="1"/>
    </xf>
    <xf numFmtId="0" fontId="73" fillId="0" borderId="9" xfId="0" applyFont="1" applyBorder="1" applyAlignment="1">
      <alignment horizontal="center" vertical="top" wrapText="1"/>
    </xf>
    <xf numFmtId="43" fontId="73" fillId="3" borderId="18" xfId="8" applyFont="1" applyFill="1" applyBorder="1" applyAlignment="1" applyProtection="1">
      <alignment horizontal="right" vertical="top" wrapText="1"/>
      <protection locked="0"/>
    </xf>
    <xf numFmtId="43" fontId="73" fillId="9" borderId="9" xfId="8" applyFont="1" applyFill="1" applyBorder="1" applyAlignment="1" applyProtection="1">
      <alignment horizontal="right" vertical="top" wrapText="1"/>
    </xf>
    <xf numFmtId="2" fontId="2" fillId="0" borderId="9" xfId="111" applyNumberFormat="1" applyFont="1" applyFill="1" applyBorder="1" applyAlignment="1" applyProtection="1">
      <alignment horizontal="right" vertical="top" wrapText="1"/>
    </xf>
    <xf numFmtId="10" fontId="2" fillId="0" borderId="9" xfId="111" applyNumberFormat="1" applyFont="1" applyFill="1" applyBorder="1" applyAlignment="1" applyProtection="1">
      <alignment horizontal="center" vertical="top" wrapText="1"/>
      <protection locked="0" hidden="1"/>
    </xf>
    <xf numFmtId="0" fontId="73"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1" fillId="0" borderId="0" xfId="115" applyFont="1" applyAlignment="1">
      <alignment vertical="center"/>
    </xf>
    <xf numFmtId="0" fontId="2" fillId="0" borderId="0" xfId="115"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76" fillId="0" borderId="9" xfId="0" applyFont="1" applyBorder="1" applyAlignment="1">
      <alignment horizontal="right" vertical="center"/>
    </xf>
    <xf numFmtId="0" fontId="54" fillId="11" borderId="9" xfId="0" applyFont="1" applyFill="1" applyBorder="1" applyAlignment="1">
      <alignment horizontal="center" vertical="center"/>
    </xf>
    <xf numFmtId="0" fontId="79" fillId="11" borderId="9" xfId="0" applyFont="1" applyFill="1" applyBorder="1" applyAlignment="1">
      <alignment horizontal="center" vertical="top" wrapText="1"/>
    </xf>
    <xf numFmtId="0" fontId="54" fillId="11" borderId="9" xfId="0" applyFont="1" applyFill="1" applyBorder="1" applyAlignment="1">
      <alignment horizontal="center" vertical="center" wrapText="1"/>
    </xf>
    <xf numFmtId="0" fontId="63" fillId="0" borderId="0" xfId="112" applyNumberFormat="1" applyFont="1" applyFill="1" applyBorder="1" applyAlignment="1" applyProtection="1">
      <alignment horizontal="center" vertical="top"/>
      <protection hidden="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43"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Border="1" applyAlignment="1" applyProtection="1">
      <alignment vertical="center" wrapText="1"/>
      <protection hidden="1"/>
    </xf>
    <xf numFmtId="4" fontId="59" fillId="0" borderId="44" xfId="114" applyNumberFormat="1" applyFont="1" applyBorder="1" applyAlignment="1" applyProtection="1">
      <alignment horizontal="righ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43" fontId="57" fillId="0" borderId="18" xfId="8" applyFont="1" applyBorder="1" applyAlignment="1" applyProtection="1">
      <alignment horizontal="right" vertical="top" wrapText="1"/>
      <protection hidden="1"/>
    </xf>
    <xf numFmtId="43" fontId="57" fillId="0" borderId="14" xfId="8" applyFont="1" applyBorder="1" applyAlignment="1" applyProtection="1">
      <alignment horizontal="right" vertical="top" wrapText="1"/>
      <protection hidden="1"/>
    </xf>
    <xf numFmtId="43" fontId="57" fillId="0" borderId="9" xfId="8" applyFont="1" applyBorder="1" applyAlignment="1" applyProtection="1">
      <alignment horizontal="right" vertical="top" wrapText="1"/>
      <protection hidden="1"/>
    </xf>
    <xf numFmtId="43" fontId="57" fillId="0" borderId="24" xfId="8" applyFont="1" applyBorder="1" applyAlignment="1" applyProtection="1">
      <alignment horizontal="right" vertical="top" wrapText="1"/>
      <protection hidden="1"/>
    </xf>
    <xf numFmtId="43" fontId="57" fillId="0" borderId="35" xfId="8" applyFont="1" applyBorder="1" applyAlignment="1" applyProtection="1">
      <alignment horizontal="right" vertical="top" wrapText="1"/>
      <protection hidden="1"/>
    </xf>
    <xf numFmtId="43" fontId="57" fillId="0" borderId="16" xfId="8" applyFont="1" applyBorder="1" applyAlignment="1" applyProtection="1">
      <alignment horizontal="right" vertical="top" wrapText="1"/>
      <protection hidden="1"/>
    </xf>
    <xf numFmtId="43" fontId="57" fillId="0" borderId="12" xfId="8" applyFont="1" applyBorder="1" applyAlignment="1" applyProtection="1">
      <alignment horizontal="right" vertical="top" wrapText="1"/>
      <protection hidden="1"/>
    </xf>
    <xf numFmtId="43" fontId="57" fillId="0" borderId="55" xfId="8" applyFont="1" applyBorder="1" applyAlignment="1" applyProtection="1">
      <alignment horizontal="right" vertical="top" wrapText="1"/>
      <protection hidden="1"/>
    </xf>
    <xf numFmtId="43" fontId="57" fillId="0" borderId="25" xfId="8" applyFont="1" applyBorder="1" applyAlignment="1" applyProtection="1">
      <alignment horizontal="right" vertical="top" wrapText="1"/>
      <protection hidden="1"/>
    </xf>
    <xf numFmtId="43" fontId="57" fillId="0" borderId="56" xfId="8" applyFont="1" applyBorder="1" applyAlignment="1" applyProtection="1">
      <alignment horizontal="right" vertical="top" wrapText="1"/>
      <protection hidden="1"/>
    </xf>
    <xf numFmtId="43" fontId="57" fillId="0" borderId="0" xfId="8" applyFont="1" applyBorder="1" applyAlignment="1" applyProtection="1">
      <alignment horizontal="right" vertical="top" wrapText="1"/>
      <protection hidden="1"/>
    </xf>
    <xf numFmtId="43" fontId="57" fillId="0" borderId="9" xfId="8" applyFont="1" applyBorder="1" applyAlignment="1" applyProtection="1">
      <alignment horizontal="center" vertical="top" wrapText="1"/>
      <protection hidden="1"/>
    </xf>
    <xf numFmtId="43" fontId="57" fillId="0" borderId="0" xfId="8" applyFont="1" applyBorder="1" applyAlignment="1" applyProtection="1">
      <alignment vertical="top" wrapText="1"/>
      <protection hidden="1"/>
    </xf>
    <xf numFmtId="43" fontId="56" fillId="0" borderId="17" xfId="8" applyFont="1" applyBorder="1" applyAlignment="1" applyProtection="1">
      <alignment vertical="top" wrapText="1"/>
      <protection hidden="1"/>
    </xf>
    <xf numFmtId="43" fontId="57" fillId="0" borderId="36" xfId="8" applyFont="1" applyBorder="1" applyAlignment="1" applyProtection="1">
      <alignment vertical="top" wrapText="1"/>
      <protection hidden="1"/>
    </xf>
    <xf numFmtId="43" fontId="57" fillId="0" borderId="57" xfId="8" applyFont="1" applyBorder="1" applyAlignment="1" applyProtection="1">
      <alignment vertical="top" wrapText="1"/>
      <protection hidden="1"/>
    </xf>
    <xf numFmtId="43" fontId="37" fillId="0" borderId="0" xfId="8" applyFont="1" applyFill="1" applyBorder="1" applyAlignment="1" applyProtection="1">
      <alignment vertical="top" wrapText="1"/>
      <protection hidden="1"/>
    </xf>
    <xf numFmtId="43" fontId="56" fillId="0" borderId="38" xfId="8" applyFont="1" applyBorder="1" applyAlignment="1" applyProtection="1">
      <alignment vertical="top" wrapText="1"/>
      <protection hidden="1"/>
    </xf>
    <xf numFmtId="43" fontId="56" fillId="0" borderId="58" xfId="8" applyFont="1" applyBorder="1" applyAlignment="1" applyProtection="1">
      <alignment vertical="top" wrapText="1"/>
      <protection hidden="1"/>
    </xf>
    <xf numFmtId="43" fontId="56" fillId="0" borderId="39" xfId="8" applyFont="1" applyBorder="1" applyAlignment="1" applyProtection="1">
      <alignment vertical="top" wrapText="1"/>
      <protection hidden="1"/>
    </xf>
    <xf numFmtId="49" fontId="7" fillId="9" borderId="9" xfId="114" applyNumberFormat="1" applyFont="1" applyFill="1" applyBorder="1" applyAlignment="1">
      <alignment horizontal="lef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1" fontId="2" fillId="0" borderId="9" xfId="111" applyNumberFormat="1" applyFont="1" applyFill="1" applyBorder="1" applyAlignment="1" applyProtection="1">
      <alignment horizontal="center" vertical="top" wrapText="1"/>
    </xf>
    <xf numFmtId="0" fontId="7" fillId="0" borderId="9" xfId="114" applyFont="1" applyBorder="1" applyAlignment="1" applyProtection="1">
      <alignment horizontal="left" vertical="center" wrapText="1"/>
      <protection hidden="1"/>
    </xf>
    <xf numFmtId="43" fontId="73" fillId="3" borderId="18" xfId="8" applyFont="1" applyFill="1" applyBorder="1" applyAlignment="1" applyProtection="1">
      <alignment horizontal="center" vertical="top" wrapText="1"/>
      <protection locked="0"/>
    </xf>
    <xf numFmtId="0" fontId="80" fillId="0" borderId="0" xfId="114" applyFont="1" applyAlignment="1" applyProtection="1">
      <alignment vertical="center"/>
      <protection hidden="1"/>
    </xf>
    <xf numFmtId="22" fontId="20" fillId="0" borderId="0" xfId="114" applyNumberFormat="1" applyFont="1" applyAlignment="1" applyProtection="1">
      <alignment vertical="center"/>
      <protection hidden="1"/>
    </xf>
    <xf numFmtId="0" fontId="73" fillId="0" borderId="9" xfId="0" applyFont="1" applyBorder="1" applyAlignment="1">
      <alignment horizontal="left" vertical="top" wrapText="1"/>
    </xf>
    <xf numFmtId="0" fontId="4" fillId="0" borderId="0" xfId="114" applyFont="1" applyAlignment="1" applyProtection="1">
      <alignment horizontal="left" vertical="top"/>
      <protection hidden="1"/>
    </xf>
    <xf numFmtId="0" fontId="2" fillId="0" borderId="0" xfId="0" applyFont="1" applyAlignment="1">
      <alignment horizontal="left" vertical="top" wrapText="1"/>
    </xf>
    <xf numFmtId="0" fontId="1" fillId="0" borderId="5" xfId="0" applyFont="1" applyBorder="1" applyAlignment="1">
      <alignment vertical="top"/>
    </xf>
    <xf numFmtId="0" fontId="1" fillId="0" borderId="5" xfId="0" applyFont="1" applyBorder="1" applyAlignment="1">
      <alignment horizontal="left" vertical="top" wrapText="1"/>
    </xf>
    <xf numFmtId="0" fontId="1" fillId="0" borderId="5" xfId="0" applyFont="1" applyBorder="1" applyAlignment="1">
      <alignment horizontal="center" vertical="top" wrapText="1"/>
    </xf>
    <xf numFmtId="0" fontId="1" fillId="0" borderId="5" xfId="0" applyFont="1" applyBorder="1" applyAlignment="1">
      <alignment vertical="top" wrapText="1"/>
    </xf>
    <xf numFmtId="0" fontId="1" fillId="0" borderId="5" xfId="0" applyFont="1" applyBorder="1" applyAlignment="1">
      <alignment horizontal="right" vertical="top" wrapText="1"/>
    </xf>
    <xf numFmtId="0" fontId="5" fillId="0" borderId="0" xfId="0" applyFont="1" applyAlignment="1">
      <alignment vertical="top" wrapText="1"/>
    </xf>
    <xf numFmtId="0" fontId="2" fillId="0" borderId="0" xfId="0" applyFont="1" applyAlignment="1">
      <alignment vertical="top" wrapText="1"/>
    </xf>
    <xf numFmtId="0" fontId="2" fillId="0" borderId="0" xfId="0" applyFont="1" applyAlignment="1">
      <alignment horizontal="center" vertical="top" wrapText="1"/>
    </xf>
    <xf numFmtId="0" fontId="5" fillId="0" borderId="0" xfId="0" applyFont="1" applyAlignment="1">
      <alignment horizontal="left" vertical="top" wrapText="1"/>
    </xf>
    <xf numFmtId="0" fontId="5" fillId="0" borderId="0" xfId="0" applyFont="1" applyAlignment="1">
      <alignment horizontal="center" vertical="top" wrapText="1"/>
    </xf>
    <xf numFmtId="0" fontId="2" fillId="0" borderId="0" xfId="111" applyNumberFormat="1" applyFont="1" applyFill="1" applyBorder="1" applyAlignment="1" applyProtection="1">
      <alignment horizontal="center" vertical="top" wrapText="1"/>
    </xf>
    <xf numFmtId="0" fontId="2" fillId="0" borderId="0" xfId="111" applyNumberFormat="1" applyFont="1" applyFill="1" applyBorder="1" applyAlignment="1" applyProtection="1">
      <alignment horizontal="left" vertical="top" wrapText="1"/>
    </xf>
    <xf numFmtId="0" fontId="2" fillId="0" borderId="0" xfId="111" applyNumberFormat="1" applyFont="1" applyFill="1" applyBorder="1" applyAlignment="1" applyProtection="1">
      <alignment vertical="top" wrapText="1"/>
    </xf>
    <xf numFmtId="0" fontId="2" fillId="0" borderId="0" xfId="0" applyFont="1" applyAlignment="1">
      <alignment horizontal="center" vertical="top"/>
    </xf>
    <xf numFmtId="0" fontId="1" fillId="0" borderId="0" xfId="115" applyFont="1" applyAlignment="1">
      <alignment horizontal="left" vertical="top"/>
    </xf>
    <xf numFmtId="0" fontId="1" fillId="0" borderId="0" xfId="115" applyFont="1" applyAlignment="1">
      <alignment vertical="top"/>
    </xf>
    <xf numFmtId="0" fontId="2" fillId="0" borderId="0" xfId="0" applyFont="1" applyAlignment="1">
      <alignment horizontal="left" vertical="top"/>
    </xf>
    <xf numFmtId="0" fontId="2" fillId="0" borderId="0" xfId="115" applyFont="1" applyAlignment="1">
      <alignment horizontal="left" vertical="top"/>
    </xf>
    <xf numFmtId="0" fontId="1" fillId="0" borderId="0" xfId="0" applyFont="1" applyAlignment="1">
      <alignment vertical="top" wrapText="1"/>
    </xf>
    <xf numFmtId="0" fontId="1" fillId="0" borderId="0" xfId="115" applyFont="1" applyAlignment="1">
      <alignment horizontal="center" vertical="top"/>
    </xf>
    <xf numFmtId="0" fontId="2" fillId="0" borderId="0" xfId="115" applyFont="1" applyAlignment="1">
      <alignment vertical="top" wrapText="1"/>
    </xf>
    <xf numFmtId="0" fontId="2" fillId="0" borderId="0" xfId="115" applyFont="1" applyAlignment="1">
      <alignment horizontal="center" vertical="top"/>
    </xf>
    <xf numFmtId="0" fontId="3" fillId="0" borderId="0" xfId="0" applyFont="1" applyAlignment="1">
      <alignment vertical="top" wrapText="1"/>
    </xf>
    <xf numFmtId="0" fontId="2" fillId="0" borderId="0" xfId="115" applyFont="1" applyAlignment="1" applyProtection="1">
      <alignment vertical="top" wrapText="1"/>
      <protection hidden="1"/>
    </xf>
    <xf numFmtId="0" fontId="1" fillId="0" borderId="0" xfId="115" applyFont="1" applyAlignment="1" applyProtection="1">
      <alignment horizontal="left" vertical="top" wrapText="1"/>
      <protection hidden="1"/>
    </xf>
    <xf numFmtId="0" fontId="1" fillId="0" borderId="0" xfId="115" applyFont="1" applyAlignment="1" applyProtection="1">
      <alignment horizontal="center" vertical="top" wrapText="1"/>
      <protection hidden="1"/>
    </xf>
    <xf numFmtId="0" fontId="1" fillId="0" borderId="6" xfId="111" applyNumberFormat="1" applyFont="1" applyFill="1" applyBorder="1" applyAlignment="1" applyProtection="1">
      <alignment vertical="top" wrapText="1"/>
    </xf>
    <xf numFmtId="0" fontId="1" fillId="0" borderId="10" xfId="111" applyNumberFormat="1" applyFont="1" applyFill="1" applyBorder="1" applyAlignment="1" applyProtection="1">
      <alignment vertical="top" wrapText="1"/>
    </xf>
    <xf numFmtId="0" fontId="1" fillId="0" borderId="7" xfId="111" applyNumberFormat="1" applyFont="1" applyFill="1" applyBorder="1" applyAlignment="1" applyProtection="1">
      <alignment horizontal="center" vertical="top" wrapText="1"/>
    </xf>
    <xf numFmtId="0" fontId="1" fillId="0" borderId="8" xfId="111" applyNumberFormat="1" applyFont="1" applyFill="1" applyBorder="1" applyAlignment="1" applyProtection="1">
      <alignment horizontal="center" vertical="top" wrapText="1"/>
    </xf>
    <xf numFmtId="0" fontId="58" fillId="0" borderId="9" xfId="0" applyFont="1" applyBorder="1" applyAlignment="1">
      <alignment horizontal="center" vertical="top" wrapText="1"/>
    </xf>
    <xf numFmtId="0" fontId="62" fillId="0" borderId="0" xfId="0" applyFont="1" applyAlignment="1">
      <alignment vertical="top" wrapText="1"/>
    </xf>
    <xf numFmtId="0" fontId="61" fillId="0" borderId="0" xfId="0" applyFont="1" applyAlignment="1">
      <alignment vertical="top" wrapText="1"/>
    </xf>
    <xf numFmtId="0" fontId="1" fillId="15" borderId="9" xfId="0" applyFont="1" applyFill="1" applyBorder="1" applyAlignment="1">
      <alignment horizontal="center" vertical="top" wrapText="1"/>
    </xf>
    <xf numFmtId="0" fontId="1" fillId="15" borderId="24" xfId="0" applyFont="1" applyFill="1" applyBorder="1" applyAlignment="1">
      <alignment vertical="top"/>
    </xf>
    <xf numFmtId="0" fontId="1" fillId="15" borderId="3" xfId="0" applyFont="1" applyFill="1" applyBorder="1" applyAlignment="1">
      <alignment vertical="top"/>
    </xf>
    <xf numFmtId="0" fontId="1" fillId="15" borderId="25" xfId="0" applyFont="1" applyFill="1" applyBorder="1" applyAlignment="1">
      <alignment vertical="top"/>
    </xf>
    <xf numFmtId="0" fontId="1" fillId="15" borderId="9" xfId="0" applyFont="1" applyFill="1" applyBorder="1" applyAlignment="1">
      <alignment vertical="top" wrapText="1"/>
    </xf>
    <xf numFmtId="0" fontId="5" fillId="15" borderId="0" xfId="0" applyFont="1" applyFill="1" applyAlignment="1">
      <alignment vertical="top" wrapText="1"/>
    </xf>
    <xf numFmtId="0" fontId="2" fillId="15" borderId="0" xfId="0" applyFont="1" applyFill="1" applyAlignment="1">
      <alignment vertical="top" wrapText="1"/>
    </xf>
    <xf numFmtId="0" fontId="2" fillId="0" borderId="9" xfId="111" applyNumberFormat="1" applyFont="1" applyFill="1" applyBorder="1" applyAlignment="1" applyProtection="1">
      <alignment horizontal="center" vertical="top" wrapText="1"/>
    </xf>
    <xf numFmtId="0" fontId="73" fillId="0" borderId="0" xfId="0" applyFont="1" applyAlignment="1">
      <alignment vertical="top" wrapText="1"/>
    </xf>
    <xf numFmtId="0" fontId="2" fillId="0" borderId="0" xfId="111" applyNumberFormat="1" applyFont="1" applyFill="1" applyBorder="1" applyAlignment="1" applyProtection="1">
      <alignment horizontal="center" vertical="top" wrapText="1"/>
      <protection locked="0"/>
    </xf>
    <xf numFmtId="0" fontId="73" fillId="0" borderId="0" xfId="0" applyFont="1" applyAlignment="1">
      <alignment horizontal="center" vertical="top"/>
    </xf>
    <xf numFmtId="0" fontId="73" fillId="0" borderId="0" xfId="0" applyFont="1" applyAlignment="1">
      <alignment horizontal="left" vertical="top"/>
    </xf>
    <xf numFmtId="0" fontId="73" fillId="0" borderId="0" xfId="0" applyFont="1" applyAlignment="1">
      <alignment horizontal="right" vertical="top"/>
    </xf>
    <xf numFmtId="0" fontId="1" fillId="0" borderId="0" xfId="0" applyFont="1" applyAlignment="1">
      <alignment horizontal="justify" vertical="top" wrapText="1"/>
    </xf>
    <xf numFmtId="175" fontId="1" fillId="0" borderId="0" xfId="0" applyNumberFormat="1" applyFont="1" applyAlignment="1">
      <alignment horizontal="justify" vertical="top" wrapText="1"/>
    </xf>
    <xf numFmtId="0" fontId="1" fillId="0" borderId="0" xfId="0" applyFont="1" applyAlignment="1">
      <alignment horizontal="right" vertical="top" wrapText="1"/>
    </xf>
    <xf numFmtId="0" fontId="1" fillId="0" borderId="0" xfId="0" applyFont="1" applyAlignment="1">
      <alignment horizontal="left" vertical="top" wrapText="1"/>
    </xf>
    <xf numFmtId="0" fontId="73" fillId="0" borderId="0" xfId="0" applyFont="1" applyAlignment="1">
      <alignment horizontal="center" vertical="top" wrapText="1"/>
    </xf>
    <xf numFmtId="0" fontId="5" fillId="0" borderId="0" xfId="0" applyFont="1" applyAlignment="1">
      <alignment horizontal="justify" vertical="top" wrapText="1"/>
    </xf>
    <xf numFmtId="0" fontId="1" fillId="0" borderId="5" xfId="0" applyFont="1" applyBorder="1" applyAlignment="1">
      <alignment horizontal="left" vertical="top"/>
    </xf>
    <xf numFmtId="0" fontId="1" fillId="0" borderId="5" xfId="0" applyFont="1" applyBorder="1" applyAlignment="1">
      <alignment horizontal="center" vertical="top"/>
    </xf>
    <xf numFmtId="0" fontId="2" fillId="0" borderId="5" xfId="0" applyFont="1" applyBorder="1" applyAlignment="1">
      <alignment horizontal="center" vertical="top" wrapText="1"/>
    </xf>
    <xf numFmtId="0" fontId="3" fillId="0" borderId="0" xfId="0" applyFont="1" applyAlignment="1">
      <alignment horizontal="center" vertical="top"/>
    </xf>
    <xf numFmtId="0" fontId="2" fillId="0" borderId="0" xfId="115" applyFont="1" applyAlignment="1">
      <alignment horizontal="center" vertical="top" wrapText="1"/>
    </xf>
    <xf numFmtId="0" fontId="73" fillId="0" borderId="9" xfId="0" applyFont="1" applyBorder="1" applyAlignment="1">
      <alignment horizontal="center" vertical="top"/>
    </xf>
    <xf numFmtId="0" fontId="71" fillId="0" borderId="0" xfId="0" applyFont="1" applyAlignment="1">
      <alignment horizontal="center" vertical="top"/>
    </xf>
    <xf numFmtId="0" fontId="76" fillId="0" borderId="0" xfId="0" applyFont="1" applyAlignment="1">
      <alignment horizontal="center" vertical="top"/>
    </xf>
    <xf numFmtId="0" fontId="1" fillId="0" borderId="9" xfId="0" applyFont="1" applyBorder="1" applyAlignment="1">
      <alignment horizontal="center" vertical="top" wrapText="1"/>
    </xf>
    <xf numFmtId="0" fontId="1" fillId="0" borderId="24" xfId="0" applyFont="1" applyBorder="1" applyAlignment="1">
      <alignment horizontal="center" vertical="top" wrapText="1"/>
    </xf>
    <xf numFmtId="0" fontId="1" fillId="0" borderId="25" xfId="0" applyFont="1" applyBorder="1" applyAlignment="1">
      <alignment horizontal="center" vertical="top" wrapText="1"/>
    </xf>
    <xf numFmtId="0" fontId="1" fillId="0" borderId="9" xfId="0" applyFont="1" applyBorder="1" applyAlignment="1">
      <alignment horizontal="center" vertical="top"/>
    </xf>
    <xf numFmtId="0" fontId="58" fillId="0" borderId="9" xfId="0" applyFont="1" applyBorder="1" applyAlignment="1">
      <alignment horizontal="center" vertical="top"/>
    </xf>
    <xf numFmtId="0" fontId="58" fillId="0" borderId="24" xfId="0" applyFont="1" applyBorder="1" applyAlignment="1">
      <alignment horizontal="center" vertical="top"/>
    </xf>
    <xf numFmtId="0" fontId="58" fillId="0" borderId="25" xfId="0" applyFont="1" applyBorder="1" applyAlignment="1">
      <alignment horizontal="center" vertical="top"/>
    </xf>
    <xf numFmtId="0" fontId="78" fillId="0" borderId="0" xfId="0" applyFont="1" applyAlignment="1">
      <alignment horizontal="center" vertical="top"/>
    </xf>
    <xf numFmtId="0" fontId="33" fillId="15" borderId="9" xfId="0" applyFont="1" applyFill="1" applyBorder="1" applyAlignment="1">
      <alignment horizontal="center" vertical="top"/>
    </xf>
    <xf numFmtId="0" fontId="33" fillId="15" borderId="24" xfId="0" applyFont="1" applyFill="1" applyBorder="1" applyAlignment="1">
      <alignment vertical="top"/>
    </xf>
    <xf numFmtId="0" fontId="33" fillId="15" borderId="3" xfId="0" applyFont="1" applyFill="1" applyBorder="1" applyAlignment="1">
      <alignment vertical="top"/>
    </xf>
    <xf numFmtId="0" fontId="33" fillId="15" borderId="25" xfId="0" applyFont="1" applyFill="1" applyBorder="1" applyAlignment="1">
      <alignment vertical="top"/>
    </xf>
    <xf numFmtId="0" fontId="33" fillId="15" borderId="9" xfId="0" applyFont="1" applyFill="1" applyBorder="1" applyAlignment="1">
      <alignment vertical="top"/>
    </xf>
    <xf numFmtId="0" fontId="2" fillId="0" borderId="18" xfId="0" applyFont="1" applyBorder="1" applyAlignment="1">
      <alignment horizontal="center" vertical="top"/>
    </xf>
    <xf numFmtId="0" fontId="73" fillId="0" borderId="9" xfId="0" applyFont="1" applyBorder="1" applyAlignment="1" applyProtection="1">
      <alignment horizontal="right" vertical="top"/>
      <protection locked="0"/>
    </xf>
    <xf numFmtId="2" fontId="73" fillId="0" borderId="9" xfId="0" applyNumberFormat="1" applyFont="1" applyBorder="1" applyAlignment="1" applyProtection="1">
      <alignment horizontal="right" vertical="top"/>
      <protection locked="0"/>
    </xf>
    <xf numFmtId="164" fontId="73" fillId="0" borderId="0" xfId="0" applyNumberFormat="1" applyFont="1" applyAlignment="1">
      <alignment horizontal="center" vertical="top"/>
    </xf>
    <xf numFmtId="0" fontId="2" fillId="0" borderId="9" xfId="0" applyFont="1" applyBorder="1" applyAlignment="1">
      <alignment horizontal="center" vertical="top"/>
    </xf>
    <xf numFmtId="4" fontId="1" fillId="12" borderId="9" xfId="8" applyNumberFormat="1" applyFont="1" applyFill="1" applyBorder="1" applyAlignment="1" applyProtection="1">
      <alignment horizontal="right" vertical="top"/>
    </xf>
    <xf numFmtId="43" fontId="73" fillId="0" borderId="9" xfId="8" applyFont="1" applyBorder="1" applyAlignment="1">
      <alignment horizontal="right" vertical="top"/>
    </xf>
    <xf numFmtId="43" fontId="76" fillId="0" borderId="9" xfId="8" applyFont="1" applyBorder="1" applyAlignment="1">
      <alignment horizontal="right" vertical="top"/>
    </xf>
    <xf numFmtId="43" fontId="73" fillId="0" borderId="9" xfId="8" applyFont="1" applyBorder="1" applyAlignment="1" applyProtection="1">
      <alignment horizontal="right" vertical="top"/>
      <protection locked="0"/>
    </xf>
    <xf numFmtId="4" fontId="76" fillId="0" borderId="9" xfId="8" applyNumberFormat="1" applyFont="1" applyBorder="1" applyAlignment="1" applyProtection="1">
      <alignment horizontal="right" vertical="top"/>
      <protection locked="0"/>
    </xf>
    <xf numFmtId="43" fontId="76" fillId="0" borderId="9" xfId="8" applyFont="1" applyBorder="1" applyAlignment="1" applyProtection="1">
      <alignment horizontal="right" vertical="top"/>
      <protection locked="0"/>
    </xf>
    <xf numFmtId="0" fontId="73" fillId="0" borderId="0" xfId="0" applyFont="1" applyAlignment="1" applyProtection="1">
      <alignment horizontal="center" vertical="top"/>
      <protection locked="0"/>
    </xf>
    <xf numFmtId="0" fontId="73" fillId="0" borderId="0" xfId="0" applyFont="1" applyAlignment="1">
      <alignment vertical="top"/>
    </xf>
    <xf numFmtId="165" fontId="1" fillId="0" borderId="5" xfId="0" applyNumberFormat="1" applyFont="1" applyBorder="1" applyAlignment="1">
      <alignment horizontal="left" vertical="top"/>
    </xf>
    <xf numFmtId="165" fontId="1" fillId="0" borderId="5" xfId="0" applyNumberFormat="1" applyFont="1" applyBorder="1" applyAlignment="1">
      <alignment horizontal="left" vertical="top" wrapText="1"/>
    </xf>
    <xf numFmtId="0" fontId="1" fillId="0" borderId="5" xfId="0" applyFont="1" applyBorder="1" applyAlignment="1">
      <alignment horizontal="justify" vertical="top" wrapText="1"/>
    </xf>
    <xf numFmtId="0" fontId="1" fillId="0" borderId="5" xfId="0" applyFont="1" applyBorder="1" applyAlignment="1">
      <alignment horizontal="right" vertical="top"/>
    </xf>
    <xf numFmtId="165" fontId="2" fillId="0" borderId="0" xfId="0" applyNumberFormat="1" applyFont="1" applyAlignment="1">
      <alignment horizontal="left" vertical="top"/>
    </xf>
    <xf numFmtId="165" fontId="2" fillId="0" borderId="0" xfId="0" applyNumberFormat="1" applyFont="1" applyAlignment="1">
      <alignment horizontal="left" vertical="top" wrapText="1"/>
    </xf>
    <xf numFmtId="0" fontId="2" fillId="0" borderId="0" xfId="0" applyFont="1" applyAlignment="1">
      <alignment horizontal="justify" vertical="top" wrapText="1"/>
    </xf>
    <xf numFmtId="165" fontId="2" fillId="0" borderId="0" xfId="111" applyNumberFormat="1" applyFont="1" applyFill="1" applyBorder="1" applyAlignment="1" applyProtection="1">
      <alignment vertical="top" wrapText="1"/>
    </xf>
    <xf numFmtId="0" fontId="2" fillId="0" borderId="0" xfId="111" applyNumberFormat="1" applyFont="1" applyFill="1" applyBorder="1" applyProtection="1">
      <alignment vertical="top"/>
    </xf>
    <xf numFmtId="0" fontId="2" fillId="0" borderId="0" xfId="111" applyNumberFormat="1" applyFont="1" applyFill="1" applyBorder="1" applyAlignment="1" applyProtection="1">
      <alignment horizontal="center" vertical="top"/>
    </xf>
    <xf numFmtId="165" fontId="1" fillId="0" borderId="0" xfId="115" applyNumberFormat="1" applyFont="1" applyAlignment="1" applyProtection="1">
      <alignment vertical="top" wrapText="1"/>
      <protection hidden="1"/>
    </xf>
    <xf numFmtId="0" fontId="2" fillId="0" borderId="0" xfId="0" applyFont="1" applyAlignment="1" applyProtection="1">
      <alignment horizontal="left" vertical="top"/>
      <protection hidden="1"/>
    </xf>
    <xf numFmtId="0" fontId="2" fillId="0" borderId="0" xfId="115" applyFont="1" applyAlignment="1" applyProtection="1">
      <alignment horizontal="center" vertical="top"/>
      <protection hidden="1"/>
    </xf>
    <xf numFmtId="0" fontId="1" fillId="0" borderId="0" xfId="111" applyNumberFormat="1" applyFont="1" applyFill="1" applyBorder="1" applyAlignment="1" applyProtection="1">
      <alignment vertical="top" wrapText="1"/>
    </xf>
    <xf numFmtId="0" fontId="2" fillId="0" borderId="0" xfId="115" applyFont="1" applyAlignment="1" applyProtection="1">
      <alignment horizontal="left" vertical="top"/>
      <protection hidden="1"/>
    </xf>
    <xf numFmtId="0" fontId="2" fillId="0" borderId="0" xfId="115" applyFont="1" applyAlignment="1">
      <alignment horizontal="left" vertical="top" wrapText="1"/>
    </xf>
    <xf numFmtId="165" fontId="2" fillId="0" borderId="0" xfId="115" applyNumberFormat="1" applyFont="1" applyAlignment="1" applyProtection="1">
      <alignment vertical="top"/>
      <protection hidden="1"/>
    </xf>
    <xf numFmtId="165" fontId="2" fillId="0" borderId="0" xfId="115" applyNumberFormat="1" applyFont="1" applyAlignment="1" applyProtection="1">
      <alignment vertical="top" wrapText="1"/>
      <protection hidden="1"/>
    </xf>
    <xf numFmtId="165" fontId="1" fillId="0" borderId="5" xfId="115" applyNumberFormat="1" applyFont="1" applyBorder="1" applyAlignment="1" applyProtection="1">
      <alignment vertical="top"/>
      <protection hidden="1"/>
    </xf>
    <xf numFmtId="165"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horizontal="center" vertical="top" wrapText="1"/>
    </xf>
    <xf numFmtId="0" fontId="1" fillId="0" borderId="9" xfId="111" applyNumberFormat="1" applyFont="1" applyFill="1" applyBorder="1" applyAlignment="1" applyProtection="1">
      <alignment horizontal="center" vertical="top"/>
    </xf>
    <xf numFmtId="0" fontId="5" fillId="10" borderId="0" xfId="0" applyFont="1" applyFill="1" applyAlignment="1">
      <alignment vertical="top"/>
    </xf>
    <xf numFmtId="0" fontId="59" fillId="8" borderId="9" xfId="0" applyFont="1" applyFill="1" applyBorder="1" applyAlignment="1" applyProtection="1">
      <alignment horizontal="center" vertical="top" wrapText="1"/>
      <protection locked="0"/>
    </xf>
    <xf numFmtId="0" fontId="59" fillId="8" borderId="9" xfId="0" applyFont="1" applyFill="1" applyBorder="1" applyAlignment="1" applyProtection="1">
      <alignment horizontal="center" vertical="top"/>
      <protection locked="0"/>
    </xf>
    <xf numFmtId="0" fontId="2" fillId="10" borderId="0" xfId="0" applyFont="1" applyFill="1" applyAlignment="1">
      <alignment vertical="top"/>
    </xf>
    <xf numFmtId="0" fontId="1" fillId="15" borderId="9" xfId="0" applyFont="1" applyFill="1" applyBorder="1" applyAlignment="1">
      <alignment horizontal="center" vertical="top"/>
    </xf>
    <xf numFmtId="0" fontId="1" fillId="15" borderId="9" xfId="0" applyFont="1" applyFill="1" applyBorder="1" applyAlignment="1">
      <alignment vertical="top"/>
    </xf>
    <xf numFmtId="0" fontId="2" fillId="0" borderId="9" xfId="0" applyFont="1" applyBorder="1" applyAlignment="1" applyProtection="1">
      <alignment horizontal="center" vertical="top"/>
      <protection locked="0"/>
    </xf>
    <xf numFmtId="178" fontId="2" fillId="0" borderId="9" xfId="0" applyNumberFormat="1" applyFont="1" applyBorder="1" applyAlignment="1" applyProtection="1">
      <alignment vertical="top"/>
      <protection locked="0"/>
    </xf>
    <xf numFmtId="0" fontId="2" fillId="0" borderId="9" xfId="0" applyFont="1" applyBorder="1" applyAlignment="1" applyProtection="1">
      <alignment vertical="top"/>
      <protection locked="0"/>
    </xf>
    <xf numFmtId="164" fontId="5" fillId="0" borderId="0" xfId="0" applyNumberFormat="1" applyFont="1" applyAlignment="1" applyProtection="1">
      <alignment vertical="top"/>
      <protection locked="0"/>
    </xf>
    <xf numFmtId="0" fontId="5" fillId="0" borderId="0" xfId="0" applyFont="1" applyAlignment="1" applyProtection="1">
      <alignment vertical="top"/>
      <protection locked="0"/>
    </xf>
    <xf numFmtId="0" fontId="2" fillId="0" borderId="0" xfId="0" applyFont="1" applyAlignment="1" applyProtection="1">
      <alignment vertical="top"/>
      <protection locked="0"/>
    </xf>
    <xf numFmtId="0" fontId="2" fillId="0" borderId="0" xfId="0" applyFont="1" applyAlignment="1" applyProtection="1">
      <alignment horizontal="center" vertical="top"/>
      <protection locked="0"/>
    </xf>
    <xf numFmtId="165" fontId="2" fillId="0" borderId="0" xfId="111" applyNumberFormat="1" applyFont="1" applyFill="1" applyBorder="1" applyProtection="1">
      <alignment vertical="top"/>
    </xf>
    <xf numFmtId="0" fontId="73" fillId="0" borderId="16" xfId="0" applyFont="1" applyBorder="1" applyAlignment="1">
      <alignment vertical="top"/>
    </xf>
    <xf numFmtId="0" fontId="74" fillId="0" borderId="16" xfId="0" applyFont="1" applyBorder="1" applyAlignment="1">
      <alignment vertical="top"/>
    </xf>
    <xf numFmtId="0" fontId="74" fillId="0" borderId="0" xfId="0" applyFont="1" applyAlignment="1">
      <alignment vertical="top"/>
    </xf>
    <xf numFmtId="0" fontId="74" fillId="0" borderId="0" xfId="0" applyFont="1" applyAlignment="1">
      <alignment horizontal="center" vertical="top"/>
    </xf>
    <xf numFmtId="0" fontId="75" fillId="0" borderId="0" xfId="0" applyFont="1" applyAlignment="1">
      <alignment horizontal="center" vertical="top"/>
    </xf>
    <xf numFmtId="0" fontId="75" fillId="0" borderId="0" xfId="0" applyFont="1" applyAlignment="1">
      <alignment vertical="top"/>
    </xf>
    <xf numFmtId="0" fontId="75" fillId="0" borderId="0" xfId="0" applyFont="1" applyAlignment="1">
      <alignment horizontal="left" vertical="top"/>
    </xf>
    <xf numFmtId="0" fontId="4" fillId="0" borderId="0" xfId="0" applyFont="1" applyAlignment="1">
      <alignment horizontal="center" vertical="top"/>
    </xf>
    <xf numFmtId="164" fontId="2" fillId="0" borderId="0" xfId="111" applyNumberFormat="1" applyFont="1" applyFill="1" applyBorder="1" applyProtection="1">
      <alignment vertical="top"/>
    </xf>
    <xf numFmtId="0" fontId="7" fillId="0" borderId="5" xfId="73" applyFont="1" applyBorder="1" applyAlignment="1" applyProtection="1">
      <alignment horizontal="left" vertical="top"/>
      <protection hidden="1"/>
    </xf>
    <xf numFmtId="0" fontId="7" fillId="0" borderId="5" xfId="73" applyFont="1" applyBorder="1" applyAlignment="1" applyProtection="1">
      <alignment horizontal="justify" vertical="top"/>
      <protection hidden="1"/>
    </xf>
    <xf numFmtId="0" fontId="7" fillId="0" borderId="5" xfId="73" applyFont="1" applyBorder="1" applyAlignment="1" applyProtection="1">
      <alignment vertical="top"/>
      <protection hidden="1"/>
    </xf>
    <xf numFmtId="0" fontId="7" fillId="0" borderId="5" xfId="73" applyFont="1" applyBorder="1" applyAlignment="1" applyProtection="1">
      <alignment horizontal="right" vertical="top"/>
      <protection hidden="1"/>
    </xf>
    <xf numFmtId="0" fontId="4" fillId="0" borderId="0" xfId="73" applyAlignment="1" applyProtection="1">
      <alignment horizontal="left" vertical="top"/>
      <protection hidden="1"/>
    </xf>
    <xf numFmtId="0" fontId="4" fillId="0" borderId="0" xfId="73" applyAlignment="1" applyProtection="1">
      <alignment horizontal="justify" vertical="top"/>
      <protection hidden="1"/>
    </xf>
    <xf numFmtId="0" fontId="4" fillId="0" borderId="0" xfId="117" applyFont="1" applyAlignment="1" applyProtection="1">
      <alignment horizontal="left" vertical="top"/>
      <protection hidden="1"/>
    </xf>
    <xf numFmtId="0" fontId="7" fillId="0" borderId="39" xfId="114" applyFont="1" applyBorder="1" applyAlignment="1" applyProtection="1">
      <alignment horizontal="right" vertical="top" wrapText="1"/>
      <protection hidden="1"/>
    </xf>
    <xf numFmtId="176" fontId="7" fillId="0" borderId="40" xfId="114" applyNumberFormat="1" applyFont="1" applyBorder="1" applyAlignment="1" applyProtection="1">
      <alignment horizontal="center" vertical="top"/>
      <protection hidden="1"/>
    </xf>
    <xf numFmtId="4" fontId="7" fillId="0" borderId="41" xfId="114" applyNumberFormat="1" applyFont="1" applyBorder="1" applyAlignment="1" applyProtection="1">
      <alignment vertical="top"/>
      <protection hidden="1"/>
    </xf>
    <xf numFmtId="0" fontId="4" fillId="0" borderId="42" xfId="114" applyFont="1" applyBorder="1" applyAlignment="1" applyProtection="1">
      <alignment horizontal="center" vertical="top"/>
      <protection hidden="1"/>
    </xf>
    <xf numFmtId="0" fontId="4" fillId="0" borderId="43" xfId="114" applyFont="1" applyBorder="1" applyAlignment="1" applyProtection="1">
      <alignment vertical="top"/>
      <protection hidden="1"/>
    </xf>
    <xf numFmtId="4" fontId="7" fillId="0" borderId="41" xfId="114" applyNumberFormat="1" applyFont="1" applyBorder="1" applyAlignment="1" applyProtection="1">
      <alignment horizontal="right" vertical="top"/>
      <protection hidden="1"/>
    </xf>
    <xf numFmtId="4" fontId="59" fillId="0" borderId="41" xfId="114" applyNumberFormat="1" applyFont="1" applyBorder="1" applyAlignment="1" applyProtection="1">
      <alignment vertical="top" wrapText="1"/>
      <protection hidden="1"/>
    </xf>
    <xf numFmtId="4" fontId="59" fillId="0" borderId="44" xfId="114" applyNumberFormat="1" applyFont="1" applyBorder="1" applyAlignment="1" applyProtection="1">
      <alignment horizontal="right" vertical="top" wrapText="1"/>
      <protection hidden="1"/>
    </xf>
    <xf numFmtId="0" fontId="4" fillId="0" borderId="0" xfId="114" applyFont="1" applyAlignment="1" applyProtection="1">
      <alignment horizontal="center" vertical="top"/>
      <protection hidden="1"/>
    </xf>
    <xf numFmtId="0" fontId="7" fillId="0" borderId="0" xfId="114" applyFont="1" applyAlignment="1" applyProtection="1">
      <alignment horizontal="left" vertical="top" wrapText="1"/>
      <protection hidden="1"/>
    </xf>
    <xf numFmtId="0" fontId="7" fillId="0" borderId="0" xfId="114" applyFont="1" applyAlignment="1" applyProtection="1">
      <alignment horizontal="right" vertical="top" wrapText="1"/>
      <protection hidden="1"/>
    </xf>
    <xf numFmtId="0" fontId="7" fillId="0" borderId="0" xfId="73" applyFont="1" applyAlignment="1" applyProtection="1">
      <alignment horizontal="right" vertical="top"/>
      <protection hidden="1"/>
    </xf>
    <xf numFmtId="0" fontId="7" fillId="0" borderId="0" xfId="73" applyFont="1" applyAlignment="1" applyProtection="1">
      <alignment horizontal="justify" vertical="top"/>
      <protection hidden="1"/>
    </xf>
    <xf numFmtId="10" fontId="7" fillId="0" borderId="9" xfId="114" applyNumberFormat="1" applyFont="1" applyBorder="1" applyAlignment="1" applyProtection="1">
      <alignment horizontal="left" vertical="top" wrapText="1"/>
      <protection hidden="1"/>
    </xf>
    <xf numFmtId="49" fontId="7" fillId="9" borderId="9" xfId="114" applyNumberFormat="1" applyFont="1" applyFill="1" applyBorder="1" applyAlignment="1">
      <alignment horizontal="right" vertical="top" wrapText="1"/>
    </xf>
    <xf numFmtId="0" fontId="4" fillId="0" borderId="0" xfId="73" applyAlignment="1" applyProtection="1">
      <alignment horizontal="right" vertical="top"/>
      <protection hidden="1"/>
    </xf>
    <xf numFmtId="49" fontId="7" fillId="0" borderId="9" xfId="114" applyNumberFormat="1" applyFont="1" applyBorder="1" applyAlignment="1" applyProtection="1">
      <alignment horizontal="left" vertical="top" wrapText="1"/>
      <protection hidden="1"/>
    </xf>
    <xf numFmtId="0" fontId="4" fillId="0" borderId="0" xfId="73" applyAlignment="1" applyProtection="1">
      <alignment horizontal="center" vertical="top"/>
      <protection hidden="1"/>
    </xf>
    <xf numFmtId="0" fontId="4" fillId="0" borderId="0" xfId="114" applyFont="1" applyAlignment="1" applyProtection="1">
      <alignment horizontal="right" vertical="top"/>
      <protection hidden="1"/>
    </xf>
    <xf numFmtId="0" fontId="2" fillId="0" borderId="0" xfId="114" applyFont="1" applyAlignment="1" applyProtection="1">
      <alignment horizontal="right" vertical="top"/>
      <protection hidden="1"/>
    </xf>
    <xf numFmtId="0" fontId="1" fillId="0" borderId="0" xfId="73" applyFont="1" applyAlignment="1" applyProtection="1">
      <alignment horizontal="left" vertical="top" wrapText="1"/>
      <protection hidden="1"/>
    </xf>
    <xf numFmtId="165" fontId="1" fillId="12" borderId="5" xfId="115" applyNumberFormat="1" applyFont="1" applyFill="1" applyBorder="1" applyAlignment="1" applyProtection="1">
      <alignment vertical="top"/>
      <protection hidden="1"/>
    </xf>
    <xf numFmtId="0" fontId="2" fillId="12" borderId="9" xfId="111" applyNumberFormat="1" applyFont="1" applyFill="1" applyBorder="1" applyAlignment="1" applyProtection="1">
      <alignment horizontal="center" vertical="top" wrapText="1"/>
      <protection locked="0"/>
    </xf>
    <xf numFmtId="0" fontId="73" fillId="12" borderId="9" xfId="0" applyFont="1" applyFill="1" applyBorder="1" applyAlignment="1">
      <alignment vertical="top" wrapText="1"/>
    </xf>
    <xf numFmtId="4" fontId="76" fillId="12" borderId="9" xfId="8" applyNumberFormat="1" applyFont="1" applyFill="1" applyBorder="1" applyAlignment="1" applyProtection="1">
      <alignment horizontal="right" vertical="top" wrapText="1"/>
    </xf>
    <xf numFmtId="0" fontId="73" fillId="12" borderId="0" xfId="0" applyFont="1" applyFill="1" applyAlignment="1">
      <alignment vertical="top" wrapText="1"/>
    </xf>
    <xf numFmtId="0" fontId="5" fillId="12" borderId="0" xfId="0" applyFont="1" applyFill="1" applyAlignment="1">
      <alignment vertical="top" wrapText="1"/>
    </xf>
    <xf numFmtId="0" fontId="2" fillId="12" borderId="0" xfId="0" applyFont="1" applyFill="1" applyAlignment="1">
      <alignment vertical="top" wrapText="1"/>
    </xf>
    <xf numFmtId="165" fontId="33" fillId="12" borderId="18" xfId="111" applyNumberFormat="1" applyFont="1" applyFill="1" applyBorder="1" applyAlignment="1" applyProtection="1">
      <alignment vertical="top" wrapText="1"/>
      <protection locked="0"/>
    </xf>
    <xf numFmtId="2" fontId="33" fillId="12" borderId="18" xfId="0" applyNumberFormat="1" applyFont="1" applyFill="1" applyBorder="1" applyAlignment="1">
      <alignment horizontal="right" vertical="top" wrapText="1"/>
    </xf>
    <xf numFmtId="2" fontId="33" fillId="12" borderId="18" xfId="0" applyNumberFormat="1" applyFont="1" applyFill="1" applyBorder="1" applyAlignment="1">
      <alignment horizontal="center" vertical="top" wrapText="1"/>
    </xf>
    <xf numFmtId="39" fontId="33" fillId="12" borderId="18" xfId="8" applyNumberFormat="1" applyFont="1" applyFill="1" applyBorder="1" applyAlignment="1" applyProtection="1">
      <alignment horizontal="right" vertical="top" wrapText="1"/>
    </xf>
    <xf numFmtId="0" fontId="73" fillId="12" borderId="0" xfId="0" applyFont="1" applyFill="1" applyAlignment="1">
      <alignment vertical="top"/>
    </xf>
    <xf numFmtId="43" fontId="1" fillId="12" borderId="0" xfId="8" applyFont="1" applyFill="1" applyAlignment="1" applyProtection="1">
      <alignment vertical="top"/>
      <protection locked="0"/>
    </xf>
    <xf numFmtId="0" fontId="2" fillId="12" borderId="0" xfId="0" applyFont="1" applyFill="1" applyAlignment="1" applyProtection="1">
      <alignment vertical="top"/>
      <protection locked="0"/>
    </xf>
    <xf numFmtId="0" fontId="2" fillId="12" borderId="0" xfId="0" applyFont="1" applyFill="1" applyAlignment="1" applyProtection="1">
      <alignment horizontal="center" vertical="top"/>
      <protection locked="0"/>
    </xf>
    <xf numFmtId="164" fontId="5" fillId="12" borderId="0" xfId="0" applyNumberFormat="1" applyFont="1" applyFill="1" applyAlignment="1" applyProtection="1">
      <alignment vertical="top"/>
      <protection locked="0"/>
    </xf>
    <xf numFmtId="0" fontId="5" fillId="12" borderId="0" xfId="0" applyFont="1" applyFill="1" applyAlignment="1" applyProtection="1">
      <alignment vertical="top"/>
      <protection locked="0"/>
    </xf>
    <xf numFmtId="0" fontId="5" fillId="12" borderId="0" xfId="0" applyFont="1" applyFill="1" applyAlignment="1">
      <alignment vertical="top"/>
    </xf>
    <xf numFmtId="0" fontId="2" fillId="12" borderId="0" xfId="0" applyFont="1" applyFill="1" applyAlignment="1">
      <alignment vertical="top"/>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Border="1" applyAlignment="1" applyProtection="1">
      <alignment horizontal="center" vertical="center"/>
      <protection hidden="1"/>
    </xf>
    <xf numFmtId="0" fontId="1" fillId="0" borderId="3" xfId="114" applyFont="1" applyBorder="1" applyAlignment="1" applyProtection="1">
      <alignment horizontal="center" vertical="center"/>
      <protection hidden="1"/>
    </xf>
    <xf numFmtId="0" fontId="1" fillId="0" borderId="25" xfId="114" applyFont="1" applyBorder="1" applyAlignment="1" applyProtection="1">
      <alignment horizontal="center" vertical="center"/>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2" fillId="13" borderId="30" xfId="114" applyFont="1" applyFill="1" applyBorder="1" applyAlignment="1" applyProtection="1">
      <alignment horizontal="justify" vertical="center" wrapText="1"/>
      <protection hidden="1"/>
    </xf>
    <xf numFmtId="0" fontId="22" fillId="13" borderId="59" xfId="114" applyFont="1" applyFill="1" applyBorder="1" applyAlignment="1" applyProtection="1">
      <alignment horizontal="justify" vertical="center" wrapText="1"/>
      <protection hidden="1"/>
    </xf>
    <xf numFmtId="0" fontId="22" fillId="13" borderId="31" xfId="114" applyFont="1" applyFill="1" applyBorder="1" applyAlignment="1" applyProtection="1">
      <alignment horizontal="justify" vertical="center" wrapText="1"/>
      <protection hidden="1"/>
    </xf>
    <xf numFmtId="0" fontId="23" fillId="14" borderId="11" xfId="114" applyFont="1" applyFill="1" applyBorder="1" applyAlignment="1" applyProtection="1">
      <alignment horizontal="center" vertical="center"/>
      <protection hidden="1"/>
    </xf>
    <xf numFmtId="0" fontId="23" fillId="14" borderId="22" xfId="114" applyFont="1" applyFill="1" applyBorder="1" applyAlignment="1" applyProtection="1">
      <alignment horizontal="center" vertical="center"/>
      <protection hidden="1"/>
    </xf>
    <xf numFmtId="0" fontId="23" fillId="14" borderId="20" xfId="114" applyFont="1" applyFill="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Alignment="1" applyProtection="1">
      <alignment horizontal="right" vertical="center"/>
      <protection hidden="1"/>
    </xf>
    <xf numFmtId="0" fontId="24" fillId="0" borderId="0" xfId="73" applyFont="1" applyAlignment="1" applyProtection="1">
      <alignment horizontal="left" vertical="top"/>
      <protection hidden="1"/>
    </xf>
    <xf numFmtId="0" fontId="29" fillId="6" borderId="0" xfId="73" applyFont="1" applyFill="1" applyAlignment="1" applyProtection="1">
      <alignment horizontal="center" vertical="top" wrapText="1"/>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33" fillId="0" borderId="0" xfId="73" applyFont="1" applyAlignment="1" applyProtection="1">
      <alignment horizontal="center" vertical="top"/>
      <protection hidden="1"/>
    </xf>
    <xf numFmtId="0" fontId="73" fillId="3" borderId="30" xfId="109" applyFont="1" applyFill="1" applyBorder="1" applyAlignment="1" applyProtection="1">
      <alignment horizontal="left" vertical="center"/>
      <protection locked="0"/>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24" fillId="13" borderId="5" xfId="109" applyFont="1" applyFill="1" applyBorder="1" applyAlignment="1" applyProtection="1">
      <alignment horizontal="justify" vertical="top" wrapText="1"/>
      <protection hidden="1"/>
    </xf>
    <xf numFmtId="0" fontId="1" fillId="14" borderId="0" xfId="109" applyFont="1" applyFill="1" applyAlignment="1" applyProtection="1">
      <alignment horizontal="center" vertical="center"/>
      <protection hidden="1"/>
    </xf>
    <xf numFmtId="0" fontId="3" fillId="6" borderId="0" xfId="109" applyFont="1" applyFill="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3" fillId="0" borderId="0" xfId="0" applyFont="1" applyAlignment="1">
      <alignment horizontal="left" vertical="top"/>
    </xf>
    <xf numFmtId="0" fontId="76" fillId="12" borderId="9" xfId="0" applyFont="1" applyFill="1" applyBorder="1" applyAlignment="1">
      <alignment horizontal="left" vertical="top"/>
    </xf>
    <xf numFmtId="0" fontId="76" fillId="9" borderId="0" xfId="109" applyFont="1" applyFill="1" applyAlignment="1">
      <alignment horizontal="left" vertical="top" wrapText="1"/>
    </xf>
    <xf numFmtId="0" fontId="1" fillId="0" borderId="16" xfId="0" applyFont="1" applyBorder="1" applyAlignment="1">
      <alignment horizontal="left" vertical="top" wrapText="1"/>
    </xf>
    <xf numFmtId="0" fontId="76" fillId="0" borderId="0" xfId="0" applyFont="1" applyAlignment="1">
      <alignment horizontal="left" vertical="top"/>
    </xf>
    <xf numFmtId="1" fontId="76" fillId="9" borderId="0" xfId="109" applyNumberFormat="1" applyFont="1" applyFill="1" applyAlignment="1">
      <alignment horizontal="left" vertical="top" wrapText="1"/>
    </xf>
    <xf numFmtId="0" fontId="2" fillId="0" borderId="24" xfId="0" applyFont="1" applyBorder="1" applyAlignment="1">
      <alignment horizontal="center" vertical="top"/>
    </xf>
    <xf numFmtId="0" fontId="2" fillId="0" borderId="3" xfId="0" applyFont="1" applyBorder="1" applyAlignment="1">
      <alignment horizontal="center" vertical="top"/>
    </xf>
    <xf numFmtId="0" fontId="2" fillId="0" borderId="25" xfId="0" applyFont="1" applyBorder="1" applyAlignment="1">
      <alignment horizontal="center" vertical="top"/>
    </xf>
    <xf numFmtId="0" fontId="33" fillId="15" borderId="24" xfId="0" applyFont="1" applyFill="1" applyBorder="1" applyAlignment="1">
      <alignment horizontal="left" vertical="top"/>
    </xf>
    <xf numFmtId="0" fontId="33" fillId="15" borderId="3" xfId="0" applyFont="1" applyFill="1" applyBorder="1" applyAlignment="1">
      <alignment horizontal="left" vertical="top"/>
    </xf>
    <xf numFmtId="0" fontId="33" fillId="15" borderId="25" xfId="0" applyFont="1" applyFill="1" applyBorder="1" applyAlignment="1">
      <alignment horizontal="left" vertical="top"/>
    </xf>
    <xf numFmtId="0" fontId="33" fillId="13" borderId="0" xfId="0" applyFont="1" applyFill="1" applyAlignment="1">
      <alignment horizontal="justify" vertical="top" wrapText="1"/>
    </xf>
    <xf numFmtId="0" fontId="3" fillId="6" borderId="0" xfId="0" applyFont="1" applyFill="1" applyAlignment="1">
      <alignment horizontal="center" vertical="top"/>
    </xf>
    <xf numFmtId="0" fontId="23" fillId="0" borderId="0" xfId="0" applyFont="1" applyAlignment="1">
      <alignment horizontal="left" vertical="top"/>
    </xf>
    <xf numFmtId="0" fontId="23" fillId="0" borderId="0" xfId="0" applyFont="1" applyAlignment="1">
      <alignment horizontal="left" vertical="top" wrapText="1"/>
    </xf>
    <xf numFmtId="0" fontId="61" fillId="0" borderId="5" xfId="0" applyFont="1" applyBorder="1" applyAlignment="1">
      <alignment horizontal="right" vertical="top"/>
    </xf>
    <xf numFmtId="0" fontId="2" fillId="0" borderId="0" xfId="115" applyFont="1" applyAlignment="1">
      <alignment horizontal="left" vertical="top"/>
    </xf>
    <xf numFmtId="0" fontId="1" fillId="0" borderId="0" xfId="115" applyFont="1" applyAlignment="1">
      <alignment horizontal="left" vertical="top"/>
    </xf>
    <xf numFmtId="0" fontId="33" fillId="12" borderId="0" xfId="0" applyFont="1" applyFill="1" applyAlignment="1">
      <alignment horizontal="center" vertical="top" wrapText="1"/>
    </xf>
    <xf numFmtId="0" fontId="33" fillId="12" borderId="0" xfId="115" applyFont="1" applyFill="1" applyAlignment="1" applyProtection="1">
      <alignment horizontal="center" vertical="top" wrapText="1"/>
      <protection hidden="1"/>
    </xf>
    <xf numFmtId="0" fontId="76" fillId="12" borderId="24" xfId="0" applyFont="1" applyFill="1" applyBorder="1" applyAlignment="1">
      <alignment horizontal="center" vertical="top" wrapText="1"/>
    </xf>
    <xf numFmtId="0" fontId="76" fillId="12" borderId="3" xfId="0" applyFont="1" applyFill="1" applyBorder="1" applyAlignment="1">
      <alignment horizontal="center" vertical="top" wrapText="1"/>
    </xf>
    <xf numFmtId="0" fontId="76" fillId="12" borderId="25" xfId="0" applyFont="1" applyFill="1" applyBorder="1" applyAlignment="1">
      <alignment horizontal="center" vertical="top" wrapText="1"/>
    </xf>
    <xf numFmtId="0" fontId="73" fillId="0" borderId="0" xfId="0" applyFont="1" applyAlignment="1">
      <alignment horizontal="right" vertical="top"/>
    </xf>
    <xf numFmtId="0" fontId="5" fillId="0" borderId="0" xfId="0" applyFont="1" applyAlignment="1">
      <alignment horizontal="center" vertical="top" wrapText="1"/>
    </xf>
    <xf numFmtId="0" fontId="3" fillId="6" borderId="0" xfId="0" applyFont="1" applyFill="1" applyAlignment="1">
      <alignment horizontal="center" vertical="top" wrapText="1"/>
    </xf>
    <xf numFmtId="0" fontId="2" fillId="0" borderId="0" xfId="0" applyFont="1" applyAlignment="1">
      <alignment horizontal="left" vertical="top" wrapText="1"/>
    </xf>
    <xf numFmtId="0" fontId="61" fillId="0" borderId="51" xfId="0" applyFont="1" applyBorder="1" applyAlignment="1">
      <alignment horizontal="right" vertical="top"/>
    </xf>
    <xf numFmtId="0" fontId="2" fillId="0" borderId="24" xfId="111" applyNumberFormat="1" applyFont="1" applyFill="1" applyBorder="1" applyAlignment="1" applyProtection="1">
      <alignment horizontal="center" vertical="top" wrapText="1"/>
    </xf>
    <xf numFmtId="0" fontId="2" fillId="0" borderId="3" xfId="111" applyNumberFormat="1" applyFont="1" applyFill="1" applyBorder="1" applyAlignment="1" applyProtection="1">
      <alignment horizontal="center" vertical="top" wrapText="1"/>
    </xf>
    <xf numFmtId="0" fontId="2" fillId="0" borderId="25" xfId="111" applyNumberFormat="1" applyFont="1" applyFill="1" applyBorder="1" applyAlignment="1" applyProtection="1">
      <alignment horizontal="center" vertical="top" wrapText="1"/>
    </xf>
    <xf numFmtId="2" fontId="33" fillId="12" borderId="24" xfId="0" applyNumberFormat="1" applyFont="1" applyFill="1" applyBorder="1" applyAlignment="1">
      <alignment horizontal="center" vertical="top" wrapText="1"/>
    </xf>
    <xf numFmtId="2" fontId="33" fillId="12" borderId="3" xfId="0" applyNumberFormat="1" applyFont="1" applyFill="1" applyBorder="1" applyAlignment="1">
      <alignment horizontal="center" vertical="top" wrapText="1"/>
    </xf>
    <xf numFmtId="2" fontId="33" fillId="12" borderId="25" xfId="0" applyNumberFormat="1" applyFont="1" applyFill="1" applyBorder="1" applyAlignment="1">
      <alignment horizontal="center" vertical="top" wrapText="1"/>
    </xf>
    <xf numFmtId="1" fontId="2" fillId="0" borderId="24" xfId="111" applyNumberFormat="1" applyFont="1" applyFill="1" applyBorder="1" applyAlignment="1" applyProtection="1">
      <alignment horizontal="center" vertical="top" wrapText="1"/>
    </xf>
    <xf numFmtId="1" fontId="2" fillId="0" borderId="3" xfId="111" applyNumberFormat="1" applyFont="1" applyFill="1" applyBorder="1" applyAlignment="1" applyProtection="1">
      <alignment horizontal="center" vertical="top" wrapText="1"/>
    </xf>
    <xf numFmtId="1" fontId="2" fillId="0" borderId="25" xfId="111" applyNumberFormat="1" applyFont="1" applyFill="1" applyBorder="1" applyAlignment="1" applyProtection="1">
      <alignment horizontal="center" vertical="top" wrapText="1"/>
    </xf>
    <xf numFmtId="0" fontId="58" fillId="0" borderId="51" xfId="0" applyFont="1" applyBorder="1" applyAlignment="1">
      <alignment horizontal="right" vertical="top"/>
    </xf>
    <xf numFmtId="165" fontId="1" fillId="12" borderId="5" xfId="115" applyNumberFormat="1" applyFont="1" applyFill="1" applyBorder="1" applyAlignment="1" applyProtection="1">
      <alignment horizontal="center" vertical="top"/>
      <protection hidden="1"/>
    </xf>
    <xf numFmtId="165" fontId="1" fillId="0" borderId="0" xfId="0" applyNumberFormat="1" applyFont="1" applyAlignment="1">
      <alignment horizontal="left" vertical="top"/>
    </xf>
    <xf numFmtId="0" fontId="75" fillId="0" borderId="0" xfId="0" applyFont="1" applyAlignment="1">
      <alignment horizontal="left" vertical="top"/>
    </xf>
    <xf numFmtId="0" fontId="75" fillId="9" borderId="0" xfId="109" applyFont="1" applyFill="1" applyAlignment="1">
      <alignment horizontal="left" vertical="top" wrapText="1"/>
    </xf>
    <xf numFmtId="1" fontId="75" fillId="9" borderId="0" xfId="109" applyNumberFormat="1" applyFont="1" applyFill="1" applyAlignment="1">
      <alignment horizontal="left" vertical="top" wrapText="1"/>
    </xf>
    <xf numFmtId="0" fontId="75" fillId="9" borderId="0" xfId="109" applyFont="1" applyFill="1" applyAlignment="1">
      <alignment horizontal="left" vertical="top"/>
    </xf>
    <xf numFmtId="0" fontId="33" fillId="13" borderId="0" xfId="0" applyFont="1" applyFill="1" applyAlignment="1" applyProtection="1">
      <alignment horizontal="justify" vertical="center" wrapText="1"/>
      <protection hidden="1"/>
    </xf>
    <xf numFmtId="0" fontId="23" fillId="0" borderId="0" xfId="0" applyFont="1" applyAlignment="1">
      <alignment horizontal="left" vertical="center"/>
    </xf>
    <xf numFmtId="0" fontId="1" fillId="0" borderId="0" xfId="115" applyFont="1" applyAlignment="1">
      <alignment horizontal="left" vertical="center"/>
    </xf>
    <xf numFmtId="0" fontId="23" fillId="0" borderId="0" xfId="0" applyFont="1" applyAlignment="1">
      <alignment horizontal="left" vertical="center" wrapText="1"/>
    </xf>
    <xf numFmtId="0" fontId="2" fillId="0" borderId="0" xfId="115" applyFont="1" applyAlignment="1">
      <alignment horizontal="left" vertical="center"/>
    </xf>
    <xf numFmtId="0" fontId="3" fillId="6" borderId="0" xfId="0" applyFont="1" applyFill="1" applyAlignment="1" applyProtection="1">
      <alignment horizontal="center" vertical="center"/>
      <protection hidden="1"/>
    </xf>
    <xf numFmtId="165" fontId="1" fillId="0" borderId="0" xfId="115" applyNumberFormat="1" applyFont="1" applyAlignment="1" applyProtection="1">
      <alignment horizontal="left" vertical="center"/>
      <protection hidden="1"/>
    </xf>
    <xf numFmtId="0" fontId="73" fillId="0" borderId="0" xfId="0" applyFont="1" applyAlignment="1" applyProtection="1">
      <alignment horizontal="left" vertical="center"/>
      <protection locked="0"/>
    </xf>
    <xf numFmtId="0" fontId="73" fillId="0" borderId="24" xfId="109" applyFont="1" applyBorder="1" applyAlignment="1" applyProtection="1">
      <alignment horizontal="left" vertical="center" wrapText="1"/>
      <protection hidden="1"/>
    </xf>
    <xf numFmtId="0" fontId="73" fillId="0" borderId="25" xfId="109" applyFont="1" applyBorder="1" applyAlignment="1" applyProtection="1">
      <alignment horizontal="left" vertical="center" wrapText="1"/>
      <protection hidden="1"/>
    </xf>
    <xf numFmtId="1" fontId="73" fillId="0" borderId="24" xfId="109" applyNumberFormat="1" applyFont="1" applyBorder="1" applyAlignment="1" applyProtection="1">
      <alignment horizontal="left" vertical="center" wrapText="1"/>
      <protection hidden="1"/>
    </xf>
    <xf numFmtId="0" fontId="73" fillId="9" borderId="0" xfId="109" applyFont="1" applyFill="1" applyAlignment="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0" fontId="7" fillId="9" borderId="24" xfId="114" applyFont="1" applyFill="1" applyBorder="1" applyAlignment="1">
      <alignment horizontal="left" vertical="center" wrapText="1"/>
    </xf>
    <xf numFmtId="0" fontId="7" fillId="9" borderId="25" xfId="114" applyFont="1" applyFill="1" applyBorder="1" applyAlignment="1">
      <alignment horizontal="left" vertical="center" wrapText="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0" fontId="7" fillId="9" borderId="9" xfId="114" applyFont="1" applyFill="1" applyBorder="1" applyAlignment="1">
      <alignment horizontal="center" vertical="center" wrapText="1"/>
    </xf>
    <xf numFmtId="0" fontId="7" fillId="9" borderId="26" xfId="114" applyFont="1" applyFill="1" applyBorder="1" applyAlignment="1">
      <alignment horizontal="center" vertical="center" wrapText="1"/>
    </xf>
    <xf numFmtId="0" fontId="59" fillId="13" borderId="0" xfId="114" applyFont="1" applyFill="1" applyAlignment="1" applyProtection="1">
      <alignment horizontal="justify" vertical="top"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4" borderId="9" xfId="114" applyFont="1" applyFill="1" applyBorder="1" applyAlignment="1" applyProtection="1">
      <alignment horizontal="left" vertical="center" wrapText="1"/>
      <protection hidden="1"/>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3" fillId="0" borderId="0" xfId="114" applyFont="1" applyAlignment="1" applyProtection="1">
      <alignment horizontal="center" vertical="top"/>
      <protection hidden="1"/>
    </xf>
    <xf numFmtId="9" fontId="7" fillId="9" borderId="9" xfId="114" applyNumberFormat="1" applyFont="1" applyFill="1" applyBorder="1" applyAlignment="1">
      <alignment horizontal="center" vertical="center" wrapText="1"/>
    </xf>
    <xf numFmtId="9" fontId="7" fillId="9" borderId="26" xfId="114" applyNumberFormat="1" applyFont="1" applyFill="1" applyBorder="1" applyAlignment="1">
      <alignment horizontal="center" vertical="center" wrapText="1"/>
    </xf>
    <xf numFmtId="0" fontId="72" fillId="0" borderId="0" xfId="114" applyFont="1" applyAlignment="1" applyProtection="1">
      <alignment horizontal="center" vertical="top"/>
      <protection hidden="1"/>
    </xf>
    <xf numFmtId="49" fontId="7" fillId="9" borderId="9" xfId="114" applyNumberFormat="1" applyFont="1" applyFill="1" applyBorder="1" applyAlignment="1">
      <alignment horizontal="left" vertical="center" wrapText="1"/>
    </xf>
    <xf numFmtId="0" fontId="59" fillId="0" borderId="0" xfId="114" applyFont="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Border="1" applyAlignment="1" applyProtection="1">
      <alignment horizontal="left" vertical="center" wrapText="1"/>
      <protection hidden="1"/>
    </xf>
    <xf numFmtId="0" fontId="59" fillId="0" borderId="28" xfId="114" applyFont="1" applyBorder="1" applyAlignment="1" applyProtection="1">
      <alignment horizontal="left"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59" fillId="13" borderId="0" xfId="114" applyFont="1" applyFill="1" applyAlignment="1" applyProtection="1">
      <alignment horizontal="justify"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66" xfId="114" applyFont="1" applyBorder="1" applyAlignment="1" applyProtection="1">
      <alignment horizontal="justify" vertical="top" wrapText="1"/>
      <protection hidden="1"/>
    </xf>
    <xf numFmtId="0" fontId="4" fillId="0" borderId="21" xfId="114" applyFont="1" applyBorder="1" applyAlignment="1" applyProtection="1">
      <alignment horizontal="justify" vertical="top" wrapText="1"/>
      <protection hidden="1"/>
    </xf>
    <xf numFmtId="0" fontId="8" fillId="6" borderId="0" xfId="114" applyFont="1" applyFill="1" applyAlignment="1" applyProtection="1">
      <alignment horizontal="center" vertical="top"/>
      <protection hidden="1"/>
    </xf>
    <xf numFmtId="0" fontId="7" fillId="0" borderId="67" xfId="114" applyFont="1" applyBorder="1" applyAlignment="1" applyProtection="1">
      <alignment horizontal="center" vertical="top" wrapText="1"/>
      <protection hidden="1"/>
    </xf>
    <xf numFmtId="0" fontId="7" fillId="0" borderId="10" xfId="114" applyFont="1" applyBorder="1" applyAlignment="1" applyProtection="1">
      <alignment horizontal="center" vertical="top" wrapText="1"/>
      <protection hidden="1"/>
    </xf>
    <xf numFmtId="0" fontId="7" fillId="4" borderId="65" xfId="114" applyFont="1" applyFill="1" applyBorder="1" applyAlignment="1" applyProtection="1">
      <alignment horizontal="left" vertical="top" wrapText="1"/>
      <protection hidden="1"/>
    </xf>
    <xf numFmtId="0" fontId="66" fillId="0" borderId="40" xfId="114" applyFont="1" applyBorder="1" applyAlignment="1" applyProtection="1">
      <alignment horizontal="center" vertical="top"/>
      <protection hidden="1"/>
    </xf>
    <xf numFmtId="0" fontId="66" fillId="0" borderId="64" xfId="114" applyFont="1" applyBorder="1" applyAlignment="1" applyProtection="1">
      <alignment horizontal="center" vertical="top"/>
      <protection hidden="1"/>
    </xf>
    <xf numFmtId="0" fontId="59" fillId="0" borderId="9" xfId="114" applyFont="1" applyBorder="1" applyAlignment="1" applyProtection="1">
      <alignment horizontal="left" vertical="top" wrapText="1"/>
      <protection hidden="1"/>
    </xf>
    <xf numFmtId="0" fontId="59" fillId="0" borderId="28" xfId="114" applyFont="1" applyBorder="1" applyAlignment="1" applyProtection="1">
      <alignment horizontal="left" vertical="top" wrapText="1"/>
      <protection hidden="1"/>
    </xf>
    <xf numFmtId="0" fontId="59" fillId="13" borderId="0" xfId="115" applyFont="1" applyFill="1" applyAlignment="1">
      <alignment horizontal="center" vertical="center" wrapText="1"/>
    </xf>
    <xf numFmtId="0" fontId="8" fillId="6" borderId="0" xfId="0" applyFont="1" applyFill="1" applyAlignment="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Border="1" applyAlignment="1" applyProtection="1">
      <alignment horizontal="left" vertical="center" wrapText="1"/>
      <protection hidden="1"/>
    </xf>
    <xf numFmtId="0" fontId="74" fillId="0" borderId="25" xfId="109" applyFont="1" applyBorder="1" applyAlignment="1" applyProtection="1">
      <alignment horizontal="left" vertical="center" wrapText="1"/>
      <protection hidden="1"/>
    </xf>
    <xf numFmtId="0" fontId="74"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Border="1" applyAlignment="1" applyProtection="1">
      <alignment horizontal="left"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2" fontId="4" fillId="0" borderId="0" xfId="115" applyNumberFormat="1" applyAlignment="1" applyProtection="1">
      <alignment horizontal="right"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166" fontId="8" fillId="0" borderId="0" xfId="0" applyNumberFormat="1" applyFont="1" applyAlignment="1" applyProtection="1">
      <alignment horizontal="center" vertical="center" wrapText="1"/>
      <protection locked="0"/>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Alignment="1" applyProtection="1">
      <alignment horizontal="center" vertical="center"/>
      <protection hidden="1"/>
    </xf>
    <xf numFmtId="0" fontId="59" fillId="13" borderId="0" xfId="73" applyFont="1" applyFill="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0" xfId="106" applyFont="1" applyAlignment="1">
      <alignment horizontal="center" vertical="top"/>
    </xf>
    <xf numFmtId="0" fontId="4" fillId="0" borderId="0" xfId="106" applyFont="1" applyAlignment="1">
      <alignment horizontal="justify" vertical="top"/>
    </xf>
    <xf numFmtId="0" fontId="4" fillId="0" borderId="0" xfId="106" applyFont="1" applyAlignment="1">
      <alignment horizontal="left" vertical="top" wrapText="1"/>
    </xf>
    <xf numFmtId="0" fontId="7" fillId="0" borderId="0" xfId="106" applyFont="1" applyAlignment="1">
      <alignment horizontal="justify" vertical="center"/>
    </xf>
    <xf numFmtId="0" fontId="4" fillId="0" borderId="0" xfId="106" applyFont="1" applyAlignment="1">
      <alignment horizontal="justify" vertical="top" wrapText="1"/>
    </xf>
    <xf numFmtId="0" fontId="4" fillId="0" borderId="0" xfId="106" applyFont="1" applyAlignment="1">
      <alignment horizontal="justify" vertical="center"/>
    </xf>
    <xf numFmtId="0" fontId="60"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4" fillId="0" borderId="0" xfId="106" applyFont="1" applyAlignment="1" applyProtection="1">
      <alignment horizontal="left" vertical="center"/>
      <protection hidden="1"/>
    </xf>
    <xf numFmtId="0" fontId="59" fillId="13" borderId="0" xfId="106" applyFont="1" applyFill="1" applyAlignment="1">
      <alignment horizontal="justify" vertical="top"/>
    </xf>
    <xf numFmtId="49" fontId="4" fillId="0" borderId="0" xfId="106" applyNumberFormat="1" applyFont="1" applyAlignment="1" applyProtection="1">
      <alignment horizontal="left" vertical="center"/>
      <protection hidden="1"/>
    </xf>
    <xf numFmtId="0" fontId="4" fillId="3" borderId="22" xfId="73" applyFill="1" applyBorder="1" applyAlignment="1" applyProtection="1">
      <alignment horizontal="left" vertical="center"/>
      <protection locked="0"/>
    </xf>
    <xf numFmtId="0" fontId="4" fillId="0" borderId="0" xfId="73" applyAlignment="1">
      <alignment horizontal="left" vertical="center" wrapText="1" indent="2"/>
    </xf>
    <xf numFmtId="0" fontId="4" fillId="0" borderId="0" xfId="73" applyAlignment="1">
      <alignment horizontal="left" vertical="center" indent="2"/>
    </xf>
    <xf numFmtId="0" fontId="4" fillId="0" borderId="61" xfId="73" applyBorder="1" applyAlignment="1">
      <alignment horizontal="left" vertical="center" indent="2"/>
    </xf>
    <xf numFmtId="10" fontId="4" fillId="0" borderId="0" xfId="106" applyNumberFormat="1" applyFont="1" applyAlignment="1" applyProtection="1">
      <alignment horizontal="left" vertical="center"/>
      <protection hidden="1"/>
    </xf>
    <xf numFmtId="0" fontId="4" fillId="0" borderId="22" xfId="73" applyBorder="1" applyAlignment="1">
      <alignment horizontal="left" vertical="center" indent="2"/>
    </xf>
    <xf numFmtId="0" fontId="4" fillId="0" borderId="69" xfId="73" applyBorder="1" applyAlignment="1">
      <alignment horizontal="left" vertical="center" indent="2"/>
    </xf>
    <xf numFmtId="0" fontId="33" fillId="0" borderId="0" xfId="106" quotePrefix="1" applyFont="1" applyAlignment="1">
      <alignment horizontal="center" vertical="center"/>
    </xf>
    <xf numFmtId="0" fontId="4" fillId="0" borderId="69" xfId="73" applyBorder="1" applyAlignment="1">
      <alignment horizontal="justify" vertical="center" wrapText="1"/>
    </xf>
    <xf numFmtId="0" fontId="7" fillId="0" borderId="13" xfId="0" applyFont="1" applyBorder="1" applyAlignment="1" applyProtection="1">
      <alignment horizontal="left" vertical="center" wrapText="1"/>
      <protection hidden="1"/>
    </xf>
    <xf numFmtId="0" fontId="2" fillId="0" borderId="0" xfId="0" applyFont="1" applyAlignment="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Alignment="1">
      <alignment horizontal="left" vertical="top" wrapText="1"/>
    </xf>
    <xf numFmtId="0" fontId="53" fillId="0" borderId="0" xfId="0" applyFont="1" applyAlignment="1">
      <alignment horizontal="justify"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8"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cellXfs>
  <cellStyles count="126">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8">
    <dxf>
      <font>
        <condense val="0"/>
        <extend val="0"/>
        <color indexed="9"/>
      </font>
      <fill>
        <patternFill patternType="none">
          <bgColor indexed="65"/>
        </patternFill>
      </fill>
    </dxf>
    <dxf>
      <fill>
        <patternFill>
          <bgColor rgb="FFCCFFCC"/>
        </patternFill>
      </fill>
    </dxf>
    <dxf>
      <font>
        <condense val="0"/>
        <extend val="0"/>
        <color indexed="10"/>
      </font>
    </dxf>
    <dxf>
      <fill>
        <patternFill>
          <bgColor rgb="FFCCFFCC"/>
        </patternFill>
      </fill>
    </dxf>
    <dxf>
      <fill>
        <patternFill>
          <bgColor rgb="FFCCFFCC"/>
        </patternFill>
      </fill>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Instructions!A1"/><Relationship Id="rId1" Type="http://schemas.openxmlformats.org/officeDocument/2006/relationships/hyperlink" Target="#'Names of Bidder'!A1"/><Relationship Id="rId4"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1"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2"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twoCellAnchor editAs="oneCell">
    <xdr:from>
      <xdr:col>1</xdr:col>
      <xdr:colOff>769327</xdr:colOff>
      <xdr:row>10</xdr:row>
      <xdr:rowOff>95250</xdr:rowOff>
    </xdr:from>
    <xdr:to>
      <xdr:col>2</xdr:col>
      <xdr:colOff>2364154</xdr:colOff>
      <xdr:row>13</xdr:row>
      <xdr:rowOff>1099</xdr:rowOff>
    </xdr:to>
    <xdr:pic>
      <xdr:nvPicPr>
        <xdr:cNvPr id="2" name="Picture 9">
          <a:extLst>
            <a:ext uri="{FF2B5EF4-FFF2-40B4-BE49-F238E27FC236}">
              <a16:creationId xmlns:a16="http://schemas.microsoft.com/office/drawing/2014/main" id="{6C77D342-2457-44B5-A282-B0C987E8187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28750" y="4264269"/>
          <a:ext cx="2444750" cy="719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2621329</xdr:colOff>
      <xdr:row>10</xdr:row>
      <xdr:rowOff>133350</xdr:rowOff>
    </xdr:from>
    <xdr:to>
      <xdr:col>4</xdr:col>
      <xdr:colOff>734158</xdr:colOff>
      <xdr:row>13</xdr:row>
      <xdr:rowOff>74124</xdr:rowOff>
    </xdr:to>
    <xdr:pic>
      <xdr:nvPicPr>
        <xdr:cNvPr id="4" name="Picture 10">
          <a:extLst>
            <a:ext uri="{FF2B5EF4-FFF2-40B4-BE49-F238E27FC236}">
              <a16:creationId xmlns:a16="http://schemas.microsoft.com/office/drawing/2014/main" id="{3C53BB86-31E6-47BE-8641-125CB89E02A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12981" t="27950" r="31090" b="55093"/>
        <a:stretch>
          <a:fillRect/>
        </a:stretch>
      </xdr:blipFill>
      <xdr:spPr bwMode="auto">
        <a:xfrm>
          <a:off x="4130675" y="4302369"/>
          <a:ext cx="4003675" cy="754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8229600"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874565" y="47625"/>
          <a:ext cx="571500" cy="2091773"/>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21186321" y="285750"/>
          <a:ext cx="0" cy="1638300"/>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022" y="47625"/>
          <a:ext cx="0" cy="607529"/>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405321" y="19050"/>
          <a:ext cx="1104900" cy="692394"/>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247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6.108\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0.6.108\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0.6.108\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0.6.108\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34.bin"/><Relationship Id="rId13" Type="http://schemas.openxmlformats.org/officeDocument/2006/relationships/printerSettings" Target="../printerSettings/printerSettings139.bin"/><Relationship Id="rId3" Type="http://schemas.openxmlformats.org/officeDocument/2006/relationships/printerSettings" Target="../printerSettings/printerSettings129.bin"/><Relationship Id="rId7" Type="http://schemas.openxmlformats.org/officeDocument/2006/relationships/printerSettings" Target="../printerSettings/printerSettings133.bin"/><Relationship Id="rId12" Type="http://schemas.openxmlformats.org/officeDocument/2006/relationships/printerSettings" Target="../printerSettings/printerSettings138.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 Id="rId6" Type="http://schemas.openxmlformats.org/officeDocument/2006/relationships/printerSettings" Target="../printerSettings/printerSettings132.bin"/><Relationship Id="rId11" Type="http://schemas.openxmlformats.org/officeDocument/2006/relationships/printerSettings" Target="../printerSettings/printerSettings137.bin"/><Relationship Id="rId5" Type="http://schemas.openxmlformats.org/officeDocument/2006/relationships/printerSettings" Target="../printerSettings/printerSettings131.bin"/><Relationship Id="rId10" Type="http://schemas.openxmlformats.org/officeDocument/2006/relationships/printerSettings" Target="../printerSettings/printerSettings136.bin"/><Relationship Id="rId4" Type="http://schemas.openxmlformats.org/officeDocument/2006/relationships/printerSettings" Target="../printerSettings/printerSettings130.bin"/><Relationship Id="rId9" Type="http://schemas.openxmlformats.org/officeDocument/2006/relationships/printerSettings" Target="../printerSettings/printerSettings135.bin"/><Relationship Id="rId14"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47.bin"/><Relationship Id="rId13" Type="http://schemas.openxmlformats.org/officeDocument/2006/relationships/printerSettings" Target="../printerSettings/printerSettings152.bin"/><Relationship Id="rId3" Type="http://schemas.openxmlformats.org/officeDocument/2006/relationships/printerSettings" Target="../printerSettings/printerSettings142.bin"/><Relationship Id="rId7" Type="http://schemas.openxmlformats.org/officeDocument/2006/relationships/printerSettings" Target="../printerSettings/printerSettings146.bin"/><Relationship Id="rId12" Type="http://schemas.openxmlformats.org/officeDocument/2006/relationships/printerSettings" Target="../printerSettings/printerSettings151.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11" Type="http://schemas.openxmlformats.org/officeDocument/2006/relationships/printerSettings" Target="../printerSettings/printerSettings150.bin"/><Relationship Id="rId5" Type="http://schemas.openxmlformats.org/officeDocument/2006/relationships/printerSettings" Target="../printerSettings/printerSettings144.bin"/><Relationship Id="rId15" Type="http://schemas.openxmlformats.org/officeDocument/2006/relationships/drawing" Target="../drawings/drawing7.xml"/><Relationship Id="rId10" Type="http://schemas.openxmlformats.org/officeDocument/2006/relationships/printerSettings" Target="../printerSettings/printerSettings149.bin"/><Relationship Id="rId4" Type="http://schemas.openxmlformats.org/officeDocument/2006/relationships/printerSettings" Target="../printerSettings/printerSettings143.bin"/><Relationship Id="rId9" Type="http://schemas.openxmlformats.org/officeDocument/2006/relationships/printerSettings" Target="../printerSettings/printerSettings148.bin"/><Relationship Id="rId14" Type="http://schemas.openxmlformats.org/officeDocument/2006/relationships/printerSettings" Target="../printerSettings/printerSettings15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61.bin"/><Relationship Id="rId13" Type="http://schemas.openxmlformats.org/officeDocument/2006/relationships/printerSettings" Target="../printerSettings/printerSettings166.bin"/><Relationship Id="rId3" Type="http://schemas.openxmlformats.org/officeDocument/2006/relationships/printerSettings" Target="../printerSettings/printerSettings156.bin"/><Relationship Id="rId7" Type="http://schemas.openxmlformats.org/officeDocument/2006/relationships/printerSettings" Target="../printerSettings/printerSettings160.bin"/><Relationship Id="rId12" Type="http://schemas.openxmlformats.org/officeDocument/2006/relationships/printerSettings" Target="../printerSettings/printerSettings165.bin"/><Relationship Id="rId2" Type="http://schemas.openxmlformats.org/officeDocument/2006/relationships/printerSettings" Target="../printerSettings/printerSettings155.bin"/><Relationship Id="rId1" Type="http://schemas.openxmlformats.org/officeDocument/2006/relationships/printerSettings" Target="../printerSettings/printerSettings154.bin"/><Relationship Id="rId6" Type="http://schemas.openxmlformats.org/officeDocument/2006/relationships/printerSettings" Target="../printerSettings/printerSettings159.bin"/><Relationship Id="rId11" Type="http://schemas.openxmlformats.org/officeDocument/2006/relationships/printerSettings" Target="../printerSettings/printerSettings164.bin"/><Relationship Id="rId5" Type="http://schemas.openxmlformats.org/officeDocument/2006/relationships/printerSettings" Target="../printerSettings/printerSettings158.bin"/><Relationship Id="rId15" Type="http://schemas.openxmlformats.org/officeDocument/2006/relationships/drawing" Target="../drawings/drawing8.xml"/><Relationship Id="rId10" Type="http://schemas.openxmlformats.org/officeDocument/2006/relationships/printerSettings" Target="../printerSettings/printerSettings163.bin"/><Relationship Id="rId4" Type="http://schemas.openxmlformats.org/officeDocument/2006/relationships/printerSettings" Target="../printerSettings/printerSettings157.bin"/><Relationship Id="rId9" Type="http://schemas.openxmlformats.org/officeDocument/2006/relationships/printerSettings" Target="../printerSettings/printerSettings162.bin"/><Relationship Id="rId14" Type="http://schemas.openxmlformats.org/officeDocument/2006/relationships/printerSettings" Target="../printerSettings/printerSettings167.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75.bin"/><Relationship Id="rId13" Type="http://schemas.openxmlformats.org/officeDocument/2006/relationships/printerSettings" Target="../printerSettings/printerSettings180.bin"/><Relationship Id="rId3" Type="http://schemas.openxmlformats.org/officeDocument/2006/relationships/printerSettings" Target="../printerSettings/printerSettings170.bin"/><Relationship Id="rId7" Type="http://schemas.openxmlformats.org/officeDocument/2006/relationships/printerSettings" Target="../printerSettings/printerSettings174.bin"/><Relationship Id="rId12" Type="http://schemas.openxmlformats.org/officeDocument/2006/relationships/printerSettings" Target="../printerSettings/printerSettings179.bin"/><Relationship Id="rId2" Type="http://schemas.openxmlformats.org/officeDocument/2006/relationships/printerSettings" Target="../printerSettings/printerSettings169.bin"/><Relationship Id="rId1" Type="http://schemas.openxmlformats.org/officeDocument/2006/relationships/printerSettings" Target="../printerSettings/printerSettings168.bin"/><Relationship Id="rId6" Type="http://schemas.openxmlformats.org/officeDocument/2006/relationships/printerSettings" Target="../printerSettings/printerSettings173.bin"/><Relationship Id="rId11" Type="http://schemas.openxmlformats.org/officeDocument/2006/relationships/printerSettings" Target="../printerSettings/printerSettings178.bin"/><Relationship Id="rId5" Type="http://schemas.openxmlformats.org/officeDocument/2006/relationships/printerSettings" Target="../printerSettings/printerSettings172.bin"/><Relationship Id="rId10" Type="http://schemas.openxmlformats.org/officeDocument/2006/relationships/printerSettings" Target="../printerSettings/printerSettings177.bin"/><Relationship Id="rId4" Type="http://schemas.openxmlformats.org/officeDocument/2006/relationships/printerSettings" Target="../printerSettings/printerSettings171.bin"/><Relationship Id="rId9" Type="http://schemas.openxmlformats.org/officeDocument/2006/relationships/printerSettings" Target="../printerSettings/printerSettings176.bin"/><Relationship Id="rId14"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0" Type="http://schemas.openxmlformats.org/officeDocument/2006/relationships/printerSettings" Target="../printerSettings/printerSettings190.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02.bin"/><Relationship Id="rId13" Type="http://schemas.openxmlformats.org/officeDocument/2006/relationships/printerSettings" Target="../printerSettings/printerSettings207.bin"/><Relationship Id="rId3" Type="http://schemas.openxmlformats.org/officeDocument/2006/relationships/printerSettings" Target="../printerSettings/printerSettings197.bin"/><Relationship Id="rId7" Type="http://schemas.openxmlformats.org/officeDocument/2006/relationships/printerSettings" Target="../printerSettings/printerSettings201.bin"/><Relationship Id="rId12" Type="http://schemas.openxmlformats.org/officeDocument/2006/relationships/printerSettings" Target="../printerSettings/printerSettings206.bin"/><Relationship Id="rId2" Type="http://schemas.openxmlformats.org/officeDocument/2006/relationships/printerSettings" Target="../printerSettings/printerSettings196.bin"/><Relationship Id="rId1" Type="http://schemas.openxmlformats.org/officeDocument/2006/relationships/printerSettings" Target="../printerSettings/printerSettings195.bin"/><Relationship Id="rId6" Type="http://schemas.openxmlformats.org/officeDocument/2006/relationships/printerSettings" Target="../printerSettings/printerSettings200.bin"/><Relationship Id="rId11" Type="http://schemas.openxmlformats.org/officeDocument/2006/relationships/printerSettings" Target="../printerSettings/printerSettings205.bin"/><Relationship Id="rId5" Type="http://schemas.openxmlformats.org/officeDocument/2006/relationships/printerSettings" Target="../printerSettings/printerSettings199.bin"/><Relationship Id="rId10" Type="http://schemas.openxmlformats.org/officeDocument/2006/relationships/printerSettings" Target="../printerSettings/printerSettings204.bin"/><Relationship Id="rId4" Type="http://schemas.openxmlformats.org/officeDocument/2006/relationships/printerSettings" Target="../printerSettings/printerSettings198.bin"/><Relationship Id="rId9" Type="http://schemas.openxmlformats.org/officeDocument/2006/relationships/printerSettings" Target="../printerSettings/printerSettings203.bin"/><Relationship Id="rId14" Type="http://schemas.openxmlformats.org/officeDocument/2006/relationships/printerSettings" Target="../printerSettings/printerSettings208.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16.bin"/><Relationship Id="rId13" Type="http://schemas.openxmlformats.org/officeDocument/2006/relationships/printerSettings" Target="../printerSettings/printerSettings221.bin"/><Relationship Id="rId3" Type="http://schemas.openxmlformats.org/officeDocument/2006/relationships/printerSettings" Target="../printerSettings/printerSettings211.bin"/><Relationship Id="rId7" Type="http://schemas.openxmlformats.org/officeDocument/2006/relationships/printerSettings" Target="../printerSettings/printerSettings215.bin"/><Relationship Id="rId12" Type="http://schemas.openxmlformats.org/officeDocument/2006/relationships/printerSettings" Target="../printerSettings/printerSettings220.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6" Type="http://schemas.openxmlformats.org/officeDocument/2006/relationships/printerSettings" Target="../printerSettings/printerSettings214.bin"/><Relationship Id="rId11" Type="http://schemas.openxmlformats.org/officeDocument/2006/relationships/printerSettings" Target="../printerSettings/printerSettings219.bin"/><Relationship Id="rId5" Type="http://schemas.openxmlformats.org/officeDocument/2006/relationships/printerSettings" Target="../printerSettings/printerSettings213.bin"/><Relationship Id="rId15" Type="http://schemas.openxmlformats.org/officeDocument/2006/relationships/drawing" Target="../drawings/drawing10.xml"/><Relationship Id="rId10" Type="http://schemas.openxmlformats.org/officeDocument/2006/relationships/printerSettings" Target="../printerSettings/printerSettings218.bin"/><Relationship Id="rId4" Type="http://schemas.openxmlformats.org/officeDocument/2006/relationships/printerSettings" Target="../printerSettings/printerSettings212.bin"/><Relationship Id="rId9" Type="http://schemas.openxmlformats.org/officeDocument/2006/relationships/printerSettings" Target="../printerSettings/printerSettings217.bin"/><Relationship Id="rId14" Type="http://schemas.openxmlformats.org/officeDocument/2006/relationships/printerSettings" Target="../printerSettings/printerSettings222.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30.bin"/><Relationship Id="rId13" Type="http://schemas.openxmlformats.org/officeDocument/2006/relationships/printerSettings" Target="../printerSettings/printerSettings235.bin"/><Relationship Id="rId3" Type="http://schemas.openxmlformats.org/officeDocument/2006/relationships/printerSettings" Target="../printerSettings/printerSettings225.bin"/><Relationship Id="rId7" Type="http://schemas.openxmlformats.org/officeDocument/2006/relationships/printerSettings" Target="../printerSettings/printerSettings229.bin"/><Relationship Id="rId12" Type="http://schemas.openxmlformats.org/officeDocument/2006/relationships/printerSettings" Target="../printerSettings/printerSettings234.bin"/><Relationship Id="rId2" Type="http://schemas.openxmlformats.org/officeDocument/2006/relationships/printerSettings" Target="../printerSettings/printerSettings224.bin"/><Relationship Id="rId1" Type="http://schemas.openxmlformats.org/officeDocument/2006/relationships/printerSettings" Target="../printerSettings/printerSettings223.bin"/><Relationship Id="rId6" Type="http://schemas.openxmlformats.org/officeDocument/2006/relationships/printerSettings" Target="../printerSettings/printerSettings228.bin"/><Relationship Id="rId11" Type="http://schemas.openxmlformats.org/officeDocument/2006/relationships/printerSettings" Target="../printerSettings/printerSettings233.bin"/><Relationship Id="rId5" Type="http://schemas.openxmlformats.org/officeDocument/2006/relationships/printerSettings" Target="../printerSettings/printerSettings227.bin"/><Relationship Id="rId15" Type="http://schemas.openxmlformats.org/officeDocument/2006/relationships/drawing" Target="../drawings/drawing11.xml"/><Relationship Id="rId10" Type="http://schemas.openxmlformats.org/officeDocument/2006/relationships/printerSettings" Target="../printerSettings/printerSettings232.bin"/><Relationship Id="rId4" Type="http://schemas.openxmlformats.org/officeDocument/2006/relationships/printerSettings" Target="../printerSettings/printerSettings226.bin"/><Relationship Id="rId9" Type="http://schemas.openxmlformats.org/officeDocument/2006/relationships/printerSettings" Target="../printerSettings/printerSettings231.bin"/><Relationship Id="rId14" Type="http://schemas.openxmlformats.org/officeDocument/2006/relationships/printerSettings" Target="../printerSettings/printerSettings236.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44.bin"/><Relationship Id="rId13" Type="http://schemas.openxmlformats.org/officeDocument/2006/relationships/printerSettings" Target="../printerSettings/printerSettings249.bin"/><Relationship Id="rId3" Type="http://schemas.openxmlformats.org/officeDocument/2006/relationships/printerSettings" Target="../printerSettings/printerSettings239.bin"/><Relationship Id="rId7" Type="http://schemas.openxmlformats.org/officeDocument/2006/relationships/printerSettings" Target="../printerSettings/printerSettings243.bin"/><Relationship Id="rId12" Type="http://schemas.openxmlformats.org/officeDocument/2006/relationships/printerSettings" Target="../printerSettings/printerSettings248.bin"/><Relationship Id="rId2" Type="http://schemas.openxmlformats.org/officeDocument/2006/relationships/printerSettings" Target="../printerSettings/printerSettings238.bin"/><Relationship Id="rId1" Type="http://schemas.openxmlformats.org/officeDocument/2006/relationships/printerSettings" Target="../printerSettings/printerSettings237.bin"/><Relationship Id="rId6" Type="http://schemas.openxmlformats.org/officeDocument/2006/relationships/printerSettings" Target="../printerSettings/printerSettings242.bin"/><Relationship Id="rId11" Type="http://schemas.openxmlformats.org/officeDocument/2006/relationships/printerSettings" Target="../printerSettings/printerSettings247.bin"/><Relationship Id="rId5" Type="http://schemas.openxmlformats.org/officeDocument/2006/relationships/printerSettings" Target="../printerSettings/printerSettings241.bin"/><Relationship Id="rId15" Type="http://schemas.openxmlformats.org/officeDocument/2006/relationships/drawing" Target="../drawings/drawing12.xml"/><Relationship Id="rId10" Type="http://schemas.openxmlformats.org/officeDocument/2006/relationships/printerSettings" Target="../printerSettings/printerSettings246.bin"/><Relationship Id="rId4" Type="http://schemas.openxmlformats.org/officeDocument/2006/relationships/printerSettings" Target="../printerSettings/printerSettings240.bin"/><Relationship Id="rId9" Type="http://schemas.openxmlformats.org/officeDocument/2006/relationships/printerSettings" Target="../printerSettings/printerSettings245.bin"/><Relationship Id="rId14" Type="http://schemas.openxmlformats.org/officeDocument/2006/relationships/printerSettings" Target="../printerSettings/printerSettings250.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58.bin"/><Relationship Id="rId13" Type="http://schemas.openxmlformats.org/officeDocument/2006/relationships/printerSettings" Target="../printerSettings/printerSettings263.bin"/><Relationship Id="rId3" Type="http://schemas.openxmlformats.org/officeDocument/2006/relationships/printerSettings" Target="../printerSettings/printerSettings253.bin"/><Relationship Id="rId7" Type="http://schemas.openxmlformats.org/officeDocument/2006/relationships/printerSettings" Target="../printerSettings/printerSettings257.bin"/><Relationship Id="rId12" Type="http://schemas.openxmlformats.org/officeDocument/2006/relationships/printerSettings" Target="../printerSettings/printerSettings262.bin"/><Relationship Id="rId2" Type="http://schemas.openxmlformats.org/officeDocument/2006/relationships/printerSettings" Target="../printerSettings/printerSettings252.bin"/><Relationship Id="rId1" Type="http://schemas.openxmlformats.org/officeDocument/2006/relationships/printerSettings" Target="../printerSettings/printerSettings251.bin"/><Relationship Id="rId6" Type="http://schemas.openxmlformats.org/officeDocument/2006/relationships/printerSettings" Target="../printerSettings/printerSettings256.bin"/><Relationship Id="rId11" Type="http://schemas.openxmlformats.org/officeDocument/2006/relationships/printerSettings" Target="../printerSettings/printerSettings261.bin"/><Relationship Id="rId5" Type="http://schemas.openxmlformats.org/officeDocument/2006/relationships/printerSettings" Target="../printerSettings/printerSettings255.bin"/><Relationship Id="rId15" Type="http://schemas.openxmlformats.org/officeDocument/2006/relationships/drawing" Target="../drawings/drawing13.xml"/><Relationship Id="rId10" Type="http://schemas.openxmlformats.org/officeDocument/2006/relationships/printerSettings" Target="../printerSettings/printerSettings260.bin"/><Relationship Id="rId4" Type="http://schemas.openxmlformats.org/officeDocument/2006/relationships/printerSettings" Target="../printerSettings/printerSettings254.bin"/><Relationship Id="rId9" Type="http://schemas.openxmlformats.org/officeDocument/2006/relationships/printerSettings" Target="../printerSettings/printerSettings259.bin"/><Relationship Id="rId14" Type="http://schemas.openxmlformats.org/officeDocument/2006/relationships/printerSettings" Target="../printerSettings/printerSettings26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5" Type="http://schemas.openxmlformats.org/officeDocument/2006/relationships/drawing" Target="../drawings/drawing1.xml"/><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 Id="rId14" Type="http://schemas.openxmlformats.org/officeDocument/2006/relationships/printerSettings" Target="../printerSettings/printerSettings28.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72.bin"/><Relationship Id="rId3" Type="http://schemas.openxmlformats.org/officeDocument/2006/relationships/printerSettings" Target="../printerSettings/printerSettings267.bin"/><Relationship Id="rId7" Type="http://schemas.openxmlformats.org/officeDocument/2006/relationships/printerSettings" Target="../printerSettings/printerSettings271.bin"/><Relationship Id="rId2" Type="http://schemas.openxmlformats.org/officeDocument/2006/relationships/printerSettings" Target="../printerSettings/printerSettings266.bin"/><Relationship Id="rId1" Type="http://schemas.openxmlformats.org/officeDocument/2006/relationships/printerSettings" Target="../printerSettings/printerSettings265.bin"/><Relationship Id="rId6" Type="http://schemas.openxmlformats.org/officeDocument/2006/relationships/printerSettings" Target="../printerSettings/printerSettings270.bin"/><Relationship Id="rId5" Type="http://schemas.openxmlformats.org/officeDocument/2006/relationships/printerSettings" Target="../printerSettings/printerSettings269.bin"/><Relationship Id="rId10" Type="http://schemas.openxmlformats.org/officeDocument/2006/relationships/printerSettings" Target="../printerSettings/printerSettings274.bin"/><Relationship Id="rId4" Type="http://schemas.openxmlformats.org/officeDocument/2006/relationships/printerSettings" Target="../printerSettings/printerSettings268.bin"/><Relationship Id="rId9" Type="http://schemas.openxmlformats.org/officeDocument/2006/relationships/printerSettings" Target="../printerSettings/printerSettings273.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6.bin"/><Relationship Id="rId13" Type="http://schemas.openxmlformats.org/officeDocument/2006/relationships/printerSettings" Target="../printerSettings/printerSettings41.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12" Type="http://schemas.openxmlformats.org/officeDocument/2006/relationships/printerSettings" Target="../printerSettings/printerSettings40.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11" Type="http://schemas.openxmlformats.org/officeDocument/2006/relationships/printerSettings" Target="../printerSettings/printerSettings39.bin"/><Relationship Id="rId5" Type="http://schemas.openxmlformats.org/officeDocument/2006/relationships/printerSettings" Target="../printerSettings/printerSettings33.bin"/><Relationship Id="rId15" Type="http://schemas.openxmlformats.org/officeDocument/2006/relationships/drawing" Target="../drawings/drawing2.xml"/><Relationship Id="rId10" Type="http://schemas.openxmlformats.org/officeDocument/2006/relationships/printerSettings" Target="../printerSettings/printerSettings38.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 Id="rId14" Type="http://schemas.openxmlformats.org/officeDocument/2006/relationships/printerSettings" Target="../printerSettings/printerSettings4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13" Type="http://schemas.openxmlformats.org/officeDocument/2006/relationships/printerSettings" Target="../printerSettings/printerSettings55.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5" Type="http://schemas.openxmlformats.org/officeDocument/2006/relationships/drawing" Target="../drawings/drawing3.xml"/><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 Id="rId14" Type="http://schemas.openxmlformats.org/officeDocument/2006/relationships/printerSettings" Target="../printerSettings/printerSettings5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4.bin"/><Relationship Id="rId13" Type="http://schemas.openxmlformats.org/officeDocument/2006/relationships/printerSettings" Target="../printerSettings/printerSettings69.bin"/><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12" Type="http://schemas.openxmlformats.org/officeDocument/2006/relationships/printerSettings" Target="../printerSettings/printerSettings68.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11" Type="http://schemas.openxmlformats.org/officeDocument/2006/relationships/printerSettings" Target="../printerSettings/printerSettings67.bin"/><Relationship Id="rId5" Type="http://schemas.openxmlformats.org/officeDocument/2006/relationships/printerSettings" Target="../printerSettings/printerSettings61.bin"/><Relationship Id="rId15" Type="http://schemas.openxmlformats.org/officeDocument/2006/relationships/drawing" Target="../drawings/drawing4.xml"/><Relationship Id="rId10" Type="http://schemas.openxmlformats.org/officeDocument/2006/relationships/printerSettings" Target="../printerSettings/printerSettings66.bin"/><Relationship Id="rId4" Type="http://schemas.openxmlformats.org/officeDocument/2006/relationships/printerSettings" Target="../printerSettings/printerSettings60.bin"/><Relationship Id="rId9" Type="http://schemas.openxmlformats.org/officeDocument/2006/relationships/printerSettings" Target="../printerSettings/printerSettings65.bin"/><Relationship Id="rId1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8.bin"/><Relationship Id="rId13" Type="http://schemas.openxmlformats.org/officeDocument/2006/relationships/printerSettings" Target="../printerSettings/printerSettings83.bin"/><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12" Type="http://schemas.openxmlformats.org/officeDocument/2006/relationships/printerSettings" Target="../printerSettings/printerSettings82.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11" Type="http://schemas.openxmlformats.org/officeDocument/2006/relationships/printerSettings" Target="../printerSettings/printerSettings81.bin"/><Relationship Id="rId5" Type="http://schemas.openxmlformats.org/officeDocument/2006/relationships/printerSettings" Target="../printerSettings/printerSettings75.bin"/><Relationship Id="rId10" Type="http://schemas.openxmlformats.org/officeDocument/2006/relationships/printerSettings" Target="../printerSettings/printerSettings80.bin"/><Relationship Id="rId4" Type="http://schemas.openxmlformats.org/officeDocument/2006/relationships/printerSettings" Target="../printerSettings/printerSettings74.bin"/><Relationship Id="rId9" Type="http://schemas.openxmlformats.org/officeDocument/2006/relationships/printerSettings" Target="../printerSettings/printerSettings79.bin"/><Relationship Id="rId14" Type="http://schemas.openxmlformats.org/officeDocument/2006/relationships/printerSettings" Target="../printerSettings/printerSettings8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2.bin"/><Relationship Id="rId13" Type="http://schemas.openxmlformats.org/officeDocument/2006/relationships/printerSettings" Target="../printerSettings/printerSettings97.bin"/><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12" Type="http://schemas.openxmlformats.org/officeDocument/2006/relationships/printerSettings" Target="../printerSettings/printerSettings96.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11" Type="http://schemas.openxmlformats.org/officeDocument/2006/relationships/printerSettings" Target="../printerSettings/printerSettings95.bin"/><Relationship Id="rId5" Type="http://schemas.openxmlformats.org/officeDocument/2006/relationships/printerSettings" Target="../printerSettings/printerSettings89.bin"/><Relationship Id="rId10" Type="http://schemas.openxmlformats.org/officeDocument/2006/relationships/printerSettings" Target="../printerSettings/printerSettings94.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 Id="rId14" Type="http://schemas.openxmlformats.org/officeDocument/2006/relationships/printerSettings" Target="../printerSettings/printerSettings98.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06.bin"/><Relationship Id="rId13" Type="http://schemas.openxmlformats.org/officeDocument/2006/relationships/printerSettings" Target="../printerSettings/printerSettings111.bin"/><Relationship Id="rId3" Type="http://schemas.openxmlformats.org/officeDocument/2006/relationships/printerSettings" Target="../printerSettings/printerSettings101.bin"/><Relationship Id="rId7" Type="http://schemas.openxmlformats.org/officeDocument/2006/relationships/printerSettings" Target="../printerSettings/printerSettings105.bin"/><Relationship Id="rId12" Type="http://schemas.openxmlformats.org/officeDocument/2006/relationships/printerSettings" Target="../printerSettings/printerSettings110.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6" Type="http://schemas.openxmlformats.org/officeDocument/2006/relationships/printerSettings" Target="../printerSettings/printerSettings104.bin"/><Relationship Id="rId11" Type="http://schemas.openxmlformats.org/officeDocument/2006/relationships/printerSettings" Target="../printerSettings/printerSettings109.bin"/><Relationship Id="rId5" Type="http://schemas.openxmlformats.org/officeDocument/2006/relationships/printerSettings" Target="../printerSettings/printerSettings103.bin"/><Relationship Id="rId10" Type="http://schemas.openxmlformats.org/officeDocument/2006/relationships/printerSettings" Target="../printerSettings/printerSettings108.bin"/><Relationship Id="rId4" Type="http://schemas.openxmlformats.org/officeDocument/2006/relationships/printerSettings" Target="../printerSettings/printerSettings102.bin"/><Relationship Id="rId9" Type="http://schemas.openxmlformats.org/officeDocument/2006/relationships/printerSettings" Target="../printerSettings/printerSettings107.bin"/><Relationship Id="rId14" Type="http://schemas.openxmlformats.org/officeDocument/2006/relationships/printerSettings" Target="../printerSettings/printerSettings11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0.bin"/><Relationship Id="rId13" Type="http://schemas.openxmlformats.org/officeDocument/2006/relationships/printerSettings" Target="../printerSettings/printerSettings125.bin"/><Relationship Id="rId3" Type="http://schemas.openxmlformats.org/officeDocument/2006/relationships/printerSettings" Target="../printerSettings/printerSettings115.bin"/><Relationship Id="rId7" Type="http://schemas.openxmlformats.org/officeDocument/2006/relationships/printerSettings" Target="../printerSettings/printerSettings119.bin"/><Relationship Id="rId12" Type="http://schemas.openxmlformats.org/officeDocument/2006/relationships/printerSettings" Target="../printerSettings/printerSettings124.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11" Type="http://schemas.openxmlformats.org/officeDocument/2006/relationships/printerSettings" Target="../printerSettings/printerSettings123.bin"/><Relationship Id="rId5" Type="http://schemas.openxmlformats.org/officeDocument/2006/relationships/printerSettings" Target="../printerSettings/printerSettings117.bin"/><Relationship Id="rId15" Type="http://schemas.openxmlformats.org/officeDocument/2006/relationships/drawing" Target="../drawings/drawing5.xml"/><Relationship Id="rId10" Type="http://schemas.openxmlformats.org/officeDocument/2006/relationships/printerSettings" Target="../printerSettings/printerSettings122.bin"/><Relationship Id="rId4" Type="http://schemas.openxmlformats.org/officeDocument/2006/relationships/printerSettings" Target="../printerSettings/printerSettings116.bin"/><Relationship Id="rId9" Type="http://schemas.openxmlformats.org/officeDocument/2006/relationships/printerSettings" Target="../printerSettings/printerSettings121.bin"/><Relationship Id="rId14" Type="http://schemas.openxmlformats.org/officeDocument/2006/relationships/printerSettings" Target="../printerSettings/printerSettings1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pageSetUpPr autoPageBreaks="0"/>
  </sheetPr>
  <dimension ref="A1:I5"/>
  <sheetViews>
    <sheetView view="pageBreakPreview" zoomScale="175" zoomScaleNormal="100" zoomScaleSheetLayoutView="175" workbookViewId="0">
      <selection activeCell="E2" sqref="E2"/>
    </sheetView>
  </sheetViews>
  <sheetFormatPr defaultRowHeight="16.5"/>
  <cols>
    <col min="1" max="1" width="20.5703125" style="18" customWidth="1"/>
    <col min="2" max="2" width="82.140625" style="18" customWidth="1"/>
    <col min="3" max="8" width="9.140625" style="18"/>
    <col min="9" max="9" width="9.140625" style="18" hidden="1" customWidth="1"/>
    <col min="10" max="16384" width="9.140625" style="18"/>
  </cols>
  <sheetData>
    <row r="1" spans="1:9" ht="181.5" customHeight="1">
      <c r="A1" s="16" t="s">
        <v>40</v>
      </c>
      <c r="B1" s="730" t="s">
        <v>552</v>
      </c>
      <c r="C1" s="17"/>
      <c r="D1" s="17"/>
      <c r="E1" s="17"/>
      <c r="F1" s="17"/>
      <c r="G1" s="17"/>
      <c r="H1" s="17"/>
    </row>
    <row r="2" spans="1:9">
      <c r="B2" s="19"/>
      <c r="I2" s="18" t="s">
        <v>253</v>
      </c>
    </row>
    <row r="3" spans="1:9">
      <c r="A3" s="18" t="s">
        <v>41</v>
      </c>
      <c r="B3" s="352" t="s">
        <v>553</v>
      </c>
      <c r="I3" s="18" t="s">
        <v>254</v>
      </c>
    </row>
    <row r="5" spans="1:9">
      <c r="A5" s="18" t="s">
        <v>42</v>
      </c>
      <c r="B5" s="361" t="s">
        <v>554</v>
      </c>
      <c r="C5" s="17"/>
      <c r="D5" s="17"/>
      <c r="E5" s="17"/>
      <c r="F5" s="17"/>
      <c r="G5" s="17"/>
      <c r="H5" s="17"/>
    </row>
  </sheetData>
  <sheetProtection algorithmName="SHA-512" hashValue="TF5gDxQXtrbnddT+P6uJPDMqGeLmEFli7D8UQi42IUz0HrFnxdBstVHRqgUmTcK57NML/hHNbhXqXsZXWl5P2Q==" saltValue="wrOn5wDofuw+0WpaXIzjIg==" spinCount="100000" sheet="1" selectLockedCells="1" selectUnlockedCells="1"/>
  <customSheetViews>
    <customSheetView guid="{C497F4E0-7D3E-4065-935D-7086BE9276FE}" hiddenColumns="1" state="hidden">
      <selection activeCell="B14" sqref="B14"/>
      <pageMargins left="0.75" right="0.75" top="1" bottom="1" header="0.5" footer="0.5"/>
      <pageSetup orientation="portrait" r:id="rId1"/>
      <headerFooter alignWithMargins="0"/>
    </customSheetView>
    <customSheetView guid="{889C3D82-0A24-4765-A688-A80A782F5056}" hiddenColumns="1" state="hidden">
      <selection activeCell="B14" sqref="B14"/>
      <pageMargins left="0.75" right="0.75" top="1" bottom="1" header="0.5" footer="0.5"/>
      <pageSetup orientation="portrait" r:id="rId2"/>
      <headerFooter alignWithMargins="0"/>
    </customSheetView>
    <customSheetView guid="{89CB4E6A-722E-4E39-885D-E2A6D0D08321}" hiddenColumns="1" state="hidden">
      <selection activeCell="B10" sqref="B10"/>
      <pageMargins left="0.75" right="0.75" top="1" bottom="1" header="0.5" footer="0.5"/>
      <pageSetup orientation="portrait" r:id="rId3"/>
      <headerFooter alignWithMargins="0"/>
    </customSheetView>
    <customSheetView guid="{915C64AD-BD67-44F0-9117-5B9D998BA799}" hiddenColumns="1" state="hidden">
      <selection activeCell="B17" sqref="B17"/>
      <pageMargins left="0.75" right="0.75" top="1" bottom="1" header="0.5" footer="0.5"/>
      <pageSetup orientation="portrait" r:id="rId4"/>
      <headerFooter alignWithMargins="0"/>
    </customSheetView>
    <customSheetView guid="{18EA11B4-BD82-47BF-99FA-7AB19BF74D0B}" hiddenColumns="1" state="hidden">
      <selection activeCell="B17" sqref="B17"/>
      <pageMargins left="0.75" right="0.75" top="1" bottom="1" header="0.5" footer="0.5"/>
      <pageSetup orientation="portrait" r:id="rId5"/>
      <headerFooter alignWithMargins="0"/>
    </customSheetView>
    <customSheetView guid="{CCA37BAE-906F-43D5-9FD9-B13563E4B9D7}" hiddenColumns="1" state="hidden">
      <selection activeCell="B12" sqref="B12"/>
      <pageMargins left="0.75" right="0.75" top="1" bottom="1" header="0.5" footer="0.5"/>
      <pageSetup orientation="portrait" r:id="rId6"/>
      <headerFooter alignWithMargins="0"/>
    </customSheetView>
    <customSheetView guid="{99CA2F10-F926-46DC-8609-4EAE5B9F3585}" hiddenColumns="1" state="hidden">
      <selection activeCell="E14" sqref="E14"/>
      <pageMargins left="0.75" right="0.75" top="1" bottom="1" header="0.5" footer="0.5"/>
      <pageSetup orientation="portrait" r:id="rId7"/>
      <headerFooter alignWithMargins="0"/>
    </customSheetView>
    <customSheetView guid="{63D51328-7CBC-4A1E-B96D-BAE91416501B}" hiddenColumns="1" state="hidden">
      <selection activeCell="B9" sqref="B9:B10"/>
      <pageMargins left="0.75" right="0.75" top="1" bottom="1" header="0.5" footer="0.5"/>
      <pageSetup orientation="portrait" r:id="rId8"/>
      <headerFooter alignWithMargins="0"/>
    </customSheetView>
    <customSheetView guid="{3C00DDA0-7DDE-4169-A739-550DAF5DCF8D}" hiddenColumns="1" state="hidden">
      <selection activeCell="B11" sqref="B11"/>
      <pageMargins left="0.75" right="0.75" top="1" bottom="1" header="0.5" footer="0.5"/>
      <pageSetup orientation="portrait" r:id="rId9"/>
      <headerFooter alignWithMargins="0"/>
    </customSheetView>
    <customSheetView guid="{357C9841-BEC3-434B-AC63-C04FB4321BA3}" hiddenColumns="1" state="hidden">
      <selection activeCell="B17" sqref="B17"/>
      <pageMargins left="0.75" right="0.75" top="1" bottom="1" header="0.5" footer="0.5"/>
      <pageSetup orientation="portrait" r:id="rId10"/>
      <headerFooter alignWithMargins="0"/>
    </customSheetView>
    <customSheetView guid="{B96E710B-6DD7-4DE1-95AB-C9EE060CD030}" hiddenColumns="1" state="hidden">
      <selection activeCell="B9" sqref="B9:B10"/>
      <pageMargins left="0.75" right="0.75" top="1" bottom="1" header="0.5" footer="0.5"/>
      <pageSetup orientation="portrait" r:id="rId11"/>
      <headerFooter alignWithMargins="0"/>
    </customSheetView>
    <customSheetView guid="{A58DB4DF-40C7-4BEB-B85E-6BD6F54941CF}" hiddenColumns="1" state="hidden">
      <selection activeCell="B17" sqref="B17"/>
      <pageMargins left="0.75" right="0.75" top="1" bottom="1" header="0.5" footer="0.5"/>
      <pageSetup orientation="portrait" r:id="rId12"/>
      <headerFooter alignWithMargins="0"/>
    </customSheetView>
    <customSheetView guid="{1211E1B9-FC37-4364-9CF0-0FFC01866726}" hiddenColumns="1" state="hidden">
      <selection activeCell="B14" sqref="B14"/>
      <pageMargins left="0.75" right="0.75" top="1" bottom="1" header="0.5" footer="0.5"/>
      <pageSetup orientation="portrait" r:id="rId13"/>
      <headerFooter alignWithMargins="0"/>
    </customSheetView>
  </customSheetViews>
  <pageMargins left="0.75" right="0.75" top="1" bottom="1" header="0.5" footer="0.5"/>
  <pageSetup scale="86" orientation="portrait" r:id="rId1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0" zoomScaleSheetLayoutView="100" workbookViewId="0">
      <selection activeCell="D16" sqref="D16:E16"/>
    </sheetView>
  </sheetViews>
  <sheetFormatPr defaultColWidth="11.42578125" defaultRowHeight="16.5"/>
  <cols>
    <col min="1" max="1" width="11.85546875" style="13" customWidth="1"/>
    <col min="2" max="2" width="46.7109375" style="13" customWidth="1"/>
    <col min="3" max="3" width="20" style="13" customWidth="1"/>
    <col min="4" max="4" width="23.42578125" style="13" customWidth="1"/>
    <col min="5" max="5" width="22.85546875" style="13" customWidth="1"/>
    <col min="6" max="6" width="11.42578125" style="65" customWidth="1"/>
    <col min="7" max="7" width="34.140625" style="65" customWidth="1"/>
    <col min="8" max="8" width="11.42578125" style="65" customWidth="1"/>
    <col min="9" max="9" width="14" style="337" customWidth="1"/>
    <col min="10" max="10" width="14.42578125" style="337" customWidth="1"/>
    <col min="11" max="11" width="17.140625" style="337" customWidth="1"/>
    <col min="12" max="13" width="11.42578125" style="337" customWidth="1"/>
    <col min="14" max="14" width="21.28515625" style="337" customWidth="1"/>
    <col min="15" max="15" width="18.28515625" style="65" customWidth="1"/>
    <col min="16" max="17" width="11.42578125" style="65" customWidth="1"/>
    <col min="18" max="18" width="11.42578125" style="91" customWidth="1"/>
    <col min="19" max="24" width="11.42578125" style="65" customWidth="1"/>
    <col min="25" max="16384" width="11.42578125" style="91"/>
  </cols>
  <sheetData>
    <row r="1" spans="1:15" ht="18" customHeight="1">
      <c r="A1" s="61" t="str">
        <f>Cover!B3</f>
        <v>Spec No: CC/NT/W-AIS/DOM/A10/24/03802</v>
      </c>
      <c r="B1" s="62"/>
      <c r="C1" s="63"/>
      <c r="D1" s="63"/>
      <c r="E1" s="64" t="s">
        <v>122</v>
      </c>
    </row>
    <row r="2" spans="1:15" ht="8.1" customHeight="1">
      <c r="A2" s="66"/>
      <c r="B2" s="67"/>
      <c r="C2" s="68"/>
      <c r="D2" s="68"/>
      <c r="E2" s="69"/>
      <c r="F2" s="70"/>
    </row>
    <row r="3" spans="1:15" ht="111" customHeight="1">
      <c r="A3" s="878" t="str">
        <f>Cover!$B$2</f>
        <v>765kV AIS Substation Extension Package SS-124 (including 765/400kV GIS Bus Duct) for (i) Extension of 765/400kV Indore Substation under Augmentation of transformation capacity at 765/400kV Indore S/S in Madhya Pradesh; (ii) Extension of 400kV Indore (PG) S/s under Implementation of 400kV line bay at 765/400/220kV Indore (PG) S/s in MP for RE interconnection; (iii) Extension of 400kV Parli (New) S/s under Implementation of 400kV line bay at 765/400kV Parli (New) S/s for interconnection of RE project and (iv) Extension of 400/220kV Bhuj GIS PS under Augmentation of transformation capacity at 400/220kV Bhuj PS in Gujarat by 1x500MVA, 400/220kV ICT (9th)</v>
      </c>
      <c r="B3" s="878"/>
      <c r="C3" s="878"/>
      <c r="D3" s="878"/>
      <c r="E3" s="878"/>
    </row>
    <row r="4" spans="1:15" ht="21.95" customHeight="1">
      <c r="A4" s="866" t="s">
        <v>123</v>
      </c>
      <c r="B4" s="866"/>
      <c r="C4" s="866"/>
      <c r="D4" s="866"/>
      <c r="E4" s="866"/>
    </row>
    <row r="5" spans="1:15" ht="12" customHeight="1">
      <c r="A5" s="71"/>
      <c r="B5" s="72"/>
      <c r="C5" s="72"/>
      <c r="D5" s="72"/>
      <c r="E5" s="72"/>
    </row>
    <row r="6" spans="1:15" ht="20.25" customHeight="1">
      <c r="A6" s="844" t="s">
        <v>334</v>
      </c>
      <c r="B6" s="844"/>
      <c r="C6" s="2"/>
      <c r="D6" s="72"/>
      <c r="E6" s="72"/>
    </row>
    <row r="7" spans="1:15" ht="18" customHeight="1">
      <c r="A7" s="845">
        <f>'Sch-1'!A7</f>
        <v>0</v>
      </c>
      <c r="B7" s="845"/>
      <c r="C7" s="845"/>
      <c r="D7" s="73" t="s">
        <v>1</v>
      </c>
    </row>
    <row r="8" spans="1:15" ht="18" customHeight="1">
      <c r="A8" s="846" t="str">
        <f>"Bidder’s Name and Address  (" &amp; MID('Names of Bidder'!A9,9, 20) &amp; ") :"</f>
        <v>Bidder’s Name and Address  (Sole Bidder) :</v>
      </c>
      <c r="B8" s="846"/>
      <c r="C8" s="846"/>
      <c r="D8" s="74" t="str">
        <f>'Sch-1'!K8</f>
        <v>Contract Services</v>
      </c>
    </row>
    <row r="9" spans="1:15" ht="18" customHeight="1">
      <c r="A9" s="368" t="s">
        <v>12</v>
      </c>
      <c r="B9" s="368" t="str">
        <f>IF('Names of Bidder'!C9=0, "", 'Names of Bidder'!C9)</f>
        <v/>
      </c>
      <c r="C9" s="91"/>
      <c r="D9" s="74" t="str">
        <f>'Sch-1'!K9</f>
        <v>Power Grid Corporation of India Ltd.,</v>
      </c>
    </row>
    <row r="10" spans="1:15" ht="18" customHeight="1">
      <c r="A10" s="368" t="s">
        <v>11</v>
      </c>
      <c r="B10" s="220" t="str">
        <f>IF('Names of Bidder'!C10=0, "", 'Names of Bidder'!C10)</f>
        <v/>
      </c>
      <c r="C10" s="91"/>
      <c r="D10" s="74" t="str">
        <f>'Sch-1'!K10</f>
        <v>"Saudamini", Plot No.-2</v>
      </c>
    </row>
    <row r="11" spans="1:15" ht="18" customHeight="1">
      <c r="A11" s="354"/>
      <c r="B11" s="220" t="str">
        <f>IF('Names of Bidder'!C11=0, "", 'Names of Bidder'!C11)</f>
        <v/>
      </c>
      <c r="C11" s="91"/>
      <c r="D11" s="74" t="str">
        <f>'Sch-1'!K11</f>
        <v xml:space="preserve">Sector-29, </v>
      </c>
    </row>
    <row r="12" spans="1:15" ht="18" customHeight="1">
      <c r="A12" s="354"/>
      <c r="B12" s="220" t="str">
        <f>IF('Names of Bidder'!C12=0, "", 'Names of Bidder'!C12)</f>
        <v/>
      </c>
      <c r="C12" s="91"/>
      <c r="D12" s="74" t="str">
        <f>'Sch-1'!K12</f>
        <v>Gurugram (Haryana) - 122001</v>
      </c>
    </row>
    <row r="13" spans="1:15" ht="8.1" customHeight="1" thickBot="1"/>
    <row r="14" spans="1:15" ht="21.95" customHeight="1">
      <c r="A14" s="498" t="s">
        <v>124</v>
      </c>
      <c r="B14" s="867" t="s">
        <v>125</v>
      </c>
      <c r="C14" s="867"/>
      <c r="D14" s="868" t="s">
        <v>126</v>
      </c>
      <c r="E14" s="869"/>
      <c r="I14" s="876"/>
      <c r="J14" s="876"/>
      <c r="K14" s="876"/>
      <c r="M14" s="873"/>
      <c r="N14" s="873"/>
      <c r="O14" s="873"/>
    </row>
    <row r="15" spans="1:15" ht="24.75" customHeight="1">
      <c r="A15" s="499" t="s">
        <v>129</v>
      </c>
      <c r="B15" s="870" t="s">
        <v>310</v>
      </c>
      <c r="C15" s="870"/>
      <c r="D15" s="881">
        <f>'Sch-1'!S321</f>
        <v>0</v>
      </c>
      <c r="E15" s="882"/>
      <c r="I15" s="338"/>
      <c r="K15" s="338"/>
      <c r="M15" s="338"/>
      <c r="O15" s="76"/>
    </row>
    <row r="16" spans="1:15" ht="81" customHeight="1">
      <c r="A16" s="500"/>
      <c r="B16" s="862" t="s">
        <v>311</v>
      </c>
      <c r="C16" s="862"/>
      <c r="D16" s="883"/>
      <c r="E16" s="884"/>
      <c r="G16" s="77"/>
    </row>
    <row r="17" spans="1:15" ht="24.75" customHeight="1">
      <c r="A17" s="499" t="s">
        <v>131</v>
      </c>
      <c r="B17" s="870" t="s">
        <v>312</v>
      </c>
      <c r="C17" s="870"/>
      <c r="D17" s="871">
        <f>'Sch-3'!U305</f>
        <v>0</v>
      </c>
      <c r="E17" s="872"/>
      <c r="I17" s="338"/>
      <c r="K17" s="339"/>
      <c r="M17" s="338"/>
      <c r="O17" s="79"/>
    </row>
    <row r="18" spans="1:15" ht="81.75" customHeight="1">
      <c r="A18" s="500"/>
      <c r="B18" s="862" t="s">
        <v>313</v>
      </c>
      <c r="C18" s="862"/>
      <c r="D18" s="879"/>
      <c r="E18" s="880"/>
      <c r="G18" s="80"/>
      <c r="I18" s="340"/>
      <c r="M18" s="340"/>
    </row>
    <row r="19" spans="1:15" ht="33" customHeight="1" thickBot="1">
      <c r="A19" s="501"/>
      <c r="B19" s="502" t="s">
        <v>316</v>
      </c>
      <c r="C19" s="503"/>
      <c r="D19" s="860">
        <f>D15+D17</f>
        <v>0</v>
      </c>
      <c r="E19" s="861"/>
    </row>
    <row r="20" spans="1:15" ht="30" customHeight="1">
      <c r="A20" s="81"/>
      <c r="B20" s="81"/>
      <c r="C20" s="82"/>
      <c r="D20" s="81"/>
      <c r="E20" s="81"/>
    </row>
    <row r="21" spans="1:15" ht="30" customHeight="1">
      <c r="A21" s="83" t="s">
        <v>137</v>
      </c>
      <c r="B21" s="506" t="str">
        <f>'Sch-5'!B21</f>
        <v xml:space="preserve">  </v>
      </c>
      <c r="C21" s="82" t="s">
        <v>138</v>
      </c>
      <c r="D21" s="877" t="str">
        <f>'Sch-5'!D21</f>
        <v/>
      </c>
      <c r="E21" s="877"/>
      <c r="F21" s="84"/>
    </row>
    <row r="22" spans="1:15" ht="30" customHeight="1">
      <c r="A22" s="83" t="s">
        <v>139</v>
      </c>
      <c r="B22" s="507" t="str">
        <f>'Sch-5'!B22</f>
        <v/>
      </c>
      <c r="C22" s="82" t="s">
        <v>140</v>
      </c>
      <c r="D22" s="877" t="str">
        <f>'Sch-5'!D22</f>
        <v/>
      </c>
      <c r="E22" s="877"/>
      <c r="F22" s="84"/>
    </row>
    <row r="23" spans="1:15" ht="30" customHeight="1">
      <c r="A23" s="85"/>
      <c r="B23" s="86"/>
      <c r="C23" s="82"/>
      <c r="D23" s="65"/>
      <c r="E23" s="65"/>
      <c r="F23" s="84"/>
    </row>
    <row r="24" spans="1:15" ht="33" customHeight="1">
      <c r="A24" s="85"/>
      <c r="B24" s="86"/>
      <c r="C24" s="70"/>
      <c r="D24" s="87"/>
      <c r="E24" s="88"/>
      <c r="F24" s="84"/>
    </row>
    <row r="25" spans="1:15" ht="21.95" customHeight="1">
      <c r="A25" s="89"/>
      <c r="B25" s="89"/>
      <c r="C25" s="89"/>
      <c r="D25" s="89"/>
      <c r="E25" s="90"/>
    </row>
    <row r="26" spans="1:15" ht="21.95" customHeight="1">
      <c r="A26" s="89"/>
      <c r="B26" s="89"/>
      <c r="C26" s="89"/>
      <c r="D26" s="89"/>
      <c r="E26" s="90"/>
    </row>
    <row r="27" spans="1:15" ht="21.95" customHeight="1">
      <c r="A27" s="89"/>
      <c r="B27" s="89"/>
      <c r="C27" s="89"/>
      <c r="D27" s="89"/>
      <c r="E27" s="90"/>
    </row>
    <row r="28" spans="1:15" ht="21.95" customHeight="1">
      <c r="A28" s="89"/>
      <c r="B28" s="89"/>
      <c r="C28" s="89"/>
      <c r="D28" s="89"/>
      <c r="E28" s="90"/>
    </row>
    <row r="29" spans="1:15" ht="21.95" customHeight="1">
      <c r="A29" s="89"/>
      <c r="B29" s="89"/>
      <c r="C29" s="89"/>
      <c r="D29" s="89"/>
      <c r="E29" s="90"/>
    </row>
    <row r="30" spans="1:15" ht="21.95" customHeight="1">
      <c r="A30" s="89"/>
      <c r="B30" s="89"/>
      <c r="C30" s="89"/>
      <c r="D30" s="89"/>
      <c r="E30" s="90"/>
    </row>
    <row r="31" spans="1:15" ht="24.95" customHeight="1">
      <c r="A31" s="88"/>
      <c r="B31" s="88"/>
      <c r="C31" s="88"/>
      <c r="D31" s="88"/>
      <c r="E31" s="88"/>
    </row>
    <row r="32" spans="1:15" ht="24.95" customHeight="1">
      <c r="A32" s="88"/>
      <c r="B32" s="88"/>
      <c r="C32" s="88"/>
      <c r="D32" s="88"/>
      <c r="E32" s="88"/>
    </row>
    <row r="33" spans="1:5" ht="24.95" customHeight="1">
      <c r="A33" s="88"/>
      <c r="B33" s="88"/>
      <c r="C33" s="88"/>
      <c r="D33" s="88"/>
      <c r="E33" s="88"/>
    </row>
    <row r="34" spans="1:5" ht="24.95" customHeight="1">
      <c r="A34" s="88"/>
      <c r="B34" s="88"/>
      <c r="C34" s="88"/>
      <c r="D34" s="88"/>
      <c r="E34" s="88"/>
    </row>
    <row r="35" spans="1:5" ht="24.95" customHeight="1">
      <c r="A35" s="88"/>
      <c r="B35" s="88"/>
      <c r="C35" s="88"/>
      <c r="D35" s="88"/>
      <c r="E35" s="88"/>
    </row>
    <row r="36" spans="1:5" ht="24.95" customHeight="1">
      <c r="A36" s="88"/>
      <c r="B36" s="88"/>
      <c r="C36" s="88"/>
      <c r="D36" s="88"/>
      <c r="E36" s="88"/>
    </row>
    <row r="37" spans="1:5" ht="24.95" customHeight="1">
      <c r="A37" s="88"/>
      <c r="B37" s="88"/>
      <c r="C37" s="88"/>
      <c r="D37" s="88"/>
      <c r="E37" s="88"/>
    </row>
    <row r="38" spans="1:5" ht="24.95" customHeight="1">
      <c r="A38" s="88"/>
      <c r="B38" s="88"/>
      <c r="C38" s="88"/>
      <c r="D38" s="88"/>
      <c r="E38" s="88"/>
    </row>
    <row r="39" spans="1:5" ht="24.95" customHeight="1">
      <c r="A39" s="88"/>
      <c r="B39" s="88"/>
      <c r="C39" s="88"/>
      <c r="D39" s="88"/>
      <c r="E39" s="88"/>
    </row>
    <row r="40" spans="1:5" ht="24.95" customHeight="1">
      <c r="A40" s="88"/>
      <c r="B40" s="88"/>
      <c r="C40" s="88"/>
      <c r="D40" s="88"/>
      <c r="E40" s="88"/>
    </row>
    <row r="41" spans="1:5" ht="24.95" customHeight="1">
      <c r="A41" s="88"/>
      <c r="B41" s="88"/>
      <c r="C41" s="88"/>
      <c r="D41" s="88"/>
      <c r="E41" s="88"/>
    </row>
    <row r="42" spans="1:5" ht="24.95" customHeight="1">
      <c r="A42" s="88"/>
      <c r="B42" s="88"/>
      <c r="C42" s="88"/>
      <c r="D42" s="88"/>
      <c r="E42" s="88"/>
    </row>
    <row r="43" spans="1:5" ht="24.95" customHeight="1">
      <c r="A43" s="88"/>
      <c r="B43" s="88"/>
      <c r="C43" s="88"/>
      <c r="D43" s="88"/>
      <c r="E43" s="88"/>
    </row>
    <row r="44" spans="1:5" ht="24.95" customHeight="1">
      <c r="A44" s="88"/>
      <c r="B44" s="88"/>
      <c r="C44" s="88"/>
      <c r="D44" s="88"/>
      <c r="E44" s="88"/>
    </row>
    <row r="45" spans="1:5" ht="24.95" customHeight="1">
      <c r="A45" s="88"/>
      <c r="B45" s="88"/>
      <c r="C45" s="88"/>
      <c r="D45" s="88"/>
      <c r="E45" s="88"/>
    </row>
    <row r="46" spans="1:5" ht="24.95" customHeight="1">
      <c r="A46" s="88"/>
      <c r="B46" s="88"/>
      <c r="C46" s="88"/>
      <c r="D46" s="88"/>
      <c r="E46" s="88"/>
    </row>
    <row r="47" spans="1:5" ht="24.95" customHeight="1">
      <c r="A47" s="88"/>
      <c r="B47" s="88"/>
      <c r="C47" s="88"/>
      <c r="D47" s="88"/>
      <c r="E47" s="88"/>
    </row>
    <row r="48" spans="1:5" ht="24.95" customHeight="1">
      <c r="A48" s="88"/>
      <c r="B48" s="88"/>
      <c r="C48" s="88"/>
      <c r="D48" s="88"/>
      <c r="E48" s="88"/>
    </row>
    <row r="49" spans="1:5" ht="24.95" customHeight="1">
      <c r="A49" s="88"/>
      <c r="B49" s="88"/>
      <c r="C49" s="88"/>
      <c r="D49" s="88"/>
      <c r="E49" s="88"/>
    </row>
    <row r="50" spans="1:5" ht="24.95" customHeight="1">
      <c r="A50" s="88"/>
      <c r="B50" s="88"/>
      <c r="C50" s="88"/>
      <c r="D50" s="88"/>
      <c r="E50" s="88"/>
    </row>
    <row r="51" spans="1:5" ht="24.95" customHeight="1">
      <c r="A51" s="88"/>
      <c r="B51" s="88"/>
      <c r="C51" s="88"/>
      <c r="D51" s="88"/>
      <c r="E51" s="88"/>
    </row>
    <row r="52" spans="1:5" ht="24.95" customHeight="1">
      <c r="A52" s="88"/>
      <c r="B52" s="88"/>
      <c r="C52" s="88"/>
      <c r="D52" s="88"/>
      <c r="E52" s="88"/>
    </row>
    <row r="53" spans="1:5" ht="24.95" customHeight="1">
      <c r="A53" s="88"/>
      <c r="B53" s="88"/>
      <c r="C53" s="88"/>
      <c r="D53" s="88"/>
      <c r="E53" s="88"/>
    </row>
    <row r="54" spans="1:5">
      <c r="A54" s="88"/>
      <c r="B54" s="88"/>
      <c r="C54" s="88"/>
      <c r="D54" s="88"/>
      <c r="E54" s="88"/>
    </row>
    <row r="55" spans="1:5">
      <c r="A55" s="88"/>
      <c r="B55" s="88"/>
      <c r="C55" s="88"/>
      <c r="D55" s="88"/>
      <c r="E55" s="88"/>
    </row>
    <row r="56" spans="1:5">
      <c r="A56" s="88"/>
      <c r="B56" s="88"/>
      <c r="C56" s="88"/>
      <c r="D56" s="88"/>
      <c r="E56" s="88"/>
    </row>
    <row r="57" spans="1:5">
      <c r="A57" s="88"/>
      <c r="B57" s="88"/>
      <c r="C57" s="88"/>
      <c r="D57" s="88"/>
      <c r="E57" s="88"/>
    </row>
    <row r="58" spans="1:5">
      <c r="A58" s="88"/>
      <c r="B58" s="88"/>
      <c r="C58" s="88"/>
      <c r="D58" s="88"/>
      <c r="E58" s="88"/>
    </row>
    <row r="59" spans="1:5">
      <c r="A59" s="88"/>
      <c r="B59" s="88"/>
      <c r="C59" s="88"/>
      <c r="D59" s="88"/>
      <c r="E59" s="88"/>
    </row>
    <row r="60" spans="1:5">
      <c r="A60" s="88"/>
      <c r="B60" s="88"/>
      <c r="C60" s="88"/>
      <c r="D60" s="88"/>
      <c r="E60" s="88"/>
    </row>
    <row r="61" spans="1:5">
      <c r="A61" s="88"/>
      <c r="B61" s="88"/>
      <c r="C61" s="88"/>
      <c r="D61" s="88"/>
      <c r="E61" s="88"/>
    </row>
    <row r="62" spans="1:5">
      <c r="A62" s="88"/>
      <c r="B62" s="88"/>
      <c r="C62" s="88"/>
      <c r="D62" s="88"/>
      <c r="E62" s="88"/>
    </row>
    <row r="63" spans="1:5">
      <c r="A63" s="88"/>
      <c r="B63" s="88"/>
      <c r="C63" s="88"/>
      <c r="D63" s="88"/>
      <c r="E63" s="88"/>
    </row>
    <row r="64" spans="1:5">
      <c r="A64" s="88"/>
      <c r="B64" s="88"/>
      <c r="C64" s="88"/>
      <c r="D64" s="88"/>
      <c r="E64" s="88"/>
    </row>
    <row r="65" spans="1:5">
      <c r="A65" s="88"/>
      <c r="B65" s="88"/>
      <c r="C65" s="88"/>
      <c r="D65" s="88"/>
      <c r="E65" s="88"/>
    </row>
    <row r="66" spans="1:5">
      <c r="A66" s="88"/>
      <c r="B66" s="88"/>
      <c r="C66" s="88"/>
      <c r="D66" s="88"/>
      <c r="E66" s="88"/>
    </row>
    <row r="67" spans="1:5">
      <c r="A67" s="88"/>
      <c r="B67" s="88"/>
      <c r="C67" s="88"/>
      <c r="D67" s="88"/>
      <c r="E67" s="88"/>
    </row>
    <row r="68" spans="1:5">
      <c r="A68" s="88"/>
      <c r="B68" s="88"/>
      <c r="C68" s="88"/>
      <c r="D68" s="88"/>
      <c r="E68" s="88"/>
    </row>
    <row r="69" spans="1:5">
      <c r="A69" s="88"/>
      <c r="B69" s="88"/>
      <c r="C69" s="88"/>
      <c r="D69" s="88"/>
      <c r="E69" s="88"/>
    </row>
    <row r="70" spans="1:5">
      <c r="A70" s="88"/>
      <c r="B70" s="88"/>
      <c r="C70" s="88"/>
      <c r="D70" s="88"/>
      <c r="E70" s="88"/>
    </row>
    <row r="71" spans="1:5">
      <c r="A71" s="88"/>
      <c r="B71" s="88"/>
      <c r="C71" s="88"/>
      <c r="D71" s="88"/>
      <c r="E71" s="88"/>
    </row>
  </sheetData>
  <sheetProtection password="EE0B" sheet="1" objects="1" scenarios="1" formatColumns="0" formatRows="0" selectLockedCells="1"/>
  <dataConsolidate/>
  <customSheetViews>
    <customSheetView guid="{C497F4E0-7D3E-4065-935D-7086BE9276FE}"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889C3D82-0A24-4765-A688-A80A782F5056}" showPageBreaks="1" printArea="1" state="hidden" view="pageBreakPreview" topLeftCell="A10">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89CB4E6A-722E-4E39-885D-E2A6D0D08321}" showPageBreaks="1" printArea="1" state="hidden" view="pageBreakPreview" topLeftCell="A10">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915C64AD-BD67-44F0-9117-5B9D998BA799}" showPageBreaks="1" printArea="1" state="hidden" view="pageBreakPreview" topLeftCell="A10">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18EA11B4-BD82-47BF-99FA-7AB19BF74D0B}" showPageBreaks="1" printArea="1" state="hidden" view="pageBreakPreview" topLeftCell="A10">
      <selection activeCell="D16" sqref="D16:E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CCA37BAE-906F-43D5-9FD9-B13563E4B9D7}" showPageBreaks="1" printArea="1" view="pageBreakPreview" topLeftCell="A10">
      <selection activeCell="D16" sqref="D16:E16"/>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63D51328-7CBC-4A1E-B96D-BAE91416501B}" showPageBreaks="1" printArea="1" hiddenColumns="1" view="pageBreakPreview">
      <selection activeCell="D17" sqref="D17:E17"/>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9"/>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A58DB4DF-40C7-4BEB-B85E-6BD6F54941CF}"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1211E1B9-FC37-4364-9CF0-0FFC01866726}"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s>
  <mergeCells count="20">
    <mergeCell ref="I14:K14"/>
    <mergeCell ref="M14:O14"/>
    <mergeCell ref="B15:C15"/>
    <mergeCell ref="D15:E15"/>
    <mergeCell ref="D19:E19"/>
    <mergeCell ref="B16:C16"/>
    <mergeCell ref="D16:E16"/>
    <mergeCell ref="B17:C17"/>
    <mergeCell ref="D17:E17"/>
    <mergeCell ref="B18:C18"/>
    <mergeCell ref="A3:E3"/>
    <mergeCell ref="A4:E4"/>
    <mergeCell ref="B14:C14"/>
    <mergeCell ref="D14:E14"/>
    <mergeCell ref="D18:E18"/>
    <mergeCell ref="D22:E22"/>
    <mergeCell ref="D21:E21"/>
    <mergeCell ref="A6:B6"/>
    <mergeCell ref="A7:C7"/>
    <mergeCell ref="A8:C8"/>
  </mergeCells>
  <printOptions horizontalCentered="1"/>
  <pageMargins left="0.31" right="0.25" top="0.52" bottom="0.67" header="0.23" footer="0.24"/>
  <pageSetup paperSize="9" scale="77" fitToHeight="0" orientation="portrait" r:id="rId13"/>
  <headerFooter alignWithMargins="0">
    <oddFooter>&amp;R&amp;"Book Antiqua,Bold"&amp;10Schedule-5/ Page &amp;P of &amp;N</oddFooter>
  </headerFooter>
  <ignoredErrors>
    <ignoredError sqref="D15" evalError="1"/>
  </ignoredErrors>
  <drawing r:id="rId1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zoomScale="130" zoomScaleSheetLayoutView="130" workbookViewId="0">
      <selection activeCell="F6" sqref="F6"/>
    </sheetView>
  </sheetViews>
  <sheetFormatPr defaultColWidth="11.42578125" defaultRowHeight="16.5"/>
  <cols>
    <col min="1" max="1" width="12.140625" style="13" customWidth="1"/>
    <col min="2" max="2" width="31.42578125" style="13" customWidth="1"/>
    <col min="3" max="3" width="24" style="13" customWidth="1"/>
    <col min="4" max="4" width="39.28515625" style="13" customWidth="1"/>
    <col min="5" max="16384" width="11.42578125" style="91"/>
  </cols>
  <sheetData>
    <row r="1" spans="1:6" ht="18" customHeight="1">
      <c r="A1" s="92" t="str">
        <f>Cover!B3</f>
        <v>Spec No: CC/NT/W-AIS/DOM/A10/24/03802</v>
      </c>
      <c r="B1" s="93"/>
      <c r="C1" s="94"/>
      <c r="D1" s="95" t="s">
        <v>141</v>
      </c>
    </row>
    <row r="2" spans="1:6" ht="18" customHeight="1">
      <c r="A2" s="96"/>
      <c r="B2" s="97"/>
      <c r="C2" s="98"/>
      <c r="D2" s="98"/>
    </row>
    <row r="3" spans="1:6" ht="159" customHeight="1">
      <c r="A3" s="894" t="str">
        <f>Cover!$B$2</f>
        <v>765kV AIS Substation Extension Package SS-124 (including 765/400kV GIS Bus Duct) for (i) Extension of 765/400kV Indore Substation under Augmentation of transformation capacity at 765/400kV Indore S/S in Madhya Pradesh; (ii) Extension of 400kV Indore (PG) S/s under Implementation of 400kV line bay at 765/400/220kV Indore (PG) S/s in MP for RE interconnection; (iii) Extension of 400kV Parli (New) S/s under Implementation of 400kV line bay at 765/400kV Parli (New) S/s for interconnection of RE project and (iv) Extension of 400/220kV Bhuj GIS PS under Augmentation of transformation capacity at 400/220kV Bhuj PS in Gujarat by 1x500MVA, 400/220kV ICT (9th)</v>
      </c>
      <c r="B3" s="894"/>
      <c r="C3" s="894"/>
      <c r="D3" s="894"/>
      <c r="E3" s="99"/>
      <c r="F3" s="99"/>
    </row>
    <row r="4" spans="1:6" ht="21.95" customHeight="1">
      <c r="A4" s="866" t="s">
        <v>142</v>
      </c>
      <c r="B4" s="866"/>
      <c r="C4" s="866"/>
      <c r="D4" s="866"/>
    </row>
    <row r="5" spans="1:6" ht="18" customHeight="1">
      <c r="A5" s="100"/>
    </row>
    <row r="6" spans="1:6" ht="18" customHeight="1">
      <c r="A6" s="844" t="s">
        <v>334</v>
      </c>
      <c r="B6" s="844"/>
      <c r="C6" s="2"/>
    </row>
    <row r="7" spans="1:6" ht="18" customHeight="1">
      <c r="A7" s="845">
        <f>'Sch-1'!A7</f>
        <v>0</v>
      </c>
      <c r="B7" s="845"/>
      <c r="C7" s="845"/>
      <c r="D7" s="73" t="s">
        <v>1</v>
      </c>
    </row>
    <row r="8" spans="1:6" ht="21.75" customHeight="1">
      <c r="A8" s="846" t="str">
        <f>"Bidder’s Name and Address  (" &amp; MID('Names of Bidder'!A9,9, 20) &amp; ") :"</f>
        <v>Bidder’s Name and Address  (Sole Bidder) :</v>
      </c>
      <c r="B8" s="846"/>
      <c r="C8" s="846"/>
      <c r="D8" s="74" t="str">
        <f>'Sch-1'!K8</f>
        <v>Contract Services</v>
      </c>
    </row>
    <row r="9" spans="1:6" ht="18" customHeight="1">
      <c r="A9" s="368" t="s">
        <v>12</v>
      </c>
      <c r="B9" s="368" t="str">
        <f>IF('Names of Bidder'!C9=0, "", 'Names of Bidder'!C9)</f>
        <v/>
      </c>
      <c r="C9" s="91"/>
      <c r="D9" s="74" t="str">
        <f>'Sch-1'!K9</f>
        <v>Power Grid Corporation of India Ltd.,</v>
      </c>
    </row>
    <row r="10" spans="1:6" ht="18" customHeight="1">
      <c r="A10" s="368" t="s">
        <v>11</v>
      </c>
      <c r="B10" s="220" t="str">
        <f>IF('Names of Bidder'!C10=0, "", 'Names of Bidder'!C10)</f>
        <v/>
      </c>
      <c r="C10" s="91"/>
      <c r="D10" s="74" t="str">
        <f>'Sch-1'!K10</f>
        <v>"Saudamini", Plot No.-2</v>
      </c>
    </row>
    <row r="11" spans="1:6" ht="18" customHeight="1">
      <c r="A11" s="354"/>
      <c r="B11" s="220" t="str">
        <f>IF('Names of Bidder'!C11=0, "", 'Names of Bidder'!C11)</f>
        <v/>
      </c>
      <c r="C11" s="91"/>
      <c r="D11" s="74" t="str">
        <f>'Sch-1'!K11</f>
        <v xml:space="preserve">Sector-29, </v>
      </c>
    </row>
    <row r="12" spans="1:6" ht="18" customHeight="1">
      <c r="A12" s="354"/>
      <c r="B12" s="220" t="str">
        <f>IF('Names of Bidder'!C12=0, "", 'Names of Bidder'!C12)</f>
        <v/>
      </c>
      <c r="C12" s="91"/>
      <c r="D12" s="74" t="str">
        <f>'Sch-1'!K12</f>
        <v>Gurugram (Haryana) - 122001</v>
      </c>
    </row>
    <row r="13" spans="1:6" ht="18" customHeight="1" thickBot="1">
      <c r="A13" s="487"/>
      <c r="B13" s="487"/>
      <c r="C13" s="487"/>
      <c r="D13" s="73"/>
    </row>
    <row r="14" spans="1:6" ht="21.95" customHeight="1">
      <c r="A14" s="488" t="s">
        <v>124</v>
      </c>
      <c r="B14" s="892" t="s">
        <v>15</v>
      </c>
      <c r="C14" s="893"/>
      <c r="D14" s="489" t="s">
        <v>126</v>
      </c>
    </row>
    <row r="15" spans="1:6" ht="21.95" customHeight="1">
      <c r="A15" s="490" t="s">
        <v>129</v>
      </c>
      <c r="B15" s="889" t="s">
        <v>143</v>
      </c>
      <c r="C15" s="889"/>
      <c r="D15" s="491">
        <f>'Sch-1'!N321</f>
        <v>0</v>
      </c>
    </row>
    <row r="16" spans="1:6" ht="35.1" customHeight="1">
      <c r="A16" s="492"/>
      <c r="B16" s="890" t="s">
        <v>144</v>
      </c>
      <c r="C16" s="891"/>
      <c r="D16" s="493"/>
    </row>
    <row r="17" spans="1:6" ht="21.95" customHeight="1">
      <c r="A17" s="490" t="s">
        <v>131</v>
      </c>
      <c r="B17" s="889" t="s">
        <v>145</v>
      </c>
      <c r="C17" s="889"/>
      <c r="D17" s="491">
        <f>'Sch-2'!J321</f>
        <v>0</v>
      </c>
    </row>
    <row r="18" spans="1:6" ht="35.1" customHeight="1">
      <c r="A18" s="492"/>
      <c r="B18" s="890" t="s">
        <v>300</v>
      </c>
      <c r="C18" s="891"/>
      <c r="D18" s="493"/>
    </row>
    <row r="19" spans="1:6" ht="21.95" customHeight="1">
      <c r="A19" s="490" t="s">
        <v>133</v>
      </c>
      <c r="B19" s="889" t="s">
        <v>147</v>
      </c>
      <c r="C19" s="889"/>
      <c r="D19" s="491">
        <f>'Sch-3'!P305</f>
        <v>0</v>
      </c>
    </row>
    <row r="20" spans="1:6" ht="30" customHeight="1">
      <c r="A20" s="492"/>
      <c r="B20" s="890" t="s">
        <v>148</v>
      </c>
      <c r="C20" s="891"/>
      <c r="D20" s="493"/>
    </row>
    <row r="21" spans="1:6" ht="21.95" customHeight="1">
      <c r="A21" s="490" t="s">
        <v>134</v>
      </c>
      <c r="B21" s="889" t="s">
        <v>149</v>
      </c>
      <c r="C21" s="889"/>
      <c r="D21" s="494" t="s">
        <v>323</v>
      </c>
    </row>
    <row r="22" spans="1:6" ht="30" customHeight="1">
      <c r="A22" s="492"/>
      <c r="B22" s="890" t="s">
        <v>150</v>
      </c>
      <c r="C22" s="891"/>
      <c r="D22" s="493"/>
    </row>
    <row r="23" spans="1:6" ht="30" customHeight="1">
      <c r="A23" s="490">
        <v>5</v>
      </c>
      <c r="B23" s="889" t="s">
        <v>151</v>
      </c>
      <c r="C23" s="889"/>
      <c r="D23" s="491">
        <f>'Sch-5'!D19:E19</f>
        <v>0</v>
      </c>
    </row>
    <row r="24" spans="1:6" ht="23.25" customHeight="1">
      <c r="A24" s="492"/>
      <c r="B24" s="890" t="s">
        <v>152</v>
      </c>
      <c r="C24" s="891"/>
      <c r="D24" s="495"/>
    </row>
    <row r="25" spans="1:6" ht="21.95" customHeight="1">
      <c r="A25" s="490" t="s">
        <v>136</v>
      </c>
      <c r="B25" s="889" t="s">
        <v>153</v>
      </c>
      <c r="C25" s="889"/>
      <c r="D25" s="494" t="s">
        <v>323</v>
      </c>
    </row>
    <row r="26" spans="1:6" ht="35.1" customHeight="1">
      <c r="A26" s="492"/>
      <c r="B26" s="890" t="s">
        <v>154</v>
      </c>
      <c r="C26" s="891"/>
      <c r="D26" s="493"/>
    </row>
    <row r="27" spans="1:6" ht="18.75" customHeight="1">
      <c r="A27" s="885"/>
      <c r="B27" s="887" t="s">
        <v>331</v>
      </c>
      <c r="C27" s="887"/>
      <c r="D27" s="496"/>
    </row>
    <row r="28" spans="1:6" ht="18.75" customHeight="1" thickBot="1">
      <c r="A28" s="886"/>
      <c r="B28" s="888"/>
      <c r="C28" s="888"/>
      <c r="D28" s="497">
        <f>D15+D17+D19+D23</f>
        <v>0</v>
      </c>
    </row>
    <row r="29" spans="1:6" ht="18.75" customHeight="1">
      <c r="A29" s="110"/>
      <c r="B29" s="111"/>
      <c r="C29" s="111"/>
      <c r="D29" s="112"/>
    </row>
    <row r="30" spans="1:6" ht="27.95" customHeight="1">
      <c r="A30" s="110"/>
      <c r="B30" s="113"/>
      <c r="C30" s="113"/>
      <c r="D30" s="112"/>
    </row>
    <row r="31" spans="1:6" ht="27.95" customHeight="1">
      <c r="A31" s="114" t="s">
        <v>156</v>
      </c>
      <c r="B31" s="506" t="str">
        <f>'Sch-5 after discount'!B21</f>
        <v xml:space="preserve">  </v>
      </c>
      <c r="C31" s="113" t="s">
        <v>138</v>
      </c>
      <c r="D31" s="558" t="str">
        <f>'Sch-5 after discount'!D21</f>
        <v/>
      </c>
      <c r="F31" s="115"/>
    </row>
    <row r="32" spans="1:6" ht="27.95" customHeight="1">
      <c r="A32" s="114" t="s">
        <v>157</v>
      </c>
      <c r="B32" s="507" t="str">
        <f>'Sch-5 after discount'!B22</f>
        <v/>
      </c>
      <c r="C32" s="113" t="s">
        <v>140</v>
      </c>
      <c r="D32" s="558" t="str">
        <f>'Sch-5 after discount'!D22</f>
        <v/>
      </c>
      <c r="F32" s="96"/>
    </row>
    <row r="33" spans="1:6" ht="27.95" customHeight="1">
      <c r="A33" s="116"/>
      <c r="B33" s="97"/>
      <c r="C33" s="113"/>
      <c r="F33" s="96"/>
    </row>
    <row r="34" spans="1:6" ht="30" customHeight="1">
      <c r="A34" s="116"/>
      <c r="B34" s="97"/>
      <c r="C34" s="113"/>
      <c r="D34" s="116"/>
      <c r="F34" s="115"/>
    </row>
    <row r="35" spans="1:6" ht="30" customHeight="1">
      <c r="A35" s="117"/>
      <c r="B35" s="117"/>
      <c r="C35" s="118"/>
      <c r="E35" s="119"/>
    </row>
  </sheetData>
  <sheetProtection algorithmName="SHA-512" hashValue="81GA8DjXoxv7XZf7I18tiwqAs7oHcuUDt/99XV0TKljcjnN3ASfQnIziDAPqqEeKA0yYvjRaq246lL/HKdmwdg==" saltValue="J6NSGNNvB/ceh6BEiKp8gg==" spinCount="100000" sheet="1" objects="1" scenarios="1" formatColumns="0" formatRows="0" selectLockedCells="1"/>
  <customSheetViews>
    <customSheetView guid="{C497F4E0-7D3E-4065-935D-7086BE9276FE}" scale="130" showPageBreaks="1" printArea="1" view="pageBreakPreview">
      <selection activeCell="F6" sqref="F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889C3D82-0A24-4765-A688-A80A782F5056}" scale="130" showPageBreaks="1" printArea="1" view="pageBreakPreview">
      <selection activeCell="F6" sqref="F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89CB4E6A-722E-4E39-885D-E2A6D0D08321}" scale="145" showPageBreaks="1" printArea="1" view="pageBreakPreview" topLeftCell="A19">
      <selection activeCell="A3" sqref="A3:D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915C64AD-BD67-44F0-9117-5B9D998BA799}" showPageBreaks="1" printArea="1" view="pageBreakPreview">
      <selection activeCell="D23" sqref="D2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18EA11B4-BD82-47BF-99FA-7AB19BF74D0B}" showPageBreaks="1" printArea="1" view="pageBreakPreview" topLeftCell="A13">
      <selection activeCell="D23" sqref="D2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CCA37BAE-906F-43D5-9FD9-B13563E4B9D7}" showPageBreaks="1" printArea="1" view="pageBreakPreview" topLeftCell="A10">
      <selection activeCell="A3" sqref="A3:D3"/>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A58DB4DF-40C7-4BEB-B85E-6BD6F54941CF}" showPageBreaks="1" printArea="1" view="pageBreakPreview">
      <selection activeCell="D23" sqref="D23"/>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1211E1B9-FC37-4364-9CF0-0FFC01866726}" scale="130" showPageBreaks="1" printArea="1" view="pageBreakPreview">
      <selection activeCell="F6" sqref="F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0">
    <mergeCell ref="A3:D3"/>
    <mergeCell ref="A4:D4"/>
    <mergeCell ref="A7:C7"/>
    <mergeCell ref="A6:B6"/>
    <mergeCell ref="A8:C8"/>
    <mergeCell ref="B14:C14"/>
    <mergeCell ref="B15:C15"/>
    <mergeCell ref="B25:C25"/>
    <mergeCell ref="B23:C23"/>
    <mergeCell ref="B24:C24"/>
    <mergeCell ref="B16:C16"/>
    <mergeCell ref="B17:C17"/>
    <mergeCell ref="B18:C18"/>
    <mergeCell ref="B22:C22"/>
    <mergeCell ref="A27:A28"/>
    <mergeCell ref="B27:C28"/>
    <mergeCell ref="B19:C19"/>
    <mergeCell ref="B20:C20"/>
    <mergeCell ref="B21:C21"/>
    <mergeCell ref="B26:C26"/>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SheetLayoutView="100" workbookViewId="0">
      <selection activeCell="D16" sqref="D16"/>
    </sheetView>
  </sheetViews>
  <sheetFormatPr defaultColWidth="11.42578125" defaultRowHeight="16.5"/>
  <cols>
    <col min="1" max="1" width="12.140625" style="13" customWidth="1"/>
    <col min="2" max="2" width="31.42578125" style="13" customWidth="1"/>
    <col min="3" max="3" width="24" style="13" customWidth="1"/>
    <col min="4" max="4" width="39.28515625" style="13" customWidth="1"/>
    <col min="5" max="16384" width="11.42578125" style="91"/>
  </cols>
  <sheetData>
    <row r="1" spans="1:6" ht="18" customHeight="1">
      <c r="A1" s="92" t="str">
        <f>Cover!B3</f>
        <v>Spec No: CC/NT/W-AIS/DOM/A10/24/03802</v>
      </c>
      <c r="B1" s="93"/>
      <c r="C1" s="94"/>
      <c r="D1" s="95" t="s">
        <v>158</v>
      </c>
    </row>
    <row r="2" spans="1:6" ht="18" customHeight="1">
      <c r="A2" s="96"/>
      <c r="B2" s="97"/>
      <c r="C2" s="98"/>
      <c r="D2" s="98"/>
    </row>
    <row r="3" spans="1:6" ht="73.5" customHeight="1">
      <c r="A3" s="896" t="str">
        <f>Cover!$B$2</f>
        <v>765kV AIS Substation Extension Package SS-124 (including 765/400kV GIS Bus Duct) for (i) Extension of 765/400kV Indore Substation under Augmentation of transformation capacity at 765/400kV Indore S/S in Madhya Pradesh; (ii) Extension of 400kV Indore (PG) S/s under Implementation of 400kV line bay at 765/400/220kV Indore (PG) S/s in MP for RE interconnection; (iii) Extension of 400kV Parli (New) S/s under Implementation of 400kV line bay at 765/400kV Parli (New) S/s for interconnection of RE project and (iv) Extension of 400/220kV Bhuj GIS PS under Augmentation of transformation capacity at 400/220kV Bhuj PS in Gujarat by 1x500MVA, 400/220kV ICT (9th)</v>
      </c>
      <c r="B3" s="896"/>
      <c r="C3" s="896"/>
      <c r="D3" s="896"/>
      <c r="E3" s="99"/>
      <c r="F3" s="99"/>
    </row>
    <row r="4" spans="1:6" ht="21.95" customHeight="1">
      <c r="A4" s="866" t="s">
        <v>142</v>
      </c>
      <c r="B4" s="866"/>
      <c r="C4" s="866"/>
      <c r="D4" s="866"/>
    </row>
    <row r="5" spans="1:6" ht="18" customHeight="1">
      <c r="A5" s="100"/>
    </row>
    <row r="6" spans="1:6" ht="18" customHeight="1">
      <c r="A6" s="10" t="e">
        <f>'Sch-1'!#REF!</f>
        <v>#REF!</v>
      </c>
      <c r="D6" s="73" t="s">
        <v>1</v>
      </c>
    </row>
    <row r="7" spans="1:6" ht="36" customHeight="1">
      <c r="A7" s="897" t="str">
        <f>'Sch-1'!A8</f>
        <v>Bidder’s Name and Address  (Sole Bidder) :</v>
      </c>
      <c r="B7" s="897"/>
      <c r="C7" s="897"/>
      <c r="D7" s="74" t="str">
        <f>'Sch-1'!K8</f>
        <v>Contract Services</v>
      </c>
    </row>
    <row r="8" spans="1:6" ht="18" customHeight="1">
      <c r="A8" s="14" t="s">
        <v>31</v>
      </c>
      <c r="B8" s="895" t="str">
        <f>IF('Sch-1'!C9=0, "", 'Sch-1'!C9)</f>
        <v/>
      </c>
      <c r="C8" s="895"/>
      <c r="D8" s="74" t="str">
        <f>'Sch-1'!K9</f>
        <v>Power Grid Corporation of India Ltd.,</v>
      </c>
    </row>
    <row r="9" spans="1:6" ht="18" customHeight="1">
      <c r="A9" s="14" t="s">
        <v>32</v>
      </c>
      <c r="B9" s="895" t="str">
        <f>IF('Sch-1'!C10=0, "", 'Sch-1'!C10)</f>
        <v/>
      </c>
      <c r="C9" s="895"/>
      <c r="D9" s="74" t="str">
        <f>'Sch-1'!K10</f>
        <v>"Saudamini", Plot No.-2</v>
      </c>
    </row>
    <row r="10" spans="1:6" ht="18" customHeight="1">
      <c r="A10" s="15"/>
      <c r="B10" s="895" t="str">
        <f>IF('Sch-1'!C11=0, "", 'Sch-1'!C11)</f>
        <v/>
      </c>
      <c r="C10" s="895"/>
      <c r="D10" s="74" t="str">
        <f>'Sch-1'!K11</f>
        <v xml:space="preserve">Sector-29, </v>
      </c>
    </row>
    <row r="11" spans="1:6" ht="18" customHeight="1">
      <c r="A11" s="15"/>
      <c r="B11" s="895" t="str">
        <f>IF('Sch-1'!C12=0, "", 'Sch-1'!C12)</f>
        <v/>
      </c>
      <c r="C11" s="895"/>
      <c r="D11" s="74" t="str">
        <f>'Sch-1'!K12</f>
        <v>Gurugram (Haryana) - 122001</v>
      </c>
    </row>
    <row r="12" spans="1:6" ht="18" customHeight="1">
      <c r="A12" s="101"/>
      <c r="B12" s="101"/>
      <c r="C12" s="101"/>
      <c r="D12" s="73"/>
    </row>
    <row r="13" spans="1:6" ht="21.95" customHeight="1">
      <c r="A13" s="102" t="s">
        <v>124</v>
      </c>
      <c r="B13" s="900" t="s">
        <v>15</v>
      </c>
      <c r="C13" s="901"/>
      <c r="D13" s="103" t="s">
        <v>126</v>
      </c>
    </row>
    <row r="14" spans="1:6" ht="21.95" customHeight="1">
      <c r="A14" s="75" t="s">
        <v>129</v>
      </c>
      <c r="B14" s="889" t="s">
        <v>143</v>
      </c>
      <c r="C14" s="889"/>
      <c r="D14" s="104"/>
    </row>
    <row r="15" spans="1:6" ht="35.1" customHeight="1">
      <c r="A15" s="105"/>
      <c r="B15" s="890" t="s">
        <v>144</v>
      </c>
      <c r="C15" s="891"/>
      <c r="D15" s="106"/>
    </row>
    <row r="16" spans="1:6" ht="21.95" customHeight="1">
      <c r="A16" s="75" t="s">
        <v>131</v>
      </c>
      <c r="B16" s="889" t="s">
        <v>145</v>
      </c>
      <c r="C16" s="889"/>
      <c r="D16" s="104"/>
    </row>
    <row r="17" spans="1:6" ht="35.1" customHeight="1">
      <c r="A17" s="105"/>
      <c r="B17" s="890" t="s">
        <v>146</v>
      </c>
      <c r="C17" s="891"/>
      <c r="D17" s="106"/>
    </row>
    <row r="18" spans="1:6" ht="21.95" customHeight="1">
      <c r="A18" s="75" t="s">
        <v>133</v>
      </c>
      <c r="B18" s="889" t="s">
        <v>147</v>
      </c>
      <c r="C18" s="889"/>
      <c r="D18" s="104"/>
    </row>
    <row r="19" spans="1:6" ht="30" customHeight="1">
      <c r="A19" s="105"/>
      <c r="B19" s="890" t="s">
        <v>148</v>
      </c>
      <c r="C19" s="891"/>
      <c r="D19" s="106"/>
    </row>
    <row r="20" spans="1:6" ht="21.95" customHeight="1">
      <c r="A20" s="75" t="s">
        <v>134</v>
      </c>
      <c r="B20" s="889" t="s">
        <v>149</v>
      </c>
      <c r="C20" s="889"/>
      <c r="D20" s="107"/>
    </row>
    <row r="21" spans="1:6" ht="30" customHeight="1">
      <c r="A21" s="105"/>
      <c r="B21" s="890" t="s">
        <v>150</v>
      </c>
      <c r="C21" s="891"/>
      <c r="D21" s="106"/>
    </row>
    <row r="22" spans="1:6" ht="30" customHeight="1">
      <c r="A22" s="75">
        <v>5</v>
      </c>
      <c r="B22" s="889" t="s">
        <v>151</v>
      </c>
      <c r="C22" s="889"/>
      <c r="D22" s="104"/>
    </row>
    <row r="23" spans="1:6" ht="33" customHeight="1">
      <c r="A23" s="105"/>
      <c r="B23" s="890" t="s">
        <v>152</v>
      </c>
      <c r="C23" s="891"/>
      <c r="D23" s="120"/>
    </row>
    <row r="24" spans="1:6" ht="21.95" customHeight="1">
      <c r="A24" s="75" t="s">
        <v>136</v>
      </c>
      <c r="B24" s="889" t="s">
        <v>153</v>
      </c>
      <c r="C24" s="889"/>
      <c r="D24" s="107"/>
    </row>
    <row r="25" spans="1:6" ht="35.1" customHeight="1">
      <c r="A25" s="105"/>
      <c r="B25" s="890" t="s">
        <v>154</v>
      </c>
      <c r="C25" s="891"/>
      <c r="D25" s="106"/>
    </row>
    <row r="26" spans="1:6" ht="24" customHeight="1">
      <c r="A26" s="898"/>
      <c r="B26" s="899" t="s">
        <v>155</v>
      </c>
      <c r="C26" s="899"/>
      <c r="D26" s="108"/>
    </row>
    <row r="27" spans="1:6" ht="25.5" customHeight="1">
      <c r="A27" s="898"/>
      <c r="B27" s="899"/>
      <c r="C27" s="899"/>
      <c r="D27" s="109"/>
    </row>
    <row r="28" spans="1:6" ht="18.75" customHeight="1">
      <c r="A28" s="110"/>
      <c r="B28" s="111"/>
      <c r="C28" s="111"/>
      <c r="D28" s="112"/>
    </row>
    <row r="29" spans="1:6" ht="27.95" customHeight="1">
      <c r="A29" s="110"/>
      <c r="B29" s="111"/>
      <c r="C29" s="113"/>
      <c r="D29" s="112"/>
    </row>
    <row r="30" spans="1:6" ht="27.95" customHeight="1">
      <c r="A30" s="114" t="s">
        <v>156</v>
      </c>
      <c r="B30" s="78"/>
      <c r="C30" s="113" t="s">
        <v>138</v>
      </c>
      <c r="D30" s="78"/>
      <c r="F30" s="115"/>
    </row>
    <row r="31" spans="1:6" ht="27.95" customHeight="1">
      <c r="A31" s="114" t="s">
        <v>157</v>
      </c>
      <c r="B31" s="78"/>
      <c r="C31" s="113" t="s">
        <v>140</v>
      </c>
      <c r="D31" s="78"/>
      <c r="F31" s="96"/>
    </row>
    <row r="32" spans="1:6" ht="27.95" customHeight="1">
      <c r="A32" s="116"/>
      <c r="B32" s="97"/>
      <c r="C32" s="113"/>
      <c r="F32" s="96"/>
    </row>
    <row r="33" spans="1:6" ht="30" customHeight="1">
      <c r="A33" s="116"/>
      <c r="B33" s="97"/>
      <c r="C33" s="113"/>
      <c r="D33" s="116"/>
      <c r="F33" s="115"/>
    </row>
    <row r="34" spans="1:6" ht="30" customHeight="1">
      <c r="A34" s="117"/>
      <c r="B34" s="117"/>
      <c r="C34" s="118"/>
      <c r="E34" s="119"/>
    </row>
  </sheetData>
  <sheetProtection selectLockedCells="1"/>
  <customSheetViews>
    <customSheetView guid="{C497F4E0-7D3E-4065-935D-7086BE9276FE}"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889C3D82-0A24-4765-A688-A80A782F505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89CB4E6A-722E-4E39-885D-E2A6D0D08321}"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915C64AD-BD67-44F0-9117-5B9D998BA799}"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18EA11B4-BD82-47BF-99FA-7AB19BF74D0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A58DB4DF-40C7-4BEB-B85E-6BD6F54941C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1211E1B9-FC37-4364-9CF0-0FFC0186672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2">
    <mergeCell ref="B13:C13"/>
    <mergeCell ref="B14:C14"/>
    <mergeCell ref="B24:C24"/>
    <mergeCell ref="B25:C25"/>
    <mergeCell ref="B15:C15"/>
    <mergeCell ref="B16:C16"/>
    <mergeCell ref="B17:C17"/>
    <mergeCell ref="A26:A27"/>
    <mergeCell ref="B26:C27"/>
    <mergeCell ref="B18:C18"/>
    <mergeCell ref="B19:C19"/>
    <mergeCell ref="B20:C20"/>
    <mergeCell ref="B21:C21"/>
    <mergeCell ref="B22:C22"/>
    <mergeCell ref="B23:C23"/>
    <mergeCell ref="B11:C11"/>
    <mergeCell ref="A3:D3"/>
    <mergeCell ref="A4:D4"/>
    <mergeCell ref="A7:C7"/>
    <mergeCell ref="B8:C8"/>
    <mergeCell ref="B9:C9"/>
    <mergeCell ref="B10:C10"/>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zoomScaleSheetLayoutView="100" workbookViewId="0">
      <selection activeCell="H8" sqref="H8"/>
    </sheetView>
  </sheetViews>
  <sheetFormatPr defaultColWidth="11.42578125" defaultRowHeight="16.5"/>
  <cols>
    <col min="1" max="1" width="12.140625" style="15" customWidth="1"/>
    <col min="2" max="2" width="31.42578125" style="15" customWidth="1"/>
    <col min="3" max="3" width="24" style="15" customWidth="1"/>
    <col min="4" max="4" width="39.28515625" style="15" customWidth="1"/>
    <col min="5" max="5" width="18.42578125" style="91" hidden="1" customWidth="1"/>
    <col min="6" max="6" width="18.7109375" style="91" hidden="1" customWidth="1"/>
    <col min="7" max="16384" width="11.42578125" style="91"/>
  </cols>
  <sheetData>
    <row r="1" spans="1:6" ht="18" customHeight="1">
      <c r="A1" s="703" t="str">
        <f>Cover!B3</f>
        <v>Spec No: CC/NT/W-AIS/DOM/A10/24/03802</v>
      </c>
      <c r="B1" s="704"/>
      <c r="C1" s="705"/>
      <c r="D1" s="706" t="s">
        <v>141</v>
      </c>
    </row>
    <row r="2" spans="1:6" ht="18" customHeight="1">
      <c r="A2" s="707"/>
      <c r="B2" s="708"/>
      <c r="C2" s="44"/>
      <c r="D2" s="44"/>
    </row>
    <row r="3" spans="1:6" ht="159.75" customHeight="1">
      <c r="A3" s="865" t="str">
        <f>Cover!$B$2</f>
        <v>765kV AIS Substation Extension Package SS-124 (including 765/400kV GIS Bus Duct) for (i) Extension of 765/400kV Indore Substation under Augmentation of transformation capacity at 765/400kV Indore S/S in Madhya Pradesh; (ii) Extension of 400kV Indore (PG) S/s under Implementation of 400kV line bay at 765/400/220kV Indore (PG) S/s in MP for RE interconnection; (iii) Extension of 400kV Parli (New) S/s under Implementation of 400kV line bay at 765/400kV Parli (New) S/s for interconnection of RE project and (iv) Extension of 400/220kV Bhuj GIS PS under Augmentation of transformation capacity at 400/220kV Bhuj PS in Gujarat by 1x500MVA, 400/220kV ICT (9th)</v>
      </c>
      <c r="B3" s="865"/>
      <c r="C3" s="865"/>
      <c r="D3" s="865"/>
      <c r="E3" s="99"/>
      <c r="F3" s="99"/>
    </row>
    <row r="4" spans="1:6" ht="21.95" customHeight="1">
      <c r="A4" s="904" t="s">
        <v>142</v>
      </c>
      <c r="B4" s="904"/>
      <c r="C4" s="904"/>
      <c r="D4" s="904"/>
    </row>
    <row r="5" spans="1:6" ht="18" customHeight="1">
      <c r="A5" s="487"/>
    </row>
    <row r="6" spans="1:6" ht="18" customHeight="1">
      <c r="A6" s="812" t="s">
        <v>334</v>
      </c>
      <c r="B6" s="812"/>
      <c r="C6" s="584"/>
    </row>
    <row r="7" spans="1:6" ht="18" customHeight="1">
      <c r="A7" s="816">
        <f>'Sch-1'!A7</f>
        <v>0</v>
      </c>
      <c r="B7" s="816"/>
      <c r="C7" s="816"/>
      <c r="D7" s="569" t="s">
        <v>1</v>
      </c>
    </row>
    <row r="8" spans="1:6" ht="22.5" customHeight="1">
      <c r="A8" s="813" t="str">
        <f>"Bidder’s Name and Address  (" &amp; MID('Names of Bidder'!A9,9, 20) &amp; ") :"</f>
        <v>Bidder’s Name and Address  (Sole Bidder) :</v>
      </c>
      <c r="B8" s="813"/>
      <c r="C8" s="813"/>
      <c r="D8" s="709" t="str">
        <f>'Sch-1'!K8</f>
        <v>Contract Services</v>
      </c>
    </row>
    <row r="9" spans="1:6" ht="18" customHeight="1">
      <c r="A9" s="585" t="s">
        <v>12</v>
      </c>
      <c r="B9" s="585" t="str">
        <f>IF('Names of Bidder'!C9=0, "", 'Names of Bidder'!C9)</f>
        <v/>
      </c>
      <c r="C9" s="91"/>
      <c r="D9" s="709" t="str">
        <f>'Sch-1'!K9</f>
        <v>Power Grid Corporation of India Ltd.,</v>
      </c>
    </row>
    <row r="10" spans="1:6" ht="18" customHeight="1">
      <c r="A10" s="585" t="s">
        <v>11</v>
      </c>
      <c r="B10" s="588" t="str">
        <f>IF('Names of Bidder'!C10=0, "", 'Names of Bidder'!C10)</f>
        <v/>
      </c>
      <c r="C10" s="91"/>
      <c r="D10" s="709" t="str">
        <f>'Sch-1'!K10</f>
        <v>"Saudamini", Plot No.-2</v>
      </c>
    </row>
    <row r="11" spans="1:6" ht="18" customHeight="1">
      <c r="A11" s="592"/>
      <c r="B11" s="588" t="str">
        <f>IF('Names of Bidder'!C11=0, "", 'Names of Bidder'!C11)</f>
        <v/>
      </c>
      <c r="C11" s="91"/>
      <c r="D11" s="709" t="str">
        <f>'Sch-1'!K11</f>
        <v xml:space="preserve">Sector-29, </v>
      </c>
    </row>
    <row r="12" spans="1:6" ht="18" customHeight="1">
      <c r="A12" s="592"/>
      <c r="B12" s="588" t="str">
        <f>IF('Names of Bidder'!C12=0, "", 'Names of Bidder'!C12)</f>
        <v/>
      </c>
      <c r="C12" s="91"/>
      <c r="D12" s="709" t="str">
        <f>'Sch-1'!K12</f>
        <v>Gurugram (Haryana) - 122001</v>
      </c>
    </row>
    <row r="13" spans="1:6" ht="18" customHeight="1" thickBot="1">
      <c r="A13" s="487"/>
      <c r="B13" s="487"/>
      <c r="C13" s="487"/>
      <c r="D13" s="569"/>
    </row>
    <row r="14" spans="1:6" ht="21.95" customHeight="1">
      <c r="A14" s="488" t="s">
        <v>124</v>
      </c>
      <c r="B14" s="905" t="s">
        <v>15</v>
      </c>
      <c r="C14" s="906"/>
      <c r="D14" s="710" t="s">
        <v>126</v>
      </c>
      <c r="E14" s="472" t="s">
        <v>345</v>
      </c>
      <c r="F14" s="473" t="s">
        <v>344</v>
      </c>
    </row>
    <row r="15" spans="1:6" ht="21.95" customHeight="1">
      <c r="A15" s="711" t="s">
        <v>129</v>
      </c>
      <c r="B15" s="907" t="s">
        <v>143</v>
      </c>
      <c r="C15" s="907"/>
      <c r="D15" s="712">
        <f>E15*F15</f>
        <v>0</v>
      </c>
      <c r="E15" s="474">
        <f>'Sch-6'!D15</f>
        <v>0</v>
      </c>
      <c r="F15" s="484">
        <f>IF(Discount!H36&lt;0,0,Discount!H36)</f>
        <v>0</v>
      </c>
    </row>
    <row r="16" spans="1:6" ht="35.1" customHeight="1">
      <c r="A16" s="713"/>
      <c r="B16" s="902" t="s">
        <v>144</v>
      </c>
      <c r="C16" s="903"/>
      <c r="D16" s="714"/>
      <c r="E16" s="476"/>
      <c r="F16" s="484"/>
    </row>
    <row r="17" spans="1:6" ht="21.95" customHeight="1">
      <c r="A17" s="711" t="s">
        <v>131</v>
      </c>
      <c r="B17" s="907" t="s">
        <v>145</v>
      </c>
      <c r="C17" s="907"/>
      <c r="D17" s="712">
        <f>E17*F17</f>
        <v>0</v>
      </c>
      <c r="E17" s="474">
        <f>'Sch-6'!D17</f>
        <v>0</v>
      </c>
      <c r="F17" s="484">
        <f>IF(Discount!I36&lt;0,0,Discount!I36)</f>
        <v>0</v>
      </c>
    </row>
    <row r="18" spans="1:6" ht="35.1" customHeight="1">
      <c r="A18" s="713"/>
      <c r="B18" s="902" t="s">
        <v>300</v>
      </c>
      <c r="C18" s="903"/>
      <c r="D18" s="714"/>
      <c r="E18" s="476"/>
      <c r="F18" s="484"/>
    </row>
    <row r="19" spans="1:6" ht="21.95" customHeight="1">
      <c r="A19" s="711" t="s">
        <v>133</v>
      </c>
      <c r="B19" s="907" t="s">
        <v>147</v>
      </c>
      <c r="C19" s="907"/>
      <c r="D19" s="712">
        <f>E19*F19</f>
        <v>0</v>
      </c>
      <c r="E19" s="474">
        <f>'Sch-6'!D19</f>
        <v>0</v>
      </c>
      <c r="F19" s="484">
        <f>IF(Discount!J36&lt;0,0,Discount!J36)</f>
        <v>0</v>
      </c>
    </row>
    <row r="20" spans="1:6" ht="30" customHeight="1">
      <c r="A20" s="713"/>
      <c r="B20" s="902" t="s">
        <v>148</v>
      </c>
      <c r="C20" s="903"/>
      <c r="D20" s="714"/>
      <c r="E20" s="476"/>
      <c r="F20" s="475"/>
    </row>
    <row r="21" spans="1:6" ht="21.95" customHeight="1">
      <c r="A21" s="711" t="s">
        <v>134</v>
      </c>
      <c r="B21" s="907" t="s">
        <v>149</v>
      </c>
      <c r="C21" s="907"/>
      <c r="D21" s="715" t="s">
        <v>323</v>
      </c>
      <c r="E21" s="476"/>
      <c r="F21" s="475"/>
    </row>
    <row r="22" spans="1:6" ht="30" customHeight="1">
      <c r="A22" s="713"/>
      <c r="B22" s="902" t="s">
        <v>150</v>
      </c>
      <c r="C22" s="903"/>
      <c r="D22" s="714"/>
      <c r="E22" s="476"/>
      <c r="F22" s="475"/>
    </row>
    <row r="23" spans="1:6" ht="30" customHeight="1">
      <c r="A23" s="711">
        <v>5</v>
      </c>
      <c r="B23" s="907" t="s">
        <v>151</v>
      </c>
      <c r="C23" s="907"/>
      <c r="D23" s="712">
        <f>IF('Sch-5 after discount'!D19&lt;0,0,'Sch-5 after discount'!D19)</f>
        <v>0</v>
      </c>
      <c r="E23" s="476"/>
      <c r="F23" s="475"/>
    </row>
    <row r="24" spans="1:6" ht="25.5" customHeight="1">
      <c r="A24" s="713"/>
      <c r="B24" s="902" t="s">
        <v>152</v>
      </c>
      <c r="C24" s="903"/>
      <c r="D24" s="495"/>
      <c r="E24" s="476"/>
      <c r="F24" s="475"/>
    </row>
    <row r="25" spans="1:6" ht="21.95" customHeight="1">
      <c r="A25" s="711" t="s">
        <v>136</v>
      </c>
      <c r="B25" s="907" t="s">
        <v>153</v>
      </c>
      <c r="C25" s="907"/>
      <c r="D25" s="715" t="s">
        <v>323</v>
      </c>
      <c r="E25" s="476"/>
      <c r="F25" s="475"/>
    </row>
    <row r="26" spans="1:6" ht="35.1" customHeight="1">
      <c r="A26" s="713"/>
      <c r="B26" s="902" t="s">
        <v>154</v>
      </c>
      <c r="C26" s="903"/>
      <c r="D26" s="714"/>
      <c r="E26" s="476"/>
      <c r="F26" s="475"/>
    </row>
    <row r="27" spans="1:6" ht="18.75" customHeight="1">
      <c r="A27" s="908"/>
      <c r="B27" s="910" t="s">
        <v>331</v>
      </c>
      <c r="C27" s="910"/>
      <c r="D27" s="716"/>
      <c r="E27" s="476"/>
      <c r="F27" s="475"/>
    </row>
    <row r="28" spans="1:6" ht="18.75" customHeight="1" thickBot="1">
      <c r="A28" s="909"/>
      <c r="B28" s="911"/>
      <c r="C28" s="911"/>
      <c r="D28" s="717">
        <f>SUM(D15:D26)</f>
        <v>0</v>
      </c>
      <c r="E28" s="477"/>
      <c r="F28" s="478"/>
    </row>
    <row r="29" spans="1:6" ht="18.75" customHeight="1">
      <c r="A29" s="718"/>
      <c r="B29" s="719"/>
      <c r="C29" s="719"/>
      <c r="D29" s="720"/>
    </row>
    <row r="30" spans="1:6" ht="27.95" customHeight="1">
      <c r="A30" s="718"/>
      <c r="B30" s="721"/>
      <c r="C30" s="721"/>
      <c r="D30" s="720"/>
    </row>
    <row r="31" spans="1:6" ht="27.95" customHeight="1">
      <c r="A31" s="722" t="s">
        <v>156</v>
      </c>
      <c r="B31" s="723" t="str">
        <f>'Sch-6'!B31</f>
        <v xml:space="preserve">  </v>
      </c>
      <c r="C31" s="721" t="s">
        <v>138</v>
      </c>
      <c r="D31" s="724" t="str">
        <f>'Sch-6'!D31</f>
        <v/>
      </c>
      <c r="F31" s="725"/>
    </row>
    <row r="32" spans="1:6" ht="27.95" customHeight="1">
      <c r="A32" s="722" t="s">
        <v>157</v>
      </c>
      <c r="B32" s="726" t="str">
        <f>'Sch-6'!B32</f>
        <v/>
      </c>
      <c r="C32" s="721" t="s">
        <v>140</v>
      </c>
      <c r="D32" s="724" t="str">
        <f>'Sch-6'!D32</f>
        <v/>
      </c>
      <c r="F32" s="707"/>
    </row>
    <row r="33" spans="1:6" ht="27.95" customHeight="1">
      <c r="A33" s="727"/>
      <c r="B33" s="708"/>
      <c r="C33" s="721"/>
      <c r="F33" s="707"/>
    </row>
    <row r="34" spans="1:6" ht="30" customHeight="1">
      <c r="A34" s="727"/>
      <c r="B34" s="708"/>
      <c r="C34" s="721"/>
      <c r="D34" s="727"/>
      <c r="F34" s="725"/>
    </row>
    <row r="35" spans="1:6" ht="30" customHeight="1">
      <c r="A35" s="728"/>
      <c r="B35" s="728"/>
      <c r="C35" s="569"/>
      <c r="E35" s="729"/>
    </row>
  </sheetData>
  <sheetProtection algorithmName="SHA-512" hashValue="2Bk0JJS2yzbQK/CXApF6+0yXGXYzhaex4brXFLVEqZFvpCZzaR8UfEONkoOUeueAfFiL53wrfWoYdJhKVKfrGw==" saltValue="lOmLCsSpQdpQ4XhNfuMj1g==" spinCount="100000" sheet="1" objects="1" scenarios="1" formatColumns="0" formatRows="0" selectLockedCells="1"/>
  <customSheetViews>
    <customSheetView guid="{C497F4E0-7D3E-4065-935D-7086BE9276FE}" showPageBreaks="1" printArea="1" hiddenColumns="1" view="pageBreakPreview">
      <selection activeCell="H8" sqref="H8"/>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889C3D82-0A24-4765-A688-A80A782F5056}" showPageBreaks="1" printArea="1" hiddenColumns="1" view="pageBreakPreview">
      <selection activeCell="H8" sqref="H8"/>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89CB4E6A-722E-4E39-885D-E2A6D0D08321}" showPageBreaks="1" printArea="1" hiddenColumns="1" view="pageBreakPreview" topLeftCell="A10">
      <selection activeCell="D23" sqref="D2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915C64AD-BD67-44F0-9117-5B9D998BA799}" showPageBreaks="1" printArea="1" hiddenColumns="1" view="pageBreakPreview">
      <selection activeCell="D23" sqref="D2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18EA11B4-BD82-47BF-99FA-7AB19BF74D0B}" showPageBreaks="1" printArea="1" hiddenColumns="1" view="pageBreakPreview">
      <selection activeCell="D23" sqref="D2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A58DB4DF-40C7-4BEB-B85E-6BD6F54941CF}" showPageBreaks="1" printArea="1" hiddenColumns="1" view="pageBreakPreview">
      <selection activeCell="D23" sqref="D2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1211E1B9-FC37-4364-9CF0-0FFC01866726}" showPageBreaks="1" printArea="1" hiddenColumns="1" view="pageBreakPreview">
      <selection activeCell="H8" sqref="H8"/>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0">
    <mergeCell ref="B25:C25"/>
    <mergeCell ref="B26:C26"/>
    <mergeCell ref="A27:A28"/>
    <mergeCell ref="B27:C28"/>
    <mergeCell ref="B19:C19"/>
    <mergeCell ref="B20:C20"/>
    <mergeCell ref="B21:C21"/>
    <mergeCell ref="B22:C22"/>
    <mergeCell ref="B23:C23"/>
    <mergeCell ref="B24:C24"/>
    <mergeCell ref="B18:C18"/>
    <mergeCell ref="A3:D3"/>
    <mergeCell ref="A4:D4"/>
    <mergeCell ref="A8:C8"/>
    <mergeCell ref="B14:C14"/>
    <mergeCell ref="B15:C15"/>
    <mergeCell ref="B16:C16"/>
    <mergeCell ref="B17:C17"/>
    <mergeCell ref="A6:B6"/>
    <mergeCell ref="A7:C7"/>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A1:CV183"/>
  <sheetViews>
    <sheetView view="pageBreakPreview" zoomScaleSheetLayoutView="100" workbookViewId="0">
      <selection activeCell="A16" sqref="A16"/>
    </sheetView>
  </sheetViews>
  <sheetFormatPr defaultColWidth="8.7109375" defaultRowHeight="16.5"/>
  <cols>
    <col min="1" max="1" width="6.5703125" style="235" customWidth="1"/>
    <col min="2" max="2" width="11.42578125" style="235" customWidth="1"/>
    <col min="3" max="3" width="15" style="235" customWidth="1"/>
    <col min="4" max="4" width="10.28515625" style="235" customWidth="1"/>
    <col min="5" max="8" width="15.140625" style="235" customWidth="1"/>
    <col min="9" max="9" width="22.85546875" style="351" customWidth="1"/>
    <col min="10" max="10" width="8.7109375" style="225" customWidth="1"/>
    <col min="11" max="11" width="10.28515625" style="225" customWidth="1"/>
    <col min="12" max="12" width="13.5703125" style="225" customWidth="1"/>
    <col min="13" max="13" width="14.28515625" style="225" customWidth="1"/>
    <col min="14" max="26" width="9.140625" style="257" customWidth="1"/>
    <col min="27" max="27" width="0" style="257" hidden="1" customWidth="1"/>
    <col min="28" max="28" width="15.85546875" style="257" hidden="1" customWidth="1"/>
    <col min="29" max="29" width="15.5703125" style="257" hidden="1" customWidth="1"/>
    <col min="30" max="30" width="24.42578125" style="257" hidden="1" customWidth="1"/>
    <col min="31" max="31" width="13.7109375" style="257" hidden="1" customWidth="1"/>
    <col min="32" max="33" width="0" style="257" hidden="1" customWidth="1"/>
    <col min="34" max="100" width="9.140625" style="257" customWidth="1"/>
    <col min="101" max="253" width="9.140625" style="222" customWidth="1"/>
    <col min="254" max="254" width="13" style="222" customWidth="1"/>
    <col min="255" max="255" width="35.85546875" style="222" customWidth="1"/>
    <col min="256" max="16384" width="8.7109375" style="222"/>
  </cols>
  <sheetData>
    <row r="1" spans="1:100" s="257" customFormat="1" ht="18" customHeight="1">
      <c r="A1" s="253" t="str">
        <f>Cover!B3</f>
        <v>Spec No: CC/NT/W-AIS/DOM/A10/24/03802</v>
      </c>
      <c r="B1" s="253"/>
      <c r="C1" s="253"/>
      <c r="D1" s="253"/>
      <c r="E1" s="253"/>
      <c r="F1" s="253"/>
      <c r="G1" s="253"/>
      <c r="H1" s="253"/>
      <c r="I1" s="343"/>
      <c r="J1" s="254"/>
      <c r="K1" s="254"/>
      <c r="L1" s="254"/>
      <c r="M1" s="255" t="s">
        <v>30</v>
      </c>
    </row>
    <row r="2" spans="1:100" s="257" customFormat="1" ht="12.75" customHeight="1">
      <c r="A2" s="258"/>
      <c r="B2" s="258"/>
      <c r="C2" s="258"/>
      <c r="D2" s="258"/>
      <c r="E2" s="258"/>
      <c r="F2" s="258"/>
      <c r="G2" s="258"/>
      <c r="H2" s="258"/>
      <c r="I2" s="344"/>
      <c r="J2" s="259"/>
      <c r="K2" s="259"/>
      <c r="L2" s="259"/>
      <c r="M2" s="259"/>
    </row>
    <row r="3" spans="1:100" s="257" customFormat="1" ht="103.5" customHeight="1">
      <c r="A3" s="912" t="str">
        <f>Cover!$B$2</f>
        <v>765kV AIS Substation Extension Package SS-124 (including 765/400kV GIS Bus Duct) for (i) Extension of 765/400kV Indore Substation under Augmentation of transformation capacity at 765/400kV Indore S/S in Madhya Pradesh; (ii) Extension of 400kV Indore (PG) S/s under Implementation of 400kV line bay at 765/400/220kV Indore (PG) S/s in MP for RE interconnection; (iii) Extension of 400kV Parli (New) S/s under Implementation of 400kV line bay at 765/400kV Parli (New) S/s for interconnection of RE project and (iv) Extension of 400/220kV Bhuj GIS PS under Augmentation of transformation capacity at 400/220kV Bhuj PS in Gujarat by 1x500MVA, 400/220kV ICT (9th)</v>
      </c>
      <c r="B3" s="912"/>
      <c r="C3" s="912"/>
      <c r="D3" s="912"/>
      <c r="E3" s="912"/>
      <c r="F3" s="912"/>
      <c r="G3" s="912"/>
      <c r="H3" s="912"/>
      <c r="I3" s="912"/>
      <c r="J3" s="912"/>
      <c r="K3" s="912"/>
      <c r="L3" s="912"/>
      <c r="M3" s="912"/>
      <c r="AA3" s="257" t="s">
        <v>18</v>
      </c>
      <c r="AC3" s="257">
        <f>IF(ISERROR(#REF!/('[6]Sch-6'!D14+'[6]Sch-6'!D16+'[6]Sch-6'!D18)),0,#REF!/( '[6]Sch-6'!D14+'[6]Sch-6'!D16+'[6]Sch-6'!D18))</f>
        <v>0</v>
      </c>
    </row>
    <row r="4" spans="1:100" s="257" customFormat="1" ht="21.95" customHeight="1">
      <c r="A4" s="913" t="s">
        <v>19</v>
      </c>
      <c r="B4" s="913"/>
      <c r="C4" s="913"/>
      <c r="D4" s="913"/>
      <c r="E4" s="913"/>
      <c r="F4" s="913"/>
      <c r="G4" s="913"/>
      <c r="H4" s="913"/>
      <c r="I4" s="913"/>
      <c r="J4" s="913"/>
      <c r="K4" s="913"/>
      <c r="L4" s="913"/>
      <c r="M4" s="913"/>
      <c r="AA4" s="257" t="s">
        <v>20</v>
      </c>
      <c r="AC4" s="257" t="e">
        <f>#REF!</f>
        <v>#REF!</v>
      </c>
    </row>
    <row r="5" spans="1:100" s="257" customFormat="1" ht="27.95" customHeight="1">
      <c r="A5" s="262"/>
      <c r="B5" s="262"/>
      <c r="C5" s="262"/>
      <c r="D5" s="262"/>
      <c r="E5" s="372"/>
      <c r="F5" s="372"/>
      <c r="G5" s="372"/>
      <c r="H5" s="372"/>
      <c r="I5" s="345"/>
      <c r="K5" s="261"/>
      <c r="L5" s="260"/>
      <c r="M5" s="372"/>
    </row>
    <row r="6" spans="1:100" s="257" customFormat="1" ht="27.95" customHeight="1">
      <c r="A6" s="463"/>
      <c r="B6" s="844" t="s">
        <v>334</v>
      </c>
      <c r="C6" s="844"/>
      <c r="D6" s="2"/>
      <c r="E6" s="372"/>
      <c r="F6" s="372"/>
      <c r="G6" s="372"/>
      <c r="H6" s="372"/>
      <c r="I6" s="345"/>
      <c r="K6" s="261"/>
      <c r="L6" s="260"/>
      <c r="M6" s="372"/>
    </row>
    <row r="7" spans="1:100" s="257" customFormat="1" ht="27.95" customHeight="1">
      <c r="A7" s="460"/>
      <c r="B7" s="845">
        <f>'Sch-1'!A7</f>
        <v>0</v>
      </c>
      <c r="C7" s="845"/>
      <c r="D7" s="845"/>
      <c r="E7" s="845"/>
      <c r="F7" s="845"/>
      <c r="G7" s="845"/>
      <c r="H7" s="845"/>
      <c r="I7" s="345"/>
      <c r="K7" s="261"/>
      <c r="L7" s="260"/>
      <c r="M7" s="372"/>
    </row>
    <row r="8" spans="1:100" s="412" customFormat="1" ht="16.5" customHeight="1">
      <c r="A8" s="462"/>
      <c r="B8" s="846" t="str">
        <f>'Sch-1'!A8</f>
        <v>Bidder’s Name and Address  (Sole Bidder) :</v>
      </c>
      <c r="C8" s="846"/>
      <c r="D8" s="846"/>
      <c r="E8" s="846"/>
      <c r="F8" s="846"/>
      <c r="G8" s="846"/>
      <c r="H8" s="846"/>
      <c r="I8" s="11"/>
      <c r="J8" s="11"/>
      <c r="K8" s="73" t="s">
        <v>1</v>
      </c>
      <c r="L8" s="9"/>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257"/>
      <c r="BK8" s="257"/>
      <c r="BL8" s="257"/>
      <c r="BM8" s="257"/>
      <c r="BN8" s="257"/>
      <c r="BO8" s="257"/>
      <c r="BP8" s="257"/>
      <c r="BQ8" s="257"/>
      <c r="BR8" s="257"/>
      <c r="BS8" s="257"/>
      <c r="BT8" s="257"/>
      <c r="BU8" s="257"/>
      <c r="BV8" s="257"/>
      <c r="BW8" s="257"/>
      <c r="BX8" s="257"/>
      <c r="BY8" s="257"/>
      <c r="BZ8" s="257"/>
      <c r="CA8" s="257"/>
      <c r="CB8" s="257"/>
      <c r="CC8" s="257"/>
      <c r="CD8" s="257"/>
      <c r="CE8" s="257"/>
      <c r="CF8" s="257"/>
      <c r="CG8" s="257"/>
      <c r="CH8" s="257"/>
      <c r="CI8" s="257"/>
      <c r="CJ8" s="257"/>
      <c r="CK8" s="257"/>
      <c r="CL8" s="257"/>
      <c r="CM8" s="257"/>
      <c r="CN8" s="257"/>
      <c r="CO8" s="257"/>
      <c r="CP8" s="257"/>
      <c r="CQ8" s="257"/>
      <c r="CR8" s="257"/>
      <c r="CS8" s="257"/>
      <c r="CT8" s="257"/>
      <c r="CU8" s="257"/>
      <c r="CV8" s="257"/>
    </row>
    <row r="9" spans="1:100" s="412" customFormat="1">
      <c r="A9" s="368"/>
      <c r="B9" s="368" t="s">
        <v>12</v>
      </c>
      <c r="C9" s="845" t="str">
        <f>'Sch-1'!C9</f>
        <v/>
      </c>
      <c r="D9" s="845"/>
      <c r="E9" s="845"/>
      <c r="F9" s="845"/>
      <c r="G9" s="220"/>
      <c r="H9" s="220"/>
      <c r="I9" s="220"/>
      <c r="J9" s="220"/>
      <c r="K9" s="74" t="s">
        <v>2</v>
      </c>
      <c r="L9" s="9"/>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257"/>
      <c r="BK9" s="257"/>
      <c r="BL9" s="257"/>
      <c r="BM9" s="257"/>
      <c r="BN9" s="257"/>
      <c r="BO9" s="257"/>
      <c r="BP9" s="257"/>
      <c r="BQ9" s="257"/>
      <c r="BR9" s="257"/>
      <c r="BS9" s="257"/>
      <c r="BT9" s="257"/>
      <c r="BU9" s="257"/>
      <c r="BV9" s="257"/>
      <c r="BW9" s="257"/>
      <c r="BX9" s="257"/>
      <c r="BY9" s="257"/>
      <c r="BZ9" s="257"/>
      <c r="CA9" s="257"/>
      <c r="CB9" s="257"/>
      <c r="CC9" s="257"/>
      <c r="CD9" s="257"/>
      <c r="CE9" s="257"/>
      <c r="CF9" s="257"/>
      <c r="CG9" s="257"/>
      <c r="CH9" s="257"/>
      <c r="CI9" s="257"/>
      <c r="CJ9" s="257"/>
      <c r="CK9" s="257"/>
      <c r="CL9" s="257"/>
      <c r="CM9" s="257"/>
      <c r="CN9" s="257"/>
      <c r="CO9" s="257"/>
      <c r="CP9" s="257"/>
      <c r="CQ9" s="257"/>
      <c r="CR9" s="257"/>
      <c r="CS9" s="257"/>
      <c r="CT9" s="257"/>
      <c r="CU9" s="257"/>
      <c r="CV9" s="257"/>
    </row>
    <row r="10" spans="1:100" s="412" customFormat="1">
      <c r="A10" s="368"/>
      <c r="B10" s="368" t="s">
        <v>11</v>
      </c>
      <c r="C10" s="847" t="str">
        <f>'Sch-1'!C10</f>
        <v/>
      </c>
      <c r="D10" s="847"/>
      <c r="E10" s="847"/>
      <c r="F10" s="847"/>
      <c r="G10" s="220"/>
      <c r="H10" s="220"/>
      <c r="I10" s="220"/>
      <c r="J10" s="220"/>
      <c r="K10" s="74" t="s">
        <v>3</v>
      </c>
      <c r="L10" s="9"/>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7"/>
      <c r="BL10" s="257"/>
      <c r="BM10" s="257"/>
      <c r="BN10" s="257"/>
      <c r="BO10" s="257"/>
      <c r="BP10" s="257"/>
      <c r="BQ10" s="257"/>
      <c r="BR10" s="257"/>
      <c r="BS10" s="257"/>
      <c r="BT10" s="257"/>
      <c r="BU10" s="257"/>
      <c r="BV10" s="257"/>
      <c r="BW10" s="257"/>
      <c r="BX10" s="257"/>
      <c r="BY10" s="257"/>
      <c r="BZ10" s="257"/>
      <c r="CA10" s="257"/>
      <c r="CB10" s="257"/>
      <c r="CC10" s="257"/>
      <c r="CD10" s="257"/>
      <c r="CE10" s="257"/>
      <c r="CF10" s="257"/>
      <c r="CG10" s="257"/>
      <c r="CH10" s="257"/>
      <c r="CI10" s="257"/>
      <c r="CJ10" s="257"/>
      <c r="CK10" s="257"/>
      <c r="CL10" s="257"/>
      <c r="CM10" s="257"/>
      <c r="CN10" s="257"/>
      <c r="CO10" s="257"/>
      <c r="CP10" s="257"/>
      <c r="CQ10" s="257"/>
      <c r="CR10" s="257"/>
      <c r="CS10" s="257"/>
      <c r="CT10" s="257"/>
      <c r="CU10" s="257"/>
      <c r="CV10" s="257"/>
    </row>
    <row r="11" spans="1:100" s="412" customFormat="1">
      <c r="A11" s="354"/>
      <c r="B11" s="354"/>
      <c r="C11" s="847" t="str">
        <f>'Sch-1'!C11</f>
        <v/>
      </c>
      <c r="D11" s="847"/>
      <c r="E11" s="847"/>
      <c r="F11" s="847"/>
      <c r="G11" s="220"/>
      <c r="H11" s="220"/>
      <c r="I11" s="220"/>
      <c r="J11" s="220"/>
      <c r="K11" s="74" t="s">
        <v>4</v>
      </c>
      <c r="L11" s="9"/>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7"/>
      <c r="AV11" s="257"/>
      <c r="AW11" s="257"/>
      <c r="AX11" s="257"/>
      <c r="AY11" s="257"/>
      <c r="AZ11" s="257"/>
      <c r="BA11" s="257"/>
      <c r="BB11" s="257"/>
      <c r="BC11" s="257"/>
      <c r="BD11" s="257"/>
      <c r="BE11" s="257"/>
      <c r="BF11" s="257"/>
      <c r="BG11" s="257"/>
      <c r="BH11" s="257"/>
      <c r="BI11" s="257"/>
      <c r="BJ11" s="257"/>
      <c r="BK11" s="257"/>
      <c r="BL11" s="257"/>
      <c r="BM11" s="257"/>
      <c r="BN11" s="257"/>
      <c r="BO11" s="257"/>
      <c r="BP11" s="257"/>
      <c r="BQ11" s="257"/>
      <c r="BR11" s="257"/>
      <c r="BS11" s="257"/>
      <c r="BT11" s="257"/>
      <c r="BU11" s="257"/>
      <c r="BV11" s="257"/>
      <c r="BW11" s="257"/>
      <c r="BX11" s="257"/>
      <c r="BY11" s="257"/>
      <c r="BZ11" s="257"/>
      <c r="CA11" s="257"/>
      <c r="CB11" s="257"/>
      <c r="CC11" s="257"/>
      <c r="CD11" s="257"/>
      <c r="CE11" s="257"/>
      <c r="CF11" s="257"/>
      <c r="CG11" s="257"/>
      <c r="CH11" s="257"/>
      <c r="CI11" s="257"/>
      <c r="CJ11" s="257"/>
      <c r="CK11" s="257"/>
      <c r="CL11" s="257"/>
      <c r="CM11" s="257"/>
      <c r="CN11" s="257"/>
      <c r="CO11" s="257"/>
      <c r="CP11" s="257"/>
      <c r="CQ11" s="257"/>
      <c r="CR11" s="257"/>
      <c r="CS11" s="257"/>
      <c r="CT11" s="257"/>
      <c r="CU11" s="257"/>
      <c r="CV11" s="257"/>
    </row>
    <row r="12" spans="1:100" s="412" customFormat="1">
      <c r="A12" s="354"/>
      <c r="B12" s="354"/>
      <c r="C12" s="847" t="str">
        <f>'Sch-1'!C12</f>
        <v/>
      </c>
      <c r="D12" s="847"/>
      <c r="E12" s="847"/>
      <c r="F12" s="847"/>
      <c r="G12" s="220"/>
      <c r="H12" s="220"/>
      <c r="I12" s="220"/>
      <c r="J12" s="220"/>
      <c r="K12" s="74" t="s">
        <v>5</v>
      </c>
      <c r="L12" s="9"/>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7"/>
      <c r="AQ12" s="257"/>
      <c r="AR12" s="257"/>
      <c r="AS12" s="257"/>
      <c r="AT12" s="257"/>
      <c r="AU12" s="257"/>
      <c r="AV12" s="257"/>
      <c r="AW12" s="257"/>
      <c r="AX12" s="257"/>
      <c r="AY12" s="257"/>
      <c r="AZ12" s="257"/>
      <c r="BA12" s="257"/>
      <c r="BB12" s="257"/>
      <c r="BC12" s="257"/>
      <c r="BD12" s="257"/>
      <c r="BE12" s="257"/>
      <c r="BF12" s="257"/>
      <c r="BG12" s="257"/>
      <c r="BH12" s="257"/>
      <c r="BI12" s="257"/>
      <c r="BJ12" s="257"/>
      <c r="BK12" s="257"/>
      <c r="BL12" s="257"/>
      <c r="BM12" s="257"/>
      <c r="BN12" s="257"/>
      <c r="BO12" s="257"/>
      <c r="BP12" s="257"/>
      <c r="BQ12" s="257"/>
      <c r="BR12" s="257"/>
      <c r="BS12" s="257"/>
      <c r="BT12" s="257"/>
      <c r="BU12" s="257"/>
      <c r="BV12" s="257"/>
      <c r="BW12" s="257"/>
      <c r="BX12" s="257"/>
      <c r="BY12" s="257"/>
      <c r="BZ12" s="257"/>
      <c r="CA12" s="257"/>
      <c r="CB12" s="257"/>
      <c r="CC12" s="257"/>
      <c r="CD12" s="257"/>
      <c r="CE12" s="257"/>
      <c r="CF12" s="257"/>
      <c r="CG12" s="257"/>
      <c r="CH12" s="257"/>
      <c r="CI12" s="257"/>
      <c r="CJ12" s="257"/>
      <c r="CK12" s="257"/>
      <c r="CL12" s="257"/>
      <c r="CM12" s="257"/>
      <c r="CN12" s="257"/>
      <c r="CO12" s="257"/>
      <c r="CP12" s="257"/>
      <c r="CQ12" s="257"/>
      <c r="CR12" s="257"/>
      <c r="CS12" s="257"/>
      <c r="CT12" s="257"/>
      <c r="CU12" s="257"/>
      <c r="CV12" s="257"/>
    </row>
    <row r="13" spans="1:100" s="257" customFormat="1" ht="21" customHeight="1">
      <c r="A13" s="262"/>
      <c r="B13" s="262"/>
      <c r="C13" s="262"/>
      <c r="D13" s="262"/>
      <c r="E13" s="262"/>
      <c r="F13" s="262"/>
      <c r="G13" s="262"/>
      <c r="H13" s="262"/>
      <c r="I13" s="346"/>
      <c r="J13" s="372"/>
      <c r="K13" s="74" t="s">
        <v>6</v>
      </c>
      <c r="L13" s="256"/>
      <c r="M13" s="256"/>
    </row>
    <row r="14" spans="1:100" s="257" customFormat="1" ht="27.95" customHeight="1">
      <c r="A14" s="919" t="s">
        <v>467</v>
      </c>
      <c r="B14" s="919"/>
      <c r="C14" s="919"/>
      <c r="D14" s="919"/>
      <c r="E14" s="919"/>
      <c r="F14" s="919"/>
      <c r="G14" s="919"/>
      <c r="H14" s="919"/>
      <c r="I14" s="919"/>
      <c r="J14" s="919"/>
      <c r="K14" s="919"/>
      <c r="L14" s="919"/>
      <c r="M14" s="919"/>
    </row>
    <row r="15" spans="1:100" s="257" customFormat="1" ht="115.5" customHeight="1">
      <c r="A15" s="409" t="s">
        <v>33</v>
      </c>
      <c r="B15" s="341" t="s">
        <v>255</v>
      </c>
      <c r="C15" s="341" t="s">
        <v>256</v>
      </c>
      <c r="D15" s="409" t="s">
        <v>39</v>
      </c>
      <c r="E15" s="413" t="s">
        <v>314</v>
      </c>
      <c r="F15" s="414" t="s">
        <v>315</v>
      </c>
      <c r="G15" s="414" t="s">
        <v>296</v>
      </c>
      <c r="H15" s="414" t="s">
        <v>305</v>
      </c>
      <c r="I15" s="410" t="s">
        <v>34</v>
      </c>
      <c r="J15" s="410" t="s">
        <v>9</v>
      </c>
      <c r="K15" s="410" t="s">
        <v>16</v>
      </c>
      <c r="L15" s="410" t="s">
        <v>35</v>
      </c>
      <c r="M15" s="411" t="s">
        <v>36</v>
      </c>
      <c r="AB15" s="257" t="s">
        <v>37</v>
      </c>
      <c r="AD15" s="257" t="s">
        <v>22</v>
      </c>
      <c r="AE15" s="257" t="s">
        <v>38</v>
      </c>
    </row>
    <row r="16" spans="1:100">
      <c r="A16" s="416"/>
      <c r="B16" s="416"/>
      <c r="C16" s="416"/>
      <c r="D16" s="416"/>
      <c r="E16" s="416"/>
      <c r="F16" s="416"/>
      <c r="G16" s="416"/>
      <c r="H16" s="416"/>
      <c r="I16" s="417"/>
      <c r="J16" s="418"/>
      <c r="K16" s="418"/>
      <c r="L16" s="418"/>
      <c r="M16" s="418"/>
    </row>
    <row r="17" spans="1:100" s="355" customFormat="1" ht="23.25" customHeight="1">
      <c r="A17" s="374"/>
      <c r="B17" s="374"/>
      <c r="C17" s="374"/>
      <c r="D17" s="374"/>
      <c r="F17" s="374"/>
      <c r="G17" s="419" t="s">
        <v>322</v>
      </c>
      <c r="H17" s="374"/>
      <c r="I17" s="374"/>
      <c r="J17" s="374"/>
      <c r="K17" s="374"/>
      <c r="L17" s="374"/>
      <c r="M17" s="374"/>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7"/>
      <c r="AP17" s="257"/>
      <c r="AQ17" s="257"/>
      <c r="AR17" s="257"/>
      <c r="AS17" s="257"/>
      <c r="AT17" s="257"/>
      <c r="AU17" s="257"/>
      <c r="AV17" s="257"/>
      <c r="AW17" s="257"/>
      <c r="AX17" s="257"/>
      <c r="AY17" s="257"/>
      <c r="AZ17" s="257"/>
      <c r="BA17" s="257"/>
      <c r="BB17" s="257"/>
      <c r="BC17" s="257"/>
      <c r="BD17" s="257"/>
      <c r="BE17" s="257"/>
      <c r="BF17" s="257"/>
      <c r="BG17" s="257"/>
      <c r="BH17" s="257"/>
      <c r="BI17" s="257"/>
      <c r="BJ17" s="257"/>
      <c r="BK17" s="257"/>
      <c r="BL17" s="257"/>
      <c r="BM17" s="257"/>
      <c r="BN17" s="257"/>
      <c r="BO17" s="257"/>
      <c r="BP17" s="257"/>
      <c r="BQ17" s="257"/>
      <c r="BR17" s="257"/>
      <c r="BS17" s="257"/>
      <c r="BT17" s="257"/>
      <c r="BU17" s="257"/>
      <c r="BV17" s="257"/>
      <c r="BW17" s="257"/>
      <c r="BX17" s="257"/>
      <c r="BY17" s="257"/>
      <c r="BZ17" s="257"/>
      <c r="CA17" s="257"/>
      <c r="CB17" s="257"/>
      <c r="CC17" s="257"/>
      <c r="CD17" s="257"/>
      <c r="CE17" s="257"/>
      <c r="CF17" s="257"/>
      <c r="CG17" s="257"/>
      <c r="CH17" s="257"/>
      <c r="CI17" s="257"/>
      <c r="CJ17" s="257"/>
      <c r="CK17" s="257"/>
      <c r="CL17" s="257"/>
      <c r="CM17" s="257"/>
      <c r="CN17" s="257"/>
      <c r="CO17" s="257"/>
      <c r="CP17" s="257"/>
      <c r="CQ17" s="257"/>
      <c r="CR17" s="257"/>
      <c r="CS17" s="257"/>
      <c r="CT17" s="257"/>
      <c r="CU17" s="257"/>
      <c r="CV17" s="257"/>
    </row>
    <row r="18" spans="1:100" ht="22.5" customHeight="1">
      <c r="A18" s="920"/>
      <c r="B18" s="920"/>
      <c r="C18" s="920"/>
      <c r="D18" s="920"/>
      <c r="E18" s="920"/>
      <c r="F18" s="920"/>
      <c r="G18" s="920"/>
      <c r="H18" s="920"/>
      <c r="I18" s="920"/>
      <c r="J18" s="420"/>
      <c r="K18" s="420"/>
      <c r="L18" s="420"/>
      <c r="M18" s="420"/>
    </row>
    <row r="19" spans="1:100" ht="26.25" customHeight="1">
      <c r="B19" s="325"/>
      <c r="C19" s="326"/>
      <c r="D19" s="326"/>
      <c r="E19" s="326"/>
      <c r="F19" s="326"/>
      <c r="G19" s="326"/>
      <c r="H19" s="326"/>
      <c r="I19" s="326"/>
      <c r="J19" s="326"/>
      <c r="K19" s="326"/>
      <c r="L19" s="327"/>
      <c r="M19" s="415"/>
    </row>
    <row r="20" spans="1:100">
      <c r="B20" s="326"/>
      <c r="C20" s="326"/>
      <c r="D20" s="326"/>
      <c r="E20" s="326"/>
      <c r="F20" s="326"/>
      <c r="G20" s="326"/>
      <c r="H20" s="326"/>
      <c r="I20" s="326"/>
      <c r="J20" s="326"/>
      <c r="K20" s="326"/>
      <c r="L20" s="328"/>
      <c r="M20" s="415"/>
    </row>
    <row r="21" spans="1:100" s="375" customFormat="1">
      <c r="B21" s="375" t="s">
        <v>302</v>
      </c>
      <c r="C21" s="921" t="str">
        <f>'Sch-6 (After Discount)'!B31</f>
        <v xml:space="preserve">  </v>
      </c>
      <c r="D21" s="916"/>
      <c r="H21" s="917" t="s">
        <v>304</v>
      </c>
      <c r="I21" s="917"/>
      <c r="J21" s="914" t="str">
        <f>'Sch-6 (After Discount)'!D31</f>
        <v/>
      </c>
      <c r="K21" s="914"/>
      <c r="L21" s="914"/>
      <c r="M21" s="914"/>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7"/>
      <c r="BA21" s="257"/>
      <c r="BB21" s="257"/>
      <c r="BC21" s="257"/>
      <c r="BD21" s="257"/>
      <c r="BE21" s="257"/>
      <c r="BF21" s="257"/>
      <c r="BG21" s="257"/>
      <c r="BH21" s="257"/>
      <c r="BI21" s="257"/>
      <c r="BJ21" s="257"/>
      <c r="BK21" s="257"/>
      <c r="BL21" s="257"/>
      <c r="BM21" s="257"/>
      <c r="BN21" s="257"/>
      <c r="BO21" s="257"/>
      <c r="BP21" s="257"/>
      <c r="BQ21" s="257"/>
      <c r="BR21" s="257"/>
      <c r="BS21" s="257"/>
      <c r="BT21" s="257"/>
      <c r="BU21" s="257"/>
      <c r="BV21" s="257"/>
      <c r="BW21" s="257"/>
      <c r="BX21" s="257"/>
      <c r="BY21" s="257"/>
      <c r="BZ21" s="257"/>
      <c r="CA21" s="257"/>
      <c r="CB21" s="257"/>
      <c r="CC21" s="257"/>
      <c r="CD21" s="257"/>
      <c r="CE21" s="257"/>
      <c r="CF21" s="257"/>
      <c r="CG21" s="257"/>
      <c r="CH21" s="257"/>
      <c r="CI21" s="257"/>
      <c r="CJ21" s="257"/>
      <c r="CK21" s="257"/>
      <c r="CL21" s="257"/>
      <c r="CM21" s="257"/>
      <c r="CN21" s="257"/>
      <c r="CO21" s="257"/>
      <c r="CP21" s="257"/>
      <c r="CQ21" s="257"/>
      <c r="CR21" s="257"/>
      <c r="CS21" s="257"/>
      <c r="CT21" s="257"/>
      <c r="CU21" s="257"/>
      <c r="CV21" s="257"/>
    </row>
    <row r="22" spans="1:100" s="375" customFormat="1" ht="16.5" customHeight="1">
      <c r="B22" s="375" t="s">
        <v>303</v>
      </c>
      <c r="C22" s="915" t="str">
        <f>'Sch-6'!B32</f>
        <v/>
      </c>
      <c r="D22" s="916"/>
      <c r="H22" s="917" t="s">
        <v>119</v>
      </c>
      <c r="I22" s="917"/>
      <c r="J22" s="914" t="str">
        <f>'Sch-6 (After Discount)'!D32</f>
        <v/>
      </c>
      <c r="K22" s="914"/>
      <c r="L22" s="914"/>
      <c r="M22" s="914"/>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c r="AT22" s="257"/>
      <c r="AU22" s="257"/>
      <c r="AV22" s="257"/>
      <c r="AW22" s="257"/>
      <c r="AX22" s="257"/>
      <c r="AY22" s="257"/>
      <c r="AZ22" s="257"/>
      <c r="BA22" s="257"/>
      <c r="BB22" s="257"/>
      <c r="BC22" s="257"/>
      <c r="BD22" s="257"/>
      <c r="BE22" s="257"/>
      <c r="BF22" s="257"/>
      <c r="BG22" s="257"/>
      <c r="BH22" s="257"/>
      <c r="BI22" s="257"/>
      <c r="BJ22" s="257"/>
      <c r="BK22" s="257"/>
      <c r="BL22" s="257"/>
      <c r="BM22" s="257"/>
      <c r="BN22" s="257"/>
      <c r="BO22" s="257"/>
      <c r="BP22" s="257"/>
      <c r="BQ22" s="257"/>
      <c r="BR22" s="257"/>
      <c r="BS22" s="257"/>
      <c r="BT22" s="257"/>
      <c r="BU22" s="257"/>
      <c r="BV22" s="257"/>
      <c r="BW22" s="257"/>
      <c r="BX22" s="257"/>
      <c r="BY22" s="257"/>
      <c r="BZ22" s="257"/>
      <c r="CA22" s="257"/>
      <c r="CB22" s="257"/>
      <c r="CC22" s="257"/>
      <c r="CD22" s="257"/>
      <c r="CE22" s="257"/>
      <c r="CF22" s="257"/>
      <c r="CG22" s="257"/>
      <c r="CH22" s="257"/>
      <c r="CI22" s="257"/>
      <c r="CJ22" s="257"/>
      <c r="CK22" s="257"/>
      <c r="CL22" s="257"/>
      <c r="CM22" s="257"/>
      <c r="CN22" s="257"/>
      <c r="CO22" s="257"/>
      <c r="CP22" s="257"/>
      <c r="CQ22" s="257"/>
      <c r="CR22" s="257"/>
      <c r="CS22" s="257"/>
      <c r="CT22" s="257"/>
      <c r="CU22" s="257"/>
      <c r="CV22" s="257"/>
    </row>
    <row r="23" spans="1:100">
      <c r="B23" s="922"/>
      <c r="C23" s="922"/>
      <c r="D23" s="922"/>
      <c r="E23" s="922"/>
      <c r="F23" s="922"/>
      <c r="G23" s="922"/>
      <c r="H23" s="922"/>
      <c r="I23" s="922"/>
      <c r="J23" s="922"/>
      <c r="K23" s="922"/>
      <c r="L23" s="922"/>
      <c r="M23" s="415"/>
    </row>
    <row r="24" spans="1:100">
      <c r="B24" s="329"/>
      <c r="C24" s="329"/>
      <c r="D24" s="923"/>
      <c r="E24" s="923"/>
      <c r="F24" s="923"/>
      <c r="G24" s="923"/>
      <c r="H24" s="923"/>
      <c r="I24" s="923"/>
      <c r="J24" s="923"/>
      <c r="K24" s="923"/>
      <c r="L24" s="923"/>
      <c r="M24" s="415"/>
    </row>
    <row r="25" spans="1:100">
      <c r="B25" s="330"/>
      <c r="C25" s="331"/>
      <c r="D25" s="923"/>
      <c r="E25" s="923"/>
      <c r="F25" s="923"/>
      <c r="G25" s="923"/>
      <c r="H25" s="923"/>
      <c r="I25" s="923"/>
      <c r="J25" s="923"/>
      <c r="K25" s="923"/>
      <c r="L25" s="923"/>
      <c r="M25" s="415"/>
    </row>
    <row r="26" spans="1:100">
      <c r="B26" s="330"/>
      <c r="C26" s="332"/>
      <c r="D26" s="923"/>
      <c r="E26" s="923"/>
      <c r="F26" s="923"/>
      <c r="G26" s="923"/>
      <c r="H26" s="923"/>
      <c r="I26" s="923"/>
      <c r="J26" s="923"/>
      <c r="K26" s="923"/>
      <c r="L26" s="923"/>
      <c r="M26" s="415"/>
    </row>
    <row r="27" spans="1:100">
      <c r="B27" s="8"/>
      <c r="C27" s="7"/>
      <c r="D27" s="923"/>
      <c r="E27" s="923"/>
      <c r="F27" s="923"/>
      <c r="G27" s="923"/>
      <c r="H27" s="923"/>
      <c r="I27" s="923"/>
      <c r="J27" s="923"/>
      <c r="K27" s="923"/>
      <c r="L27" s="923"/>
      <c r="M27" s="415"/>
    </row>
    <row r="28" spans="1:100">
      <c r="B28" s="8"/>
      <c r="C28" s="7"/>
      <c r="D28" s="326"/>
      <c r="E28" s="326"/>
      <c r="F28" s="326"/>
      <c r="G28" s="326"/>
      <c r="H28" s="326"/>
      <c r="I28" s="326"/>
      <c r="J28" s="326"/>
      <c r="K28" s="326"/>
      <c r="L28" s="326"/>
      <c r="M28" s="415"/>
    </row>
    <row r="29" spans="1:100">
      <c r="B29" s="333"/>
      <c r="C29" s="924"/>
      <c r="D29" s="924"/>
      <c r="E29" s="924"/>
      <c r="F29" s="924"/>
      <c r="G29" s="924"/>
      <c r="H29" s="924"/>
      <c r="I29" s="924"/>
      <c r="J29" s="924"/>
      <c r="K29" s="924"/>
      <c r="L29" s="334"/>
      <c r="M29" s="415"/>
    </row>
    <row r="59" spans="1:100" s="221" customFormat="1">
      <c r="A59" s="226"/>
      <c r="B59" s="226"/>
      <c r="C59" s="226"/>
      <c r="D59" s="226"/>
      <c r="E59" s="226"/>
      <c r="F59" s="226"/>
      <c r="G59" s="226"/>
      <c r="H59" s="226"/>
      <c r="I59" s="347"/>
      <c r="J59" s="227"/>
      <c r="K59" s="227"/>
      <c r="L59" s="227"/>
      <c r="M59" s="22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L59" s="257"/>
      <c r="AM59" s="257"/>
      <c r="AN59" s="257"/>
      <c r="AO59" s="257"/>
      <c r="AP59" s="257"/>
      <c r="AQ59" s="257"/>
      <c r="AR59" s="257"/>
      <c r="AS59" s="257"/>
      <c r="AT59" s="257"/>
      <c r="AU59" s="257"/>
      <c r="AV59" s="257"/>
      <c r="AW59" s="257"/>
      <c r="AX59" s="257"/>
      <c r="AY59" s="257"/>
      <c r="AZ59" s="257"/>
      <c r="BA59" s="257"/>
      <c r="BB59" s="257"/>
      <c r="BC59" s="257"/>
      <c r="BD59" s="257"/>
      <c r="BE59" s="257"/>
      <c r="BF59" s="257"/>
      <c r="BG59" s="257"/>
      <c r="BH59" s="257"/>
      <c r="BI59" s="257"/>
      <c r="BJ59" s="257"/>
      <c r="BK59" s="257"/>
      <c r="BL59" s="257"/>
      <c r="BM59" s="257"/>
      <c r="BN59" s="257"/>
      <c r="BO59" s="257"/>
      <c r="BP59" s="257"/>
      <c r="BQ59" s="257"/>
      <c r="BR59" s="257"/>
      <c r="BS59" s="257"/>
      <c r="BT59" s="257"/>
      <c r="BU59" s="257"/>
      <c r="BV59" s="257"/>
      <c r="BW59" s="257"/>
      <c r="BX59" s="257"/>
      <c r="BY59" s="257"/>
      <c r="BZ59" s="257"/>
      <c r="CA59" s="257"/>
      <c r="CB59" s="257"/>
      <c r="CC59" s="257"/>
      <c r="CD59" s="257"/>
      <c r="CE59" s="257"/>
      <c r="CF59" s="257"/>
      <c r="CG59" s="257"/>
      <c r="CH59" s="257"/>
      <c r="CI59" s="257"/>
      <c r="CJ59" s="257"/>
      <c r="CK59" s="257"/>
      <c r="CL59" s="257"/>
      <c r="CM59" s="257"/>
      <c r="CN59" s="257"/>
      <c r="CO59" s="257"/>
      <c r="CP59" s="257"/>
      <c r="CQ59" s="257"/>
      <c r="CR59" s="257"/>
      <c r="CS59" s="257"/>
      <c r="CT59" s="257"/>
      <c r="CU59" s="257"/>
      <c r="CV59" s="257"/>
    </row>
    <row r="60" spans="1:100" s="221" customFormat="1">
      <c r="A60" s="226"/>
      <c r="B60" s="226"/>
      <c r="C60" s="226"/>
      <c r="D60" s="226"/>
      <c r="E60" s="226"/>
      <c r="F60" s="226"/>
      <c r="G60" s="226"/>
      <c r="H60" s="226"/>
      <c r="I60" s="347"/>
      <c r="J60" s="227"/>
      <c r="K60" s="227"/>
      <c r="L60" s="227"/>
      <c r="M60" s="22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c r="AN60" s="257"/>
      <c r="AO60" s="257"/>
      <c r="AP60" s="257"/>
      <c r="AQ60" s="257"/>
      <c r="AR60" s="257"/>
      <c r="AS60" s="257"/>
      <c r="AT60" s="257"/>
      <c r="AU60" s="257"/>
      <c r="AV60" s="257"/>
      <c r="AW60" s="257"/>
      <c r="AX60" s="257"/>
      <c r="AY60" s="257"/>
      <c r="AZ60" s="257"/>
      <c r="BA60" s="257"/>
      <c r="BB60" s="257"/>
      <c r="BC60" s="257"/>
      <c r="BD60" s="257"/>
      <c r="BE60" s="257"/>
      <c r="BF60" s="257"/>
      <c r="BG60" s="257"/>
      <c r="BH60" s="257"/>
      <c r="BI60" s="257"/>
      <c r="BJ60" s="257"/>
      <c r="BK60" s="257"/>
      <c r="BL60" s="257"/>
      <c r="BM60" s="257"/>
      <c r="BN60" s="257"/>
      <c r="BO60" s="257"/>
      <c r="BP60" s="257"/>
      <c r="BQ60" s="257"/>
      <c r="BR60" s="257"/>
      <c r="BS60" s="257"/>
      <c r="BT60" s="257"/>
      <c r="BU60" s="257"/>
      <c r="BV60" s="257"/>
      <c r="BW60" s="257"/>
      <c r="BX60" s="257"/>
      <c r="BY60" s="257"/>
      <c r="BZ60" s="257"/>
      <c r="CA60" s="257"/>
      <c r="CB60" s="257"/>
      <c r="CC60" s="257"/>
      <c r="CD60" s="257"/>
      <c r="CE60" s="257"/>
      <c r="CF60" s="257"/>
      <c r="CG60" s="257"/>
      <c r="CH60" s="257"/>
      <c r="CI60" s="257"/>
      <c r="CJ60" s="257"/>
      <c r="CK60" s="257"/>
      <c r="CL60" s="257"/>
      <c r="CM60" s="257"/>
      <c r="CN60" s="257"/>
      <c r="CO60" s="257"/>
      <c r="CP60" s="257"/>
      <c r="CQ60" s="257"/>
      <c r="CR60" s="257"/>
      <c r="CS60" s="257"/>
      <c r="CT60" s="257"/>
      <c r="CU60" s="257"/>
      <c r="CV60" s="257"/>
    </row>
    <row r="61" spans="1:100" s="221" customFormat="1">
      <c r="A61" s="226"/>
      <c r="B61" s="226"/>
      <c r="C61" s="226"/>
      <c r="D61" s="226"/>
      <c r="E61" s="226"/>
      <c r="F61" s="226"/>
      <c r="G61" s="226"/>
      <c r="H61" s="226"/>
      <c r="I61" s="347"/>
      <c r="J61" s="227"/>
      <c r="K61" s="227"/>
      <c r="L61" s="227"/>
      <c r="M61" s="22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257"/>
      <c r="AM61" s="257"/>
      <c r="AN61" s="257"/>
      <c r="AO61" s="257"/>
      <c r="AP61" s="257"/>
      <c r="AQ61" s="257"/>
      <c r="AR61" s="257"/>
      <c r="AS61" s="257"/>
      <c r="AT61" s="257"/>
      <c r="AU61" s="257"/>
      <c r="AV61" s="257"/>
      <c r="AW61" s="257"/>
      <c r="AX61" s="257"/>
      <c r="AY61" s="257"/>
      <c r="AZ61" s="257"/>
      <c r="BA61" s="257"/>
      <c r="BB61" s="257"/>
      <c r="BC61" s="257"/>
      <c r="BD61" s="257"/>
      <c r="BE61" s="257"/>
      <c r="BF61" s="257"/>
      <c r="BG61" s="257"/>
      <c r="BH61" s="257"/>
      <c r="BI61" s="257"/>
      <c r="BJ61" s="257"/>
      <c r="BK61" s="257"/>
      <c r="BL61" s="257"/>
      <c r="BM61" s="257"/>
      <c r="BN61" s="257"/>
      <c r="BO61" s="257"/>
      <c r="BP61" s="257"/>
      <c r="BQ61" s="257"/>
      <c r="BR61" s="257"/>
      <c r="BS61" s="257"/>
      <c r="BT61" s="257"/>
      <c r="BU61" s="257"/>
      <c r="BV61" s="257"/>
      <c r="BW61" s="257"/>
      <c r="BX61" s="257"/>
      <c r="BY61" s="257"/>
      <c r="BZ61" s="257"/>
      <c r="CA61" s="257"/>
      <c r="CB61" s="257"/>
      <c r="CC61" s="257"/>
      <c r="CD61" s="257"/>
      <c r="CE61" s="257"/>
      <c r="CF61" s="257"/>
      <c r="CG61" s="257"/>
      <c r="CH61" s="257"/>
      <c r="CI61" s="257"/>
      <c r="CJ61" s="257"/>
      <c r="CK61" s="257"/>
      <c r="CL61" s="257"/>
      <c r="CM61" s="257"/>
      <c r="CN61" s="257"/>
      <c r="CO61" s="257"/>
      <c r="CP61" s="257"/>
      <c r="CQ61" s="257"/>
      <c r="CR61" s="257"/>
      <c r="CS61" s="257"/>
      <c r="CT61" s="257"/>
      <c r="CU61" s="257"/>
      <c r="CV61" s="257"/>
    </row>
    <row r="62" spans="1:100" ht="16.5" hidden="1" customHeight="1">
      <c r="A62" s="228" t="str">
        <f>A1</f>
        <v>Spec No: CC/NT/W-AIS/DOM/A10/24/03802</v>
      </c>
      <c r="B62" s="228"/>
      <c r="C62" s="228"/>
      <c r="D62" s="228"/>
      <c r="E62" s="228"/>
      <c r="F62" s="228"/>
      <c r="G62" s="228"/>
      <c r="H62" s="228"/>
      <c r="I62" s="348"/>
      <c r="J62" s="229"/>
      <c r="K62" s="229"/>
      <c r="L62" s="229"/>
      <c r="M62" s="229"/>
    </row>
    <row r="63" spans="1:100" ht="16.5" hidden="1" customHeight="1">
      <c r="A63" s="223"/>
      <c r="B63" s="223"/>
      <c r="C63" s="223"/>
      <c r="D63" s="223"/>
      <c r="E63" s="223"/>
      <c r="F63" s="223"/>
      <c r="G63" s="223"/>
      <c r="H63" s="223"/>
      <c r="I63" s="349"/>
      <c r="J63" s="224"/>
      <c r="K63" s="224"/>
      <c r="L63" s="224"/>
      <c r="M63" s="224"/>
    </row>
    <row r="64" spans="1:100" ht="35.25" hidden="1" customHeight="1">
      <c r="A64" s="925" t="str">
        <f>A3</f>
        <v>765kV AIS Substation Extension Package SS-124 (including 765/400kV GIS Bus Duct) for (i) Extension of 765/400kV Indore Substation under Augmentation of transformation capacity at 765/400kV Indore S/S in Madhya Pradesh; (ii) Extension of 400kV Indore (PG) S/s under Implementation of 400kV line bay at 765/400/220kV Indore (PG) S/s in MP for RE interconnection; (iii) Extension of 400kV Parli (New) S/s under Implementation of 400kV line bay at 765/400kV Parli (New) S/s for interconnection of RE project and (iv) Extension of 400/220kV Bhuj GIS PS under Augmentation of transformation capacity at 400/220kV Bhuj PS in Gujarat by 1x500MVA, 400/220kV ICT (9th)</v>
      </c>
      <c r="B64" s="925"/>
      <c r="C64" s="925"/>
      <c r="D64" s="925"/>
      <c r="E64" s="925"/>
      <c r="F64" s="925"/>
      <c r="G64" s="925"/>
      <c r="H64" s="925"/>
      <c r="I64" s="925">
        <f>I3</f>
        <v>0</v>
      </c>
      <c r="J64" s="925">
        <f>J3</f>
        <v>0</v>
      </c>
      <c r="K64" s="925"/>
      <c r="L64" s="925"/>
      <c r="M64" s="925"/>
    </row>
    <row r="65" spans="1:13" ht="16.5" hidden="1" customHeight="1">
      <c r="A65" s="918" t="str">
        <f>A4</f>
        <v>(SCHEDULE OF RATES AND PRICES )</v>
      </c>
      <c r="B65" s="918"/>
      <c r="C65" s="918"/>
      <c r="D65" s="918"/>
      <c r="E65" s="918"/>
      <c r="F65" s="918"/>
      <c r="G65" s="918"/>
      <c r="H65" s="918"/>
      <c r="I65" s="918">
        <f>I4</f>
        <v>0</v>
      </c>
      <c r="J65" s="918">
        <f>J4</f>
        <v>0</v>
      </c>
      <c r="K65" s="918"/>
      <c r="L65" s="918"/>
      <c r="M65" s="918"/>
    </row>
    <row r="66" spans="1:13" ht="16.5" hidden="1" customHeight="1">
      <c r="A66" s="230"/>
      <c r="B66" s="230"/>
      <c r="C66" s="230"/>
      <c r="D66" s="230"/>
      <c r="E66" s="230"/>
      <c r="F66" s="230"/>
      <c r="G66" s="230"/>
      <c r="H66" s="230"/>
      <c r="I66" s="371"/>
      <c r="J66" s="373"/>
      <c r="K66" s="373"/>
      <c r="L66" s="373"/>
      <c r="M66" s="373"/>
    </row>
    <row r="67" spans="1:13" ht="16.5" hidden="1" customHeight="1">
      <c r="A67" s="231" t="e">
        <f>#REF!</f>
        <v>#REF!</v>
      </c>
      <c r="B67" s="231"/>
      <c r="C67" s="231"/>
      <c r="D67" s="231"/>
      <c r="E67" s="231"/>
      <c r="F67" s="231"/>
      <c r="G67" s="231"/>
      <c r="H67" s="231"/>
      <c r="I67" s="350"/>
      <c r="J67" s="232"/>
      <c r="K67" s="232"/>
      <c r="L67" s="232"/>
      <c r="M67" s="232"/>
    </row>
    <row r="68" spans="1:13" ht="16.5" hidden="1" customHeight="1">
      <c r="A68" s="927" t="e">
        <f>#REF!</f>
        <v>#REF!</v>
      </c>
      <c r="B68" s="927"/>
      <c r="C68" s="927"/>
      <c r="D68" s="927"/>
      <c r="E68" s="927"/>
      <c r="F68" s="927"/>
      <c r="G68" s="927"/>
      <c r="H68" s="927"/>
      <c r="I68" s="927" t="e">
        <f>#REF!</f>
        <v>#REF!</v>
      </c>
      <c r="J68" s="927" t="e">
        <f>#REF!</f>
        <v>#REF!</v>
      </c>
      <c r="K68" s="369"/>
      <c r="L68" s="369"/>
      <c r="M68" s="369"/>
    </row>
    <row r="69" spans="1:13" ht="16.5" hidden="1" customHeight="1">
      <c r="A69" s="233" t="e">
        <f>#REF!</f>
        <v>#REF!</v>
      </c>
      <c r="B69" s="233"/>
      <c r="C69" s="233"/>
      <c r="D69" s="233"/>
      <c r="E69" s="233"/>
      <c r="F69" s="233"/>
      <c r="G69" s="233"/>
      <c r="H69" s="233"/>
      <c r="I69" s="926" t="e">
        <f>#REF!</f>
        <v>#REF!</v>
      </c>
      <c r="J69" s="926" t="e">
        <f>#REF!</f>
        <v>#REF!</v>
      </c>
      <c r="K69" s="370"/>
      <c r="L69" s="370"/>
      <c r="M69" s="370"/>
    </row>
    <row r="70" spans="1:13" ht="16.5" hidden="1" customHeight="1">
      <c r="A70" s="233" t="e">
        <f>#REF!</f>
        <v>#REF!</v>
      </c>
      <c r="B70" s="233"/>
      <c r="C70" s="233"/>
      <c r="D70" s="233"/>
      <c r="E70" s="233"/>
      <c r="F70" s="233"/>
      <c r="G70" s="233"/>
      <c r="H70" s="233"/>
      <c r="I70" s="926" t="e">
        <f>#REF!</f>
        <v>#REF!</v>
      </c>
      <c r="J70" s="926" t="e">
        <f>#REF!</f>
        <v>#REF!</v>
      </c>
      <c r="K70" s="370"/>
      <c r="L70" s="370"/>
      <c r="M70" s="370"/>
    </row>
    <row r="71" spans="1:13" ht="16.5" hidden="1" customHeight="1">
      <c r="A71" s="234"/>
      <c r="B71" s="234"/>
      <c r="C71" s="234"/>
      <c r="D71" s="234"/>
      <c r="E71" s="234"/>
      <c r="F71" s="234"/>
      <c r="G71" s="234"/>
      <c r="H71" s="234"/>
      <c r="I71" s="926" t="e">
        <f>#REF!</f>
        <v>#REF!</v>
      </c>
      <c r="J71" s="926" t="e">
        <f>#REF!</f>
        <v>#REF!</v>
      </c>
      <c r="K71" s="370"/>
      <c r="L71" s="370"/>
      <c r="M71" s="370"/>
    </row>
    <row r="72" spans="1:13" ht="16.5" hidden="1" customHeight="1">
      <c r="A72" s="234"/>
      <c r="B72" s="234"/>
      <c r="C72" s="234"/>
      <c r="D72" s="234"/>
      <c r="E72" s="234"/>
      <c r="F72" s="234"/>
      <c r="G72" s="234"/>
      <c r="H72" s="234"/>
      <c r="I72" s="926">
        <f>C5</f>
        <v>0</v>
      </c>
      <c r="J72" s="926">
        <f>D5</f>
        <v>0</v>
      </c>
      <c r="K72" s="370"/>
      <c r="L72" s="370"/>
      <c r="M72" s="370"/>
    </row>
    <row r="73" spans="1:13" ht="16.5" hidden="1" customHeight="1"/>
    <row r="74" spans="1:13" ht="33.75" hidden="1" customHeight="1">
      <c r="A74" s="236" t="str">
        <f>A15</f>
        <v>SL. NO.</v>
      </c>
      <c r="B74" s="236"/>
      <c r="C74" s="236"/>
      <c r="D74" s="236"/>
      <c r="E74" s="236"/>
      <c r="F74" s="236"/>
      <c r="G74" s="236"/>
      <c r="H74" s="236"/>
      <c r="I74" s="237" t="str">
        <f>I15</f>
        <v>Description of Test</v>
      </c>
      <c r="J74" s="929" t="e">
        <f>#REF!</f>
        <v>#REF!</v>
      </c>
      <c r="K74" s="929"/>
      <c r="L74" s="929"/>
      <c r="M74" s="929"/>
    </row>
    <row r="75" spans="1:13" ht="16.5" hidden="1" customHeight="1">
      <c r="A75" s="373" t="e">
        <f>#REF!</f>
        <v>#REF!</v>
      </c>
      <c r="B75" s="373"/>
      <c r="C75" s="373"/>
      <c r="D75" s="373"/>
      <c r="E75" s="373"/>
      <c r="F75" s="373"/>
      <c r="G75" s="373"/>
      <c r="H75" s="373"/>
      <c r="I75" s="371" t="e">
        <f>#REF!</f>
        <v>#REF!</v>
      </c>
      <c r="J75" s="930" t="e">
        <f>#REF!</f>
        <v>#REF!</v>
      </c>
      <c r="K75" s="930"/>
      <c r="L75" s="930"/>
      <c r="M75" s="930"/>
    </row>
    <row r="76" spans="1:13" ht="16.5" hidden="1" customHeight="1">
      <c r="A76" s="238" t="e">
        <f>#REF!</f>
        <v>#REF!</v>
      </c>
      <c r="B76" s="238"/>
      <c r="C76" s="238"/>
      <c r="D76" s="238"/>
      <c r="E76" s="238"/>
      <c r="F76" s="238"/>
      <c r="G76" s="238"/>
      <c r="H76" s="238"/>
      <c r="I76" s="239" t="e">
        <f>#REF!</f>
        <v>#REF!</v>
      </c>
      <c r="J76" s="930"/>
      <c r="K76" s="930"/>
      <c r="L76" s="930"/>
      <c r="M76" s="930"/>
    </row>
    <row r="77" spans="1:13" ht="16.5" hidden="1" customHeight="1">
      <c r="A77" s="240" t="e">
        <f>#REF!</f>
        <v>#REF!</v>
      </c>
      <c r="B77" s="240"/>
      <c r="C77" s="240"/>
      <c r="D77" s="240"/>
      <c r="E77" s="240"/>
      <c r="F77" s="240"/>
      <c r="G77" s="240"/>
      <c r="H77" s="240"/>
      <c r="I77" s="241" t="e">
        <f>#REF!</f>
        <v>#REF!</v>
      </c>
      <c r="J77" s="928" t="e">
        <f>#REF!</f>
        <v>#REF!</v>
      </c>
      <c r="K77" s="928"/>
      <c r="L77" s="928"/>
      <c r="M77" s="928"/>
    </row>
    <row r="78" spans="1:13" ht="16.5" hidden="1" customHeight="1">
      <c r="A78" s="240" t="e">
        <f>#REF!</f>
        <v>#REF!</v>
      </c>
      <c r="B78" s="240"/>
      <c r="C78" s="240"/>
      <c r="D78" s="240"/>
      <c r="E78" s="240"/>
      <c r="F78" s="240"/>
      <c r="G78" s="240"/>
      <c r="H78" s="240"/>
      <c r="I78" s="241" t="e">
        <f>#REF!</f>
        <v>#REF!</v>
      </c>
      <c r="J78" s="928" t="e">
        <f>#REF!</f>
        <v>#REF!</v>
      </c>
      <c r="K78" s="928"/>
      <c r="L78" s="928"/>
      <c r="M78" s="928"/>
    </row>
    <row r="79" spans="1:13" ht="20.100000000000001" hidden="1" customHeight="1">
      <c r="A79" s="242"/>
      <c r="B79" s="242"/>
      <c r="C79" s="242"/>
      <c r="D79" s="242"/>
      <c r="E79" s="242"/>
      <c r="F79" s="242"/>
      <c r="G79" s="242"/>
      <c r="H79" s="242"/>
      <c r="I79" s="239" t="e">
        <f>#REF!</f>
        <v>#REF!</v>
      </c>
      <c r="J79" s="928" t="e">
        <f>#REF!</f>
        <v>#REF!</v>
      </c>
      <c r="K79" s="928"/>
      <c r="L79" s="928"/>
      <c r="M79" s="928"/>
    </row>
    <row r="80" spans="1:13" ht="16.5" hidden="1" customHeight="1">
      <c r="A80" s="238" t="e">
        <f>#REF!</f>
        <v>#REF!</v>
      </c>
      <c r="B80" s="238"/>
      <c r="C80" s="238"/>
      <c r="D80" s="238"/>
      <c r="E80" s="238"/>
      <c r="F80" s="238"/>
      <c r="G80" s="238"/>
      <c r="H80" s="238"/>
      <c r="I80" s="239" t="e">
        <f>#REF!</f>
        <v>#REF!</v>
      </c>
      <c r="J80" s="928"/>
      <c r="K80" s="928"/>
      <c r="L80" s="928"/>
      <c r="M80" s="928"/>
    </row>
    <row r="81" spans="1:100" ht="16.5" hidden="1" customHeight="1">
      <c r="A81" s="243" t="e">
        <f>#REF!</f>
        <v>#REF!</v>
      </c>
      <c r="B81" s="243"/>
      <c r="C81" s="243"/>
      <c r="D81" s="243"/>
      <c r="E81" s="243"/>
      <c r="F81" s="243"/>
      <c r="G81" s="243"/>
      <c r="H81" s="243"/>
      <c r="I81" s="239" t="e">
        <f>#REF!</f>
        <v>#REF!</v>
      </c>
      <c r="J81" s="928"/>
      <c r="K81" s="928"/>
      <c r="L81" s="928"/>
      <c r="M81" s="928"/>
    </row>
    <row r="82" spans="1:100" ht="16.5" hidden="1" customHeight="1">
      <c r="A82" s="244" t="e">
        <f>#REF!</f>
        <v>#REF!</v>
      </c>
      <c r="B82" s="244"/>
      <c r="C82" s="244"/>
      <c r="D82" s="244"/>
      <c r="E82" s="244"/>
      <c r="F82" s="244"/>
      <c r="G82" s="244"/>
      <c r="H82" s="244"/>
      <c r="I82" s="239" t="e">
        <f>#REF!</f>
        <v>#REF!</v>
      </c>
      <c r="J82" s="928"/>
      <c r="K82" s="928"/>
      <c r="L82" s="928"/>
      <c r="M82" s="928"/>
    </row>
    <row r="83" spans="1:100" ht="16.5" hidden="1" customHeight="1">
      <c r="A83" s="240" t="e">
        <f>#REF!</f>
        <v>#REF!</v>
      </c>
      <c r="B83" s="240"/>
      <c r="C83" s="240"/>
      <c r="D83" s="240"/>
      <c r="E83" s="240"/>
      <c r="F83" s="240"/>
      <c r="G83" s="240"/>
      <c r="H83" s="240"/>
      <c r="I83" s="241" t="e">
        <f>#REF!</f>
        <v>#REF!</v>
      </c>
      <c r="J83" s="928" t="e">
        <f>#REF!</f>
        <v>#REF!</v>
      </c>
      <c r="K83" s="928"/>
      <c r="L83" s="928"/>
      <c r="M83" s="928"/>
    </row>
    <row r="84" spans="1:100" ht="16.5" hidden="1" customHeight="1">
      <c r="A84" s="240" t="e">
        <f>#REF!</f>
        <v>#REF!</v>
      </c>
      <c r="B84" s="240"/>
      <c r="C84" s="240"/>
      <c r="D84" s="240"/>
      <c r="E84" s="240"/>
      <c r="F84" s="240"/>
      <c r="G84" s="240"/>
      <c r="H84" s="240"/>
      <c r="I84" s="241" t="e">
        <f>#REF!</f>
        <v>#REF!</v>
      </c>
      <c r="J84" s="928" t="e">
        <f>#REF!</f>
        <v>#REF!</v>
      </c>
      <c r="K84" s="928"/>
      <c r="L84" s="928"/>
      <c r="M84" s="928"/>
    </row>
    <row r="85" spans="1:100" ht="16.5" hidden="1" customHeight="1">
      <c r="A85" s="240" t="e">
        <f>#REF!</f>
        <v>#REF!</v>
      </c>
      <c r="B85" s="240"/>
      <c r="C85" s="240"/>
      <c r="D85" s="240"/>
      <c r="E85" s="240"/>
      <c r="F85" s="240"/>
      <c r="G85" s="240"/>
      <c r="H85" s="240"/>
      <c r="I85" s="241" t="e">
        <f>#REF!</f>
        <v>#REF!</v>
      </c>
      <c r="J85" s="928" t="e">
        <f>#REF!</f>
        <v>#REF!</v>
      </c>
      <c r="K85" s="928"/>
      <c r="L85" s="928"/>
      <c r="M85" s="928"/>
    </row>
    <row r="86" spans="1:100" ht="16.5" hidden="1" customHeight="1">
      <c r="A86" s="240" t="e">
        <f>#REF!</f>
        <v>#REF!</v>
      </c>
      <c r="B86" s="240"/>
      <c r="C86" s="240"/>
      <c r="D86" s="240"/>
      <c r="E86" s="240"/>
      <c r="F86" s="240"/>
      <c r="G86" s="240"/>
      <c r="H86" s="240"/>
      <c r="I86" s="241" t="e">
        <f>#REF!</f>
        <v>#REF!</v>
      </c>
      <c r="J86" s="928" t="e">
        <f>#REF!</f>
        <v>#REF!</v>
      </c>
      <c r="K86" s="928"/>
      <c r="L86" s="928"/>
      <c r="M86" s="928"/>
    </row>
    <row r="87" spans="1:100" ht="16.5" hidden="1" customHeight="1">
      <c r="A87" s="240"/>
      <c r="B87" s="240"/>
      <c r="C87" s="240"/>
      <c r="D87" s="240"/>
      <c r="E87" s="240"/>
      <c r="F87" s="240"/>
      <c r="G87" s="240"/>
      <c r="H87" s="240"/>
      <c r="I87" s="239" t="e">
        <f>#REF!</f>
        <v>#REF!</v>
      </c>
      <c r="J87" s="928" t="e">
        <f>#REF!</f>
        <v>#REF!</v>
      </c>
      <c r="K87" s="928"/>
      <c r="L87" s="928"/>
      <c r="M87" s="928"/>
    </row>
    <row r="88" spans="1:100" ht="20.100000000000001" hidden="1" customHeight="1">
      <c r="A88" s="244" t="e">
        <f>#REF!</f>
        <v>#REF!</v>
      </c>
      <c r="B88" s="244"/>
      <c r="C88" s="244"/>
      <c r="D88" s="244"/>
      <c r="E88" s="244"/>
      <c r="F88" s="244"/>
      <c r="G88" s="244"/>
      <c r="H88" s="244"/>
      <c r="I88" s="239" t="e">
        <f>#REF!</f>
        <v>#REF!</v>
      </c>
      <c r="J88" s="928"/>
      <c r="K88" s="928"/>
      <c r="L88" s="928"/>
      <c r="M88" s="928"/>
    </row>
    <row r="89" spans="1:100" ht="16.5" hidden="1" customHeight="1">
      <c r="A89" s="240" t="e">
        <f>#REF!</f>
        <v>#REF!</v>
      </c>
      <c r="B89" s="240"/>
      <c r="C89" s="240"/>
      <c r="D89" s="240"/>
      <c r="E89" s="240"/>
      <c r="F89" s="240"/>
      <c r="G89" s="240"/>
      <c r="H89" s="240"/>
      <c r="I89" s="241" t="e">
        <f>#REF!</f>
        <v>#REF!</v>
      </c>
      <c r="J89" s="928" t="e">
        <f>#REF!</f>
        <v>#REF!</v>
      </c>
      <c r="K89" s="928"/>
      <c r="L89" s="928"/>
      <c r="M89" s="928"/>
    </row>
    <row r="90" spans="1:100" ht="16.5" hidden="1" customHeight="1">
      <c r="A90" s="240" t="e">
        <f>#REF!</f>
        <v>#REF!</v>
      </c>
      <c r="B90" s="240"/>
      <c r="C90" s="240"/>
      <c r="D90" s="240"/>
      <c r="E90" s="240"/>
      <c r="F90" s="240"/>
      <c r="G90" s="240"/>
      <c r="H90" s="240"/>
      <c r="I90" s="241" t="e">
        <f>#REF!</f>
        <v>#REF!</v>
      </c>
      <c r="J90" s="928" t="e">
        <f>#REF!</f>
        <v>#REF!</v>
      </c>
      <c r="K90" s="928"/>
      <c r="L90" s="928"/>
      <c r="M90" s="928"/>
    </row>
    <row r="91" spans="1:100" ht="20.100000000000001" hidden="1" customHeight="1">
      <c r="A91" s="240" t="e">
        <f>#REF!</f>
        <v>#REF!</v>
      </c>
      <c r="B91" s="240"/>
      <c r="C91" s="240"/>
      <c r="D91" s="240"/>
      <c r="E91" s="240"/>
      <c r="F91" s="240"/>
      <c r="G91" s="240"/>
      <c r="H91" s="240"/>
      <c r="I91" s="241" t="e">
        <f>#REF!</f>
        <v>#REF!</v>
      </c>
      <c r="J91" s="928" t="e">
        <f>#REF!</f>
        <v>#REF!</v>
      </c>
      <c r="K91" s="928"/>
      <c r="L91" s="928"/>
      <c r="M91" s="928"/>
    </row>
    <row r="92" spans="1:100" ht="16.5" hidden="1" customHeight="1">
      <c r="A92" s="240" t="e">
        <f>#REF!</f>
        <v>#REF!</v>
      </c>
      <c r="B92" s="240"/>
      <c r="C92" s="240"/>
      <c r="D92" s="240"/>
      <c r="E92" s="240"/>
      <c r="F92" s="240"/>
      <c r="G92" s="240"/>
      <c r="H92" s="240"/>
      <c r="I92" s="241" t="e">
        <f>#REF!</f>
        <v>#REF!</v>
      </c>
      <c r="J92" s="928" t="e">
        <f>#REF!</f>
        <v>#REF!</v>
      </c>
      <c r="K92" s="928"/>
      <c r="L92" s="928"/>
      <c r="M92" s="928"/>
    </row>
    <row r="93" spans="1:100" s="246" customFormat="1" ht="20.100000000000001" hidden="1" customHeight="1">
      <c r="A93" s="245"/>
      <c r="B93" s="245"/>
      <c r="C93" s="245"/>
      <c r="D93" s="245"/>
      <c r="E93" s="245"/>
      <c r="F93" s="245"/>
      <c r="G93" s="245"/>
      <c r="H93" s="245"/>
      <c r="I93" s="239" t="e">
        <f>#REF!</f>
        <v>#REF!</v>
      </c>
      <c r="J93" s="928" t="e">
        <f>#REF!</f>
        <v>#REF!</v>
      </c>
      <c r="K93" s="928"/>
      <c r="L93" s="928"/>
      <c r="M93" s="928"/>
      <c r="N93" s="257"/>
      <c r="O93" s="257"/>
      <c r="P93" s="257"/>
      <c r="Q93" s="257"/>
      <c r="R93" s="257"/>
      <c r="S93" s="257"/>
      <c r="T93" s="257"/>
      <c r="U93" s="257"/>
      <c r="V93" s="257"/>
      <c r="W93" s="257"/>
      <c r="X93" s="257"/>
      <c r="Y93" s="257"/>
      <c r="Z93" s="257"/>
      <c r="AA93" s="257"/>
      <c r="AB93" s="257"/>
      <c r="AC93" s="257"/>
      <c r="AD93" s="257"/>
      <c r="AE93" s="257"/>
      <c r="AF93" s="257"/>
      <c r="AG93" s="257"/>
      <c r="AH93" s="257"/>
      <c r="AI93" s="257"/>
      <c r="AJ93" s="257"/>
      <c r="AK93" s="257"/>
      <c r="AL93" s="257"/>
      <c r="AM93" s="257"/>
      <c r="AN93" s="257"/>
      <c r="AO93" s="257"/>
      <c r="AP93" s="257"/>
      <c r="AQ93" s="257"/>
      <c r="AR93" s="257"/>
      <c r="AS93" s="257"/>
      <c r="AT93" s="257"/>
      <c r="AU93" s="257"/>
      <c r="AV93" s="257"/>
      <c r="AW93" s="257"/>
      <c r="AX93" s="257"/>
      <c r="AY93" s="257"/>
      <c r="AZ93" s="257"/>
      <c r="BA93" s="257"/>
      <c r="BB93" s="257"/>
      <c r="BC93" s="257"/>
      <c r="BD93" s="257"/>
      <c r="BE93" s="257"/>
      <c r="BF93" s="257"/>
      <c r="BG93" s="257"/>
      <c r="BH93" s="257"/>
      <c r="BI93" s="257"/>
      <c r="BJ93" s="257"/>
      <c r="BK93" s="257"/>
      <c r="BL93" s="257"/>
      <c r="BM93" s="257"/>
      <c r="BN93" s="257"/>
      <c r="BO93" s="257"/>
      <c r="BP93" s="257"/>
      <c r="BQ93" s="257"/>
      <c r="BR93" s="257"/>
      <c r="BS93" s="257"/>
      <c r="BT93" s="257"/>
      <c r="BU93" s="257"/>
      <c r="BV93" s="257"/>
      <c r="BW93" s="257"/>
      <c r="BX93" s="257"/>
      <c r="BY93" s="257"/>
      <c r="BZ93" s="257"/>
      <c r="CA93" s="257"/>
      <c r="CB93" s="257"/>
      <c r="CC93" s="257"/>
      <c r="CD93" s="257"/>
      <c r="CE93" s="257"/>
      <c r="CF93" s="257"/>
      <c r="CG93" s="257"/>
      <c r="CH93" s="257"/>
      <c r="CI93" s="257"/>
      <c r="CJ93" s="257"/>
      <c r="CK93" s="257"/>
      <c r="CL93" s="257"/>
      <c r="CM93" s="257"/>
      <c r="CN93" s="257"/>
      <c r="CO93" s="257"/>
      <c r="CP93" s="257"/>
      <c r="CQ93" s="257"/>
      <c r="CR93" s="257"/>
      <c r="CS93" s="257"/>
      <c r="CT93" s="257"/>
      <c r="CU93" s="257"/>
      <c r="CV93" s="257"/>
    </row>
    <row r="94" spans="1:100" ht="24" hidden="1" customHeight="1">
      <c r="A94" s="244" t="e">
        <f>#REF!</f>
        <v>#REF!</v>
      </c>
      <c r="B94" s="244"/>
      <c r="C94" s="244"/>
      <c r="D94" s="244"/>
      <c r="E94" s="244"/>
      <c r="F94" s="244"/>
      <c r="G94" s="244"/>
      <c r="H94" s="244"/>
      <c r="I94" s="239" t="e">
        <f>#REF!</f>
        <v>#REF!</v>
      </c>
      <c r="J94" s="928"/>
      <c r="K94" s="928"/>
      <c r="L94" s="928"/>
      <c r="M94" s="928"/>
    </row>
    <row r="95" spans="1:100" ht="16.5" hidden="1" customHeight="1">
      <c r="A95" s="240" t="e">
        <f>#REF!</f>
        <v>#REF!</v>
      </c>
      <c r="B95" s="240"/>
      <c r="C95" s="240"/>
      <c r="D95" s="240"/>
      <c r="E95" s="240"/>
      <c r="F95" s="240"/>
      <c r="G95" s="240"/>
      <c r="H95" s="240"/>
      <c r="I95" s="241" t="e">
        <f>#REF!</f>
        <v>#REF!</v>
      </c>
      <c r="J95" s="928" t="e">
        <f>#REF!</f>
        <v>#REF!</v>
      </c>
      <c r="K95" s="928"/>
      <c r="L95" s="928"/>
      <c r="M95" s="928"/>
    </row>
    <row r="96" spans="1:100" ht="16.5" hidden="1" customHeight="1">
      <c r="A96" s="240" t="e">
        <f>#REF!</f>
        <v>#REF!</v>
      </c>
      <c r="B96" s="240"/>
      <c r="C96" s="240"/>
      <c r="D96" s="240"/>
      <c r="E96" s="240"/>
      <c r="F96" s="240"/>
      <c r="G96" s="240"/>
      <c r="H96" s="240"/>
      <c r="I96" s="241" t="e">
        <f>#REF!</f>
        <v>#REF!</v>
      </c>
      <c r="J96" s="928" t="e">
        <f>#REF!</f>
        <v>#REF!</v>
      </c>
      <c r="K96" s="928"/>
      <c r="L96" s="928"/>
      <c r="M96" s="928"/>
    </row>
    <row r="97" spans="1:100" ht="33" hidden="1" customHeight="1">
      <c r="A97" s="240" t="e">
        <f>#REF!</f>
        <v>#REF!</v>
      </c>
      <c r="B97" s="240"/>
      <c r="C97" s="240"/>
      <c r="D97" s="240"/>
      <c r="E97" s="240"/>
      <c r="F97" s="240"/>
      <c r="G97" s="240"/>
      <c r="H97" s="240"/>
      <c r="I97" s="241" t="e">
        <f>#REF!</f>
        <v>#REF!</v>
      </c>
      <c r="J97" s="928" t="e">
        <f>#REF!</f>
        <v>#REF!</v>
      </c>
      <c r="K97" s="928"/>
      <c r="L97" s="928"/>
      <c r="M97" s="928"/>
    </row>
    <row r="98" spans="1:100" s="246" customFormat="1" ht="20.100000000000001" hidden="1" customHeight="1">
      <c r="A98" s="240"/>
      <c r="B98" s="240"/>
      <c r="C98" s="240"/>
      <c r="D98" s="240"/>
      <c r="E98" s="240"/>
      <c r="F98" s="240"/>
      <c r="G98" s="240"/>
      <c r="H98" s="240"/>
      <c r="I98" s="239" t="e">
        <f>#REF!</f>
        <v>#REF!</v>
      </c>
      <c r="J98" s="928" t="e">
        <f>#REF!</f>
        <v>#REF!</v>
      </c>
      <c r="K98" s="928"/>
      <c r="L98" s="928"/>
      <c r="M98" s="928"/>
      <c r="N98" s="257"/>
      <c r="O98" s="257"/>
      <c r="P98" s="257"/>
      <c r="Q98" s="257"/>
      <c r="R98" s="257"/>
      <c r="S98" s="257"/>
      <c r="T98" s="257"/>
      <c r="U98" s="257"/>
      <c r="V98" s="257"/>
      <c r="W98" s="257"/>
      <c r="X98" s="257"/>
      <c r="Y98" s="257"/>
      <c r="Z98" s="257"/>
      <c r="AA98" s="257"/>
      <c r="AB98" s="257"/>
      <c r="AC98" s="257"/>
      <c r="AD98" s="257"/>
      <c r="AE98" s="257"/>
      <c r="AF98" s="257"/>
      <c r="AG98" s="257"/>
      <c r="AH98" s="257"/>
      <c r="AI98" s="257"/>
      <c r="AJ98" s="257"/>
      <c r="AK98" s="257"/>
      <c r="AL98" s="257"/>
      <c r="AM98" s="257"/>
      <c r="AN98" s="257"/>
      <c r="AO98" s="257"/>
      <c r="AP98" s="257"/>
      <c r="AQ98" s="257"/>
      <c r="AR98" s="257"/>
      <c r="AS98" s="257"/>
      <c r="AT98" s="257"/>
      <c r="AU98" s="257"/>
      <c r="AV98" s="257"/>
      <c r="AW98" s="257"/>
      <c r="AX98" s="257"/>
      <c r="AY98" s="257"/>
      <c r="AZ98" s="257"/>
      <c r="BA98" s="257"/>
      <c r="BB98" s="257"/>
      <c r="BC98" s="257"/>
      <c r="BD98" s="257"/>
      <c r="BE98" s="257"/>
      <c r="BF98" s="257"/>
      <c r="BG98" s="257"/>
      <c r="BH98" s="257"/>
      <c r="BI98" s="257"/>
      <c r="BJ98" s="257"/>
      <c r="BK98" s="257"/>
      <c r="BL98" s="257"/>
      <c r="BM98" s="257"/>
      <c r="BN98" s="257"/>
      <c r="BO98" s="257"/>
      <c r="BP98" s="257"/>
      <c r="BQ98" s="257"/>
      <c r="BR98" s="257"/>
      <c r="BS98" s="257"/>
      <c r="BT98" s="257"/>
      <c r="BU98" s="257"/>
      <c r="BV98" s="257"/>
      <c r="BW98" s="257"/>
      <c r="BX98" s="257"/>
      <c r="BY98" s="257"/>
      <c r="BZ98" s="257"/>
      <c r="CA98" s="257"/>
      <c r="CB98" s="257"/>
      <c r="CC98" s="257"/>
      <c r="CD98" s="257"/>
      <c r="CE98" s="257"/>
      <c r="CF98" s="257"/>
      <c r="CG98" s="257"/>
      <c r="CH98" s="257"/>
      <c r="CI98" s="257"/>
      <c r="CJ98" s="257"/>
      <c r="CK98" s="257"/>
      <c r="CL98" s="257"/>
      <c r="CM98" s="257"/>
      <c r="CN98" s="257"/>
      <c r="CO98" s="257"/>
      <c r="CP98" s="257"/>
      <c r="CQ98" s="257"/>
      <c r="CR98" s="257"/>
      <c r="CS98" s="257"/>
      <c r="CT98" s="257"/>
      <c r="CU98" s="257"/>
      <c r="CV98" s="257"/>
    </row>
    <row r="99" spans="1:100" ht="20.100000000000001" hidden="1" customHeight="1">
      <c r="A99" s="244" t="e">
        <f>#REF!</f>
        <v>#REF!</v>
      </c>
      <c r="B99" s="244"/>
      <c r="C99" s="244"/>
      <c r="D99" s="244"/>
      <c r="E99" s="244"/>
      <c r="F99" s="244"/>
      <c r="G99" s="244"/>
      <c r="H99" s="244"/>
      <c r="I99" s="239" t="e">
        <f>#REF!</f>
        <v>#REF!</v>
      </c>
      <c r="J99" s="928"/>
      <c r="K99" s="928"/>
      <c r="L99" s="928"/>
      <c r="M99" s="928"/>
    </row>
    <row r="100" spans="1:100" ht="16.5" hidden="1" customHeight="1">
      <c r="A100" s="240" t="e">
        <f>#REF!</f>
        <v>#REF!</v>
      </c>
      <c r="B100" s="240"/>
      <c r="C100" s="240"/>
      <c r="D100" s="240"/>
      <c r="E100" s="240"/>
      <c r="F100" s="240"/>
      <c r="G100" s="240"/>
      <c r="H100" s="240"/>
      <c r="I100" s="241" t="e">
        <f>#REF!</f>
        <v>#REF!</v>
      </c>
      <c r="J100" s="928" t="e">
        <f>#REF!</f>
        <v>#REF!</v>
      </c>
      <c r="K100" s="928"/>
      <c r="L100" s="928"/>
      <c r="M100" s="928"/>
    </row>
    <row r="101" spans="1:100" ht="16.5" hidden="1" customHeight="1">
      <c r="A101" s="240" t="e">
        <f>#REF!</f>
        <v>#REF!</v>
      </c>
      <c r="B101" s="240"/>
      <c r="C101" s="240"/>
      <c r="D101" s="240"/>
      <c r="E101" s="240"/>
      <c r="F101" s="240"/>
      <c r="G101" s="240"/>
      <c r="H101" s="240"/>
      <c r="I101" s="241" t="e">
        <f>#REF!</f>
        <v>#REF!</v>
      </c>
      <c r="J101" s="928" t="e">
        <f>#REF!</f>
        <v>#REF!</v>
      </c>
      <c r="K101" s="928"/>
      <c r="L101" s="928"/>
      <c r="M101" s="928"/>
    </row>
    <row r="102" spans="1:100" ht="16.5" hidden="1" customHeight="1">
      <c r="A102" s="240" t="e">
        <f>#REF!</f>
        <v>#REF!</v>
      </c>
      <c r="B102" s="240"/>
      <c r="C102" s="240"/>
      <c r="D102" s="240"/>
      <c r="E102" s="240"/>
      <c r="F102" s="240"/>
      <c r="G102" s="240"/>
      <c r="H102" s="240"/>
      <c r="I102" s="241" t="e">
        <f>#REF!</f>
        <v>#REF!</v>
      </c>
      <c r="J102" s="928" t="e">
        <f>#REF!</f>
        <v>#REF!</v>
      </c>
      <c r="K102" s="928"/>
      <c r="L102" s="928"/>
      <c r="M102" s="928"/>
    </row>
    <row r="103" spans="1:100" ht="16.5" hidden="1" customHeight="1">
      <c r="A103" s="240"/>
      <c r="B103" s="240"/>
      <c r="C103" s="240"/>
      <c r="D103" s="240"/>
      <c r="E103" s="240"/>
      <c r="F103" s="240"/>
      <c r="G103" s="240"/>
      <c r="H103" s="240"/>
      <c r="I103" s="239" t="e">
        <f>#REF!</f>
        <v>#REF!</v>
      </c>
      <c r="J103" s="928" t="e">
        <f>#REF!</f>
        <v>#REF!</v>
      </c>
      <c r="K103" s="928"/>
      <c r="L103" s="928"/>
      <c r="M103" s="928"/>
    </row>
    <row r="104" spans="1:100" ht="20.100000000000001" hidden="1" customHeight="1">
      <c r="A104" s="244" t="e">
        <f>#REF!</f>
        <v>#REF!</v>
      </c>
      <c r="B104" s="244"/>
      <c r="C104" s="244"/>
      <c r="D104" s="244"/>
      <c r="E104" s="244"/>
      <c r="F104" s="244"/>
      <c r="G104" s="244"/>
      <c r="H104" s="244"/>
      <c r="I104" s="239" t="e">
        <f>#REF!</f>
        <v>#REF!</v>
      </c>
      <c r="J104" s="928"/>
      <c r="K104" s="928"/>
      <c r="L104" s="928"/>
      <c r="M104" s="928"/>
    </row>
    <row r="105" spans="1:100" ht="16.5" hidden="1" customHeight="1">
      <c r="A105" s="240" t="e">
        <f>#REF!</f>
        <v>#REF!</v>
      </c>
      <c r="B105" s="240"/>
      <c r="C105" s="240"/>
      <c r="D105" s="240"/>
      <c r="E105" s="240"/>
      <c r="F105" s="240"/>
      <c r="G105" s="240"/>
      <c r="H105" s="240"/>
      <c r="I105" s="241" t="e">
        <f>#REF!</f>
        <v>#REF!</v>
      </c>
      <c r="J105" s="928" t="e">
        <f>#REF!</f>
        <v>#REF!</v>
      </c>
      <c r="K105" s="928"/>
      <c r="L105" s="928"/>
      <c r="M105" s="928"/>
    </row>
    <row r="106" spans="1:100" ht="16.5" hidden="1" customHeight="1">
      <c r="A106" s="240" t="e">
        <f>#REF!</f>
        <v>#REF!</v>
      </c>
      <c r="B106" s="240"/>
      <c r="C106" s="240"/>
      <c r="D106" s="240"/>
      <c r="E106" s="240"/>
      <c r="F106" s="240"/>
      <c r="G106" s="240"/>
      <c r="H106" s="240"/>
      <c r="I106" s="241" t="e">
        <f>#REF!</f>
        <v>#REF!</v>
      </c>
      <c r="J106" s="928" t="e">
        <f>#REF!</f>
        <v>#REF!</v>
      </c>
      <c r="K106" s="928"/>
      <c r="L106" s="928"/>
      <c r="M106" s="928"/>
    </row>
    <row r="107" spans="1:100" ht="16.5" hidden="1" customHeight="1">
      <c r="A107" s="240" t="e">
        <f>#REF!</f>
        <v>#REF!</v>
      </c>
      <c r="B107" s="240"/>
      <c r="C107" s="240"/>
      <c r="D107" s="240"/>
      <c r="E107" s="240"/>
      <c r="F107" s="240"/>
      <c r="G107" s="240"/>
      <c r="H107" s="240"/>
      <c r="I107" s="241" t="e">
        <f>#REF!</f>
        <v>#REF!</v>
      </c>
      <c r="J107" s="928" t="e">
        <f>#REF!</f>
        <v>#REF!</v>
      </c>
      <c r="K107" s="928"/>
      <c r="L107" s="928"/>
      <c r="M107" s="928"/>
    </row>
    <row r="108" spans="1:100" ht="16.5" hidden="1" customHeight="1">
      <c r="A108" s="240" t="e">
        <f>#REF!</f>
        <v>#REF!</v>
      </c>
      <c r="B108" s="240"/>
      <c r="C108" s="240"/>
      <c r="D108" s="240"/>
      <c r="E108" s="240"/>
      <c r="F108" s="240"/>
      <c r="G108" s="240"/>
      <c r="H108" s="240"/>
      <c r="I108" s="241" t="e">
        <f>#REF!</f>
        <v>#REF!</v>
      </c>
      <c r="J108" s="928" t="e">
        <f>#REF!</f>
        <v>#REF!</v>
      </c>
      <c r="K108" s="928"/>
      <c r="L108" s="928"/>
      <c r="M108" s="928"/>
    </row>
    <row r="109" spans="1:100" s="246" customFormat="1" ht="20.100000000000001" hidden="1" customHeight="1">
      <c r="A109" s="240"/>
      <c r="B109" s="240"/>
      <c r="C109" s="240"/>
      <c r="D109" s="240"/>
      <c r="E109" s="240"/>
      <c r="F109" s="240"/>
      <c r="G109" s="240"/>
      <c r="H109" s="240"/>
      <c r="I109" s="239" t="e">
        <f>#REF!</f>
        <v>#REF!</v>
      </c>
      <c r="J109" s="928" t="e">
        <f>#REF!</f>
        <v>#REF!</v>
      </c>
      <c r="K109" s="928"/>
      <c r="L109" s="928"/>
      <c r="M109" s="928"/>
      <c r="N109" s="257"/>
      <c r="O109" s="257"/>
      <c r="P109" s="257"/>
      <c r="Q109" s="257"/>
      <c r="R109" s="257"/>
      <c r="S109" s="257"/>
      <c r="T109" s="257"/>
      <c r="U109" s="257"/>
      <c r="V109" s="257"/>
      <c r="W109" s="257"/>
      <c r="X109" s="257"/>
      <c r="Y109" s="257"/>
      <c r="Z109" s="257"/>
      <c r="AA109" s="257"/>
      <c r="AB109" s="257"/>
      <c r="AC109" s="257"/>
      <c r="AD109" s="257"/>
      <c r="AE109" s="257"/>
      <c r="AF109" s="257"/>
      <c r="AG109" s="257"/>
      <c r="AH109" s="257"/>
      <c r="AI109" s="257"/>
      <c r="AJ109" s="257"/>
      <c r="AK109" s="257"/>
      <c r="AL109" s="257"/>
      <c r="AM109" s="257"/>
      <c r="AN109" s="257"/>
      <c r="AO109" s="257"/>
      <c r="AP109" s="257"/>
      <c r="AQ109" s="257"/>
      <c r="AR109" s="257"/>
      <c r="AS109" s="257"/>
      <c r="AT109" s="257"/>
      <c r="AU109" s="257"/>
      <c r="AV109" s="257"/>
      <c r="AW109" s="257"/>
      <c r="AX109" s="257"/>
      <c r="AY109" s="257"/>
      <c r="AZ109" s="257"/>
      <c r="BA109" s="257"/>
      <c r="BB109" s="257"/>
      <c r="BC109" s="257"/>
      <c r="BD109" s="257"/>
      <c r="BE109" s="257"/>
      <c r="BF109" s="257"/>
      <c r="BG109" s="257"/>
      <c r="BH109" s="257"/>
      <c r="BI109" s="257"/>
      <c r="BJ109" s="257"/>
      <c r="BK109" s="257"/>
      <c r="BL109" s="257"/>
      <c r="BM109" s="257"/>
      <c r="BN109" s="257"/>
      <c r="BO109" s="257"/>
      <c r="BP109" s="257"/>
      <c r="BQ109" s="257"/>
      <c r="BR109" s="257"/>
      <c r="BS109" s="257"/>
      <c r="BT109" s="257"/>
      <c r="BU109" s="257"/>
      <c r="BV109" s="257"/>
      <c r="BW109" s="257"/>
      <c r="BX109" s="257"/>
      <c r="BY109" s="257"/>
      <c r="BZ109" s="257"/>
      <c r="CA109" s="257"/>
      <c r="CB109" s="257"/>
      <c r="CC109" s="257"/>
      <c r="CD109" s="257"/>
      <c r="CE109" s="257"/>
      <c r="CF109" s="257"/>
      <c r="CG109" s="257"/>
      <c r="CH109" s="257"/>
      <c r="CI109" s="257"/>
      <c r="CJ109" s="257"/>
      <c r="CK109" s="257"/>
      <c r="CL109" s="257"/>
      <c r="CM109" s="257"/>
      <c r="CN109" s="257"/>
      <c r="CO109" s="257"/>
      <c r="CP109" s="257"/>
      <c r="CQ109" s="257"/>
      <c r="CR109" s="257"/>
      <c r="CS109" s="257"/>
      <c r="CT109" s="257"/>
      <c r="CU109" s="257"/>
      <c r="CV109" s="257"/>
    </row>
    <row r="110" spans="1:100" ht="20.100000000000001" hidden="1" customHeight="1">
      <c r="A110" s="247"/>
      <c r="B110" s="247"/>
      <c r="C110" s="247"/>
      <c r="D110" s="247"/>
      <c r="E110" s="247"/>
      <c r="F110" s="247"/>
      <c r="G110" s="247"/>
      <c r="H110" s="247"/>
      <c r="I110" s="239" t="e">
        <f>#REF!</f>
        <v>#REF!</v>
      </c>
      <c r="J110" s="928" t="e">
        <f>#REF!</f>
        <v>#REF!</v>
      </c>
      <c r="K110" s="928"/>
      <c r="L110" s="928"/>
      <c r="M110" s="928"/>
    </row>
    <row r="111" spans="1:100" ht="16.5" hidden="1" customHeight="1">
      <c r="A111" s="247"/>
      <c r="B111" s="247"/>
      <c r="C111" s="247"/>
      <c r="D111" s="247"/>
      <c r="E111" s="247"/>
      <c r="F111" s="247"/>
      <c r="G111" s="247"/>
      <c r="H111" s="247"/>
      <c r="I111" s="239"/>
      <c r="J111" s="928"/>
      <c r="K111" s="928"/>
      <c r="L111" s="928"/>
      <c r="M111" s="928"/>
    </row>
    <row r="112" spans="1:100" ht="20.100000000000001" hidden="1" customHeight="1">
      <c r="A112" s="243" t="e">
        <f>#REF!</f>
        <v>#REF!</v>
      </c>
      <c r="B112" s="243"/>
      <c r="C112" s="243"/>
      <c r="D112" s="243"/>
      <c r="E112" s="243"/>
      <c r="F112" s="243"/>
      <c r="G112" s="243"/>
      <c r="H112" s="243"/>
      <c r="I112" s="239" t="e">
        <f>#REF!</f>
        <v>#REF!</v>
      </c>
      <c r="J112" s="928"/>
      <c r="K112" s="928"/>
      <c r="L112" s="928"/>
      <c r="M112" s="928"/>
    </row>
    <row r="113" spans="1:13" ht="30" hidden="1" customHeight="1">
      <c r="A113" s="244" t="e">
        <f>#REF!</f>
        <v>#REF!</v>
      </c>
      <c r="B113" s="244"/>
      <c r="C113" s="244"/>
      <c r="D113" s="244"/>
      <c r="E113" s="244"/>
      <c r="F113" s="244"/>
      <c r="G113" s="244"/>
      <c r="H113" s="244"/>
      <c r="I113" s="239" t="e">
        <f>#REF!</f>
        <v>#REF!</v>
      </c>
      <c r="J113" s="928"/>
      <c r="K113" s="928"/>
      <c r="L113" s="928"/>
      <c r="M113" s="928"/>
    </row>
    <row r="114" spans="1:13" ht="16.5" hidden="1" customHeight="1">
      <c r="A114" s="240" t="e">
        <f>#REF!</f>
        <v>#REF!</v>
      </c>
      <c r="B114" s="240"/>
      <c r="C114" s="240"/>
      <c r="D114" s="240"/>
      <c r="E114" s="240"/>
      <c r="F114" s="240"/>
      <c r="G114" s="240"/>
      <c r="H114" s="240"/>
      <c r="I114" s="241" t="e">
        <f>#REF!</f>
        <v>#REF!</v>
      </c>
      <c r="J114" s="928" t="e">
        <f>#REF!</f>
        <v>#REF!</v>
      </c>
      <c r="K114" s="928"/>
      <c r="L114" s="928"/>
      <c r="M114" s="928"/>
    </row>
    <row r="115" spans="1:13" ht="16.5" hidden="1" customHeight="1">
      <c r="A115" s="240" t="e">
        <f>#REF!</f>
        <v>#REF!</v>
      </c>
      <c r="B115" s="240"/>
      <c r="C115" s="240"/>
      <c r="D115" s="240"/>
      <c r="E115" s="240"/>
      <c r="F115" s="240"/>
      <c r="G115" s="240"/>
      <c r="H115" s="240"/>
      <c r="I115" s="241" t="e">
        <f>#REF!</f>
        <v>#REF!</v>
      </c>
      <c r="J115" s="928" t="e">
        <f>#REF!</f>
        <v>#REF!</v>
      </c>
      <c r="K115" s="928"/>
      <c r="L115" s="928"/>
      <c r="M115" s="928"/>
    </row>
    <row r="116" spans="1:13" ht="16.5" hidden="1" customHeight="1">
      <c r="A116" s="240" t="e">
        <f>#REF!</f>
        <v>#REF!</v>
      </c>
      <c r="B116" s="240"/>
      <c r="C116" s="240"/>
      <c r="D116" s="240"/>
      <c r="E116" s="240"/>
      <c r="F116" s="240"/>
      <c r="G116" s="240"/>
      <c r="H116" s="240"/>
      <c r="I116" s="241" t="e">
        <f>#REF!</f>
        <v>#REF!</v>
      </c>
      <c r="J116" s="928" t="e">
        <f>#REF!</f>
        <v>#REF!</v>
      </c>
      <c r="K116" s="928"/>
      <c r="L116" s="928"/>
      <c r="M116" s="928"/>
    </row>
    <row r="117" spans="1:13" ht="20.100000000000001" hidden="1" customHeight="1">
      <c r="A117" s="248"/>
      <c r="B117" s="248"/>
      <c r="C117" s="248"/>
      <c r="D117" s="248"/>
      <c r="E117" s="248"/>
      <c r="F117" s="248"/>
      <c r="G117" s="248"/>
      <c r="H117" s="248"/>
      <c r="I117" s="239" t="e">
        <f>#REF!</f>
        <v>#REF!</v>
      </c>
      <c r="J117" s="928" t="e">
        <f>#REF!</f>
        <v>#REF!</v>
      </c>
      <c r="K117" s="928"/>
      <c r="L117" s="928"/>
      <c r="M117" s="928"/>
    </row>
    <row r="118" spans="1:13" ht="20.100000000000001" hidden="1" customHeight="1">
      <c r="A118" s="247"/>
      <c r="B118" s="247"/>
      <c r="C118" s="247"/>
      <c r="D118" s="247"/>
      <c r="E118" s="247"/>
      <c r="F118" s="247"/>
      <c r="G118" s="247"/>
      <c r="H118" s="247"/>
      <c r="I118" s="239" t="e">
        <f>#REF!</f>
        <v>#REF!</v>
      </c>
      <c r="J118" s="928" t="e">
        <f>#REF!</f>
        <v>#REF!</v>
      </c>
      <c r="K118" s="928"/>
      <c r="L118" s="928"/>
      <c r="M118" s="928"/>
    </row>
    <row r="119" spans="1:13" ht="20.100000000000001" hidden="1" customHeight="1">
      <c r="A119" s="238" t="e">
        <f>#REF!</f>
        <v>#REF!</v>
      </c>
      <c r="B119" s="238"/>
      <c r="C119" s="238"/>
      <c r="D119" s="238"/>
      <c r="E119" s="238"/>
      <c r="F119" s="238"/>
      <c r="G119" s="238"/>
      <c r="H119" s="238"/>
      <c r="I119" s="239" t="e">
        <f>#REF!</f>
        <v>#REF!</v>
      </c>
      <c r="J119" s="928"/>
      <c r="K119" s="928"/>
      <c r="L119" s="928"/>
      <c r="M119" s="928"/>
    </row>
    <row r="120" spans="1:13" ht="30" hidden="1" customHeight="1">
      <c r="A120" s="243" t="e">
        <f>#REF!</f>
        <v>#REF!</v>
      </c>
      <c r="B120" s="243"/>
      <c r="C120" s="243"/>
      <c r="D120" s="243"/>
      <c r="E120" s="243"/>
      <c r="F120" s="243"/>
      <c r="G120" s="243"/>
      <c r="H120" s="243"/>
      <c r="I120" s="239" t="e">
        <f>#REF!</f>
        <v>#REF!</v>
      </c>
      <c r="J120" s="928"/>
      <c r="K120" s="928"/>
      <c r="L120" s="928"/>
      <c r="M120" s="928"/>
    </row>
    <row r="121" spans="1:13" ht="20.100000000000001" hidden="1" customHeight="1">
      <c r="A121" s="240" t="e">
        <f>#REF!</f>
        <v>#REF!</v>
      </c>
      <c r="B121" s="240"/>
      <c r="C121" s="240"/>
      <c r="D121" s="240"/>
      <c r="E121" s="240"/>
      <c r="F121" s="240"/>
      <c r="G121" s="240"/>
      <c r="H121" s="240"/>
      <c r="I121" s="241" t="e">
        <f>#REF!</f>
        <v>#REF!</v>
      </c>
      <c r="J121" s="928" t="e">
        <f>#REF!</f>
        <v>#REF!</v>
      </c>
      <c r="K121" s="928"/>
      <c r="L121" s="928"/>
      <c r="M121" s="928"/>
    </row>
    <row r="122" spans="1:13" ht="20.100000000000001" hidden="1" customHeight="1">
      <c r="A122" s="240" t="e">
        <f>#REF!</f>
        <v>#REF!</v>
      </c>
      <c r="B122" s="240"/>
      <c r="C122" s="240"/>
      <c r="D122" s="240"/>
      <c r="E122" s="240"/>
      <c r="F122" s="240"/>
      <c r="G122" s="240"/>
      <c r="H122" s="240"/>
      <c r="I122" s="241" t="e">
        <f>#REF!</f>
        <v>#REF!</v>
      </c>
      <c r="J122" s="928" t="e">
        <f>#REF!</f>
        <v>#REF!</v>
      </c>
      <c r="K122" s="928"/>
      <c r="L122" s="928"/>
      <c r="M122" s="928"/>
    </row>
    <row r="123" spans="1:13" ht="20.100000000000001" hidden="1" customHeight="1">
      <c r="A123" s="240" t="e">
        <f>#REF!</f>
        <v>#REF!</v>
      </c>
      <c r="B123" s="240"/>
      <c r="C123" s="240"/>
      <c r="D123" s="240"/>
      <c r="E123" s="240"/>
      <c r="F123" s="240"/>
      <c r="G123" s="240"/>
      <c r="H123" s="240"/>
      <c r="I123" s="241" t="e">
        <f>#REF!</f>
        <v>#REF!</v>
      </c>
      <c r="J123" s="928" t="e">
        <f>#REF!</f>
        <v>#REF!</v>
      </c>
      <c r="K123" s="928"/>
      <c r="L123" s="928"/>
      <c r="M123" s="928"/>
    </row>
    <row r="124" spans="1:13" ht="20.100000000000001" hidden="1" customHeight="1">
      <c r="A124" s="240" t="e">
        <f>#REF!</f>
        <v>#REF!</v>
      </c>
      <c r="B124" s="240"/>
      <c r="C124" s="240"/>
      <c r="D124" s="240"/>
      <c r="E124" s="240"/>
      <c r="F124" s="240"/>
      <c r="G124" s="240"/>
      <c r="H124" s="240"/>
      <c r="I124" s="241" t="e">
        <f>#REF!</f>
        <v>#REF!</v>
      </c>
      <c r="J124" s="928" t="e">
        <f>#REF!</f>
        <v>#REF!</v>
      </c>
      <c r="K124" s="928"/>
      <c r="L124" s="928"/>
      <c r="M124" s="928"/>
    </row>
    <row r="125" spans="1:13" ht="20.100000000000001" hidden="1" customHeight="1">
      <c r="A125" s="240" t="e">
        <f>#REF!</f>
        <v>#REF!</v>
      </c>
      <c r="B125" s="240"/>
      <c r="C125" s="240"/>
      <c r="D125" s="240"/>
      <c r="E125" s="240"/>
      <c r="F125" s="240"/>
      <c r="G125" s="240"/>
      <c r="H125" s="240"/>
      <c r="I125" s="241" t="e">
        <f>#REF!</f>
        <v>#REF!</v>
      </c>
      <c r="J125" s="928" t="e">
        <f>#REF!</f>
        <v>#REF!</v>
      </c>
      <c r="K125" s="928"/>
      <c r="L125" s="928"/>
      <c r="M125" s="928"/>
    </row>
    <row r="126" spans="1:13" ht="20.100000000000001" hidden="1" customHeight="1">
      <c r="A126" s="242"/>
      <c r="B126" s="242"/>
      <c r="C126" s="242"/>
      <c r="D126" s="242"/>
      <c r="E126" s="242"/>
      <c r="F126" s="242"/>
      <c r="G126" s="242"/>
      <c r="H126" s="242"/>
      <c r="I126" s="239" t="e">
        <f>#REF!</f>
        <v>#REF!</v>
      </c>
      <c r="J126" s="928" t="e">
        <f>#REF!</f>
        <v>#REF!</v>
      </c>
      <c r="K126" s="928"/>
      <c r="L126" s="928"/>
      <c r="M126" s="928"/>
    </row>
    <row r="127" spans="1:13" ht="20.100000000000001" hidden="1" customHeight="1">
      <c r="A127" s="243" t="e">
        <f>#REF!</f>
        <v>#REF!</v>
      </c>
      <c r="B127" s="243"/>
      <c r="C127" s="243"/>
      <c r="D127" s="243"/>
      <c r="E127" s="243"/>
      <c r="F127" s="243"/>
      <c r="G127" s="243"/>
      <c r="H127" s="243"/>
      <c r="I127" s="239" t="e">
        <f>#REF!</f>
        <v>#REF!</v>
      </c>
      <c r="J127" s="928"/>
      <c r="K127" s="928"/>
      <c r="L127" s="928"/>
      <c r="M127" s="928"/>
    </row>
    <row r="128" spans="1:13" ht="20.100000000000001" hidden="1" customHeight="1">
      <c r="A128" s="240" t="e">
        <f>#REF!</f>
        <v>#REF!</v>
      </c>
      <c r="B128" s="240"/>
      <c r="C128" s="240"/>
      <c r="D128" s="240"/>
      <c r="E128" s="240"/>
      <c r="F128" s="240"/>
      <c r="G128" s="240"/>
      <c r="H128" s="240"/>
      <c r="I128" s="249" t="e">
        <f>#REF!</f>
        <v>#REF!</v>
      </c>
      <c r="J128" s="928" t="e">
        <f>#REF!</f>
        <v>#REF!</v>
      </c>
      <c r="K128" s="928"/>
      <c r="L128" s="928"/>
      <c r="M128" s="928"/>
    </row>
    <row r="129" spans="1:13" ht="20.100000000000001" hidden="1" customHeight="1">
      <c r="A129" s="240" t="e">
        <f>#REF!</f>
        <v>#REF!</v>
      </c>
      <c r="B129" s="240"/>
      <c r="C129" s="240"/>
      <c r="D129" s="240"/>
      <c r="E129" s="240"/>
      <c r="F129" s="240"/>
      <c r="G129" s="240"/>
      <c r="H129" s="240"/>
      <c r="I129" s="249" t="e">
        <f>#REF!</f>
        <v>#REF!</v>
      </c>
      <c r="J129" s="928" t="e">
        <f>#REF!</f>
        <v>#REF!</v>
      </c>
      <c r="K129" s="928"/>
      <c r="L129" s="928"/>
      <c r="M129" s="928"/>
    </row>
    <row r="130" spans="1:13" ht="20.100000000000001" hidden="1" customHeight="1">
      <c r="A130" s="240" t="e">
        <f>#REF!</f>
        <v>#REF!</v>
      </c>
      <c r="B130" s="240"/>
      <c r="C130" s="240"/>
      <c r="D130" s="240"/>
      <c r="E130" s="240"/>
      <c r="F130" s="240"/>
      <c r="G130" s="240"/>
      <c r="H130" s="240"/>
      <c r="I130" s="249" t="e">
        <f>#REF!</f>
        <v>#REF!</v>
      </c>
      <c r="J130" s="928" t="e">
        <f>#REF!</f>
        <v>#REF!</v>
      </c>
      <c r="K130" s="928"/>
      <c r="L130" s="928"/>
      <c r="M130" s="928"/>
    </row>
    <row r="131" spans="1:13" ht="20.100000000000001" hidden="1" customHeight="1">
      <c r="A131" s="240" t="e">
        <f>#REF!</f>
        <v>#REF!</v>
      </c>
      <c r="B131" s="240"/>
      <c r="C131" s="240"/>
      <c r="D131" s="240"/>
      <c r="E131" s="240"/>
      <c r="F131" s="240"/>
      <c r="G131" s="240"/>
      <c r="H131" s="240"/>
      <c r="I131" s="249" t="e">
        <f>#REF!</f>
        <v>#REF!</v>
      </c>
      <c r="J131" s="928" t="e">
        <f>#REF!</f>
        <v>#REF!</v>
      </c>
      <c r="K131" s="928"/>
      <c r="L131" s="928"/>
      <c r="M131" s="928"/>
    </row>
    <row r="132" spans="1:13" ht="20.100000000000001" hidden="1" customHeight="1">
      <c r="A132" s="240" t="e">
        <f>#REF!</f>
        <v>#REF!</v>
      </c>
      <c r="B132" s="240"/>
      <c r="C132" s="240"/>
      <c r="D132" s="240"/>
      <c r="E132" s="240"/>
      <c r="F132" s="240"/>
      <c r="G132" s="240"/>
      <c r="H132" s="240"/>
      <c r="I132" s="249" t="e">
        <f>#REF!</f>
        <v>#REF!</v>
      </c>
      <c r="J132" s="928" t="e">
        <f>#REF!</f>
        <v>#REF!</v>
      </c>
      <c r="K132" s="928"/>
      <c r="L132" s="928"/>
      <c r="M132" s="928"/>
    </row>
    <row r="133" spans="1:13" ht="20.100000000000001" hidden="1" customHeight="1">
      <c r="A133" s="240" t="e">
        <f>#REF!</f>
        <v>#REF!</v>
      </c>
      <c r="B133" s="240"/>
      <c r="C133" s="240"/>
      <c r="D133" s="240"/>
      <c r="E133" s="240"/>
      <c r="F133" s="240"/>
      <c r="G133" s="240"/>
      <c r="H133" s="240"/>
      <c r="I133" s="249" t="e">
        <f>#REF!</f>
        <v>#REF!</v>
      </c>
      <c r="J133" s="928" t="e">
        <f>#REF!</f>
        <v>#REF!</v>
      </c>
      <c r="K133" s="928"/>
      <c r="L133" s="928"/>
      <c r="M133" s="928"/>
    </row>
    <row r="134" spans="1:13" ht="20.100000000000001" hidden="1" customHeight="1">
      <c r="A134" s="250"/>
      <c r="B134" s="250"/>
      <c r="C134" s="250"/>
      <c r="D134" s="250"/>
      <c r="E134" s="250"/>
      <c r="F134" s="250"/>
      <c r="G134" s="250"/>
      <c r="H134" s="250"/>
      <c r="I134" s="239" t="e">
        <f>#REF!</f>
        <v>#REF!</v>
      </c>
      <c r="J134" s="928" t="e">
        <f>#REF!</f>
        <v>#REF!</v>
      </c>
      <c r="K134" s="928"/>
      <c r="L134" s="928"/>
      <c r="M134" s="928"/>
    </row>
    <row r="135" spans="1:13" ht="35.25" hidden="1" customHeight="1">
      <c r="A135" s="243" t="e">
        <f>#REF!</f>
        <v>#REF!</v>
      </c>
      <c r="B135" s="243"/>
      <c r="C135" s="243"/>
      <c r="D135" s="243"/>
      <c r="E135" s="243"/>
      <c r="F135" s="243"/>
      <c r="G135" s="243"/>
      <c r="H135" s="243"/>
      <c r="I135" s="239" t="e">
        <f>#REF!</f>
        <v>#REF!</v>
      </c>
      <c r="J135" s="928"/>
      <c r="K135" s="928"/>
      <c r="L135" s="928"/>
      <c r="M135" s="928"/>
    </row>
    <row r="136" spans="1:13" ht="19.5" hidden="1" customHeight="1">
      <c r="A136" s="240" t="e">
        <f>#REF!</f>
        <v>#REF!</v>
      </c>
      <c r="B136" s="240"/>
      <c r="C136" s="240"/>
      <c r="D136" s="240"/>
      <c r="E136" s="240"/>
      <c r="F136" s="240"/>
      <c r="G136" s="240"/>
      <c r="H136" s="240"/>
      <c r="I136" s="249" t="e">
        <f>#REF!</f>
        <v>#REF!</v>
      </c>
      <c r="J136" s="928" t="e">
        <f>#REF!</f>
        <v>#REF!</v>
      </c>
      <c r="K136" s="928"/>
      <c r="L136" s="928"/>
      <c r="M136" s="928"/>
    </row>
    <row r="137" spans="1:13" ht="19.5" hidden="1" customHeight="1">
      <c r="A137" s="240" t="e">
        <f>#REF!</f>
        <v>#REF!</v>
      </c>
      <c r="B137" s="240"/>
      <c r="C137" s="240"/>
      <c r="D137" s="240"/>
      <c r="E137" s="240"/>
      <c r="F137" s="240"/>
      <c r="G137" s="240"/>
      <c r="H137" s="240"/>
      <c r="I137" s="249" t="e">
        <f>#REF!</f>
        <v>#REF!</v>
      </c>
      <c r="J137" s="928" t="e">
        <f>#REF!</f>
        <v>#REF!</v>
      </c>
      <c r="K137" s="928"/>
      <c r="L137" s="928"/>
      <c r="M137" s="928"/>
    </row>
    <row r="138" spans="1:13" ht="19.5" hidden="1" customHeight="1">
      <c r="A138" s="240" t="e">
        <f>#REF!</f>
        <v>#REF!</v>
      </c>
      <c r="B138" s="240"/>
      <c r="C138" s="240"/>
      <c r="D138" s="240"/>
      <c r="E138" s="240"/>
      <c r="F138" s="240"/>
      <c r="G138" s="240"/>
      <c r="H138" s="240"/>
      <c r="I138" s="249" t="e">
        <f>#REF!</f>
        <v>#REF!</v>
      </c>
      <c r="J138" s="928" t="e">
        <f>#REF!</f>
        <v>#REF!</v>
      </c>
      <c r="K138" s="928"/>
      <c r="L138" s="928"/>
      <c r="M138" s="928"/>
    </row>
    <row r="139" spans="1:13" ht="19.5" hidden="1" customHeight="1">
      <c r="A139" s="240" t="e">
        <f>#REF!</f>
        <v>#REF!</v>
      </c>
      <c r="B139" s="240"/>
      <c r="C139" s="240"/>
      <c r="D139" s="240"/>
      <c r="E139" s="240"/>
      <c r="F139" s="240"/>
      <c r="G139" s="240"/>
      <c r="H139" s="240"/>
      <c r="I139" s="249" t="e">
        <f>#REF!</f>
        <v>#REF!</v>
      </c>
      <c r="J139" s="928" t="e">
        <f>#REF!</f>
        <v>#REF!</v>
      </c>
      <c r="K139" s="928"/>
      <c r="L139" s="928"/>
      <c r="M139" s="928"/>
    </row>
    <row r="140" spans="1:13" ht="33" hidden="1" customHeight="1">
      <c r="A140" s="240" t="e">
        <f>#REF!</f>
        <v>#REF!</v>
      </c>
      <c r="B140" s="240"/>
      <c r="C140" s="240"/>
      <c r="D140" s="240"/>
      <c r="E140" s="240"/>
      <c r="F140" s="240"/>
      <c r="G140" s="240"/>
      <c r="H140" s="240"/>
      <c r="I140" s="249" t="e">
        <f>#REF!</f>
        <v>#REF!</v>
      </c>
      <c r="J140" s="928" t="e">
        <f>#REF!</f>
        <v>#REF!</v>
      </c>
      <c r="K140" s="928"/>
      <c r="L140" s="928"/>
      <c r="M140" s="928"/>
    </row>
    <row r="141" spans="1:13" ht="19.5" hidden="1" customHeight="1">
      <c r="A141" s="240" t="e">
        <f>#REF!</f>
        <v>#REF!</v>
      </c>
      <c r="B141" s="240"/>
      <c r="C141" s="240"/>
      <c r="D141" s="240"/>
      <c r="E141" s="240"/>
      <c r="F141" s="240"/>
      <c r="G141" s="240"/>
      <c r="H141" s="240"/>
      <c r="I141" s="249" t="e">
        <f>#REF!</f>
        <v>#REF!</v>
      </c>
      <c r="J141" s="928" t="e">
        <f>#REF!</f>
        <v>#REF!</v>
      </c>
      <c r="K141" s="928"/>
      <c r="L141" s="928"/>
      <c r="M141" s="928"/>
    </row>
    <row r="142" spans="1:13" ht="19.5" hidden="1" customHeight="1">
      <c r="A142" s="240" t="e">
        <f>#REF!</f>
        <v>#REF!</v>
      </c>
      <c r="B142" s="240"/>
      <c r="C142" s="240"/>
      <c r="D142" s="240"/>
      <c r="E142" s="240"/>
      <c r="F142" s="240"/>
      <c r="G142" s="240"/>
      <c r="H142" s="240"/>
      <c r="I142" s="249" t="e">
        <f>#REF!</f>
        <v>#REF!</v>
      </c>
      <c r="J142" s="928" t="e">
        <f>#REF!</f>
        <v>#REF!</v>
      </c>
      <c r="K142" s="928"/>
      <c r="L142" s="928"/>
      <c r="M142" s="928"/>
    </row>
    <row r="143" spans="1:13" ht="19.5" hidden="1" customHeight="1">
      <c r="A143" s="240" t="e">
        <f>#REF!</f>
        <v>#REF!</v>
      </c>
      <c r="B143" s="240"/>
      <c r="C143" s="240"/>
      <c r="D143" s="240"/>
      <c r="E143" s="240"/>
      <c r="F143" s="240"/>
      <c r="G143" s="240"/>
      <c r="H143" s="240"/>
      <c r="I143" s="249" t="e">
        <f>#REF!</f>
        <v>#REF!</v>
      </c>
      <c r="J143" s="928" t="e">
        <f>#REF!</f>
        <v>#REF!</v>
      </c>
      <c r="K143" s="928"/>
      <c r="L143" s="928"/>
      <c r="M143" s="928"/>
    </row>
    <row r="144" spans="1:13" ht="19.5" hidden="1" customHeight="1">
      <c r="A144" s="240" t="e">
        <f>#REF!</f>
        <v>#REF!</v>
      </c>
      <c r="B144" s="240"/>
      <c r="C144" s="240"/>
      <c r="D144" s="240"/>
      <c r="E144" s="240"/>
      <c r="F144" s="240"/>
      <c r="G144" s="240"/>
      <c r="H144" s="240"/>
      <c r="I144" s="249" t="e">
        <f>#REF!</f>
        <v>#REF!</v>
      </c>
      <c r="J144" s="928" t="e">
        <f>#REF!</f>
        <v>#REF!</v>
      </c>
      <c r="K144" s="928"/>
      <c r="L144" s="928"/>
      <c r="M144" s="928"/>
    </row>
    <row r="145" spans="1:13" ht="19.5" hidden="1" customHeight="1">
      <c r="A145" s="250"/>
      <c r="B145" s="250"/>
      <c r="C145" s="250"/>
      <c r="D145" s="250"/>
      <c r="E145" s="250"/>
      <c r="F145" s="250"/>
      <c r="G145" s="250"/>
      <c r="H145" s="250"/>
      <c r="I145" s="239" t="e">
        <f>#REF!</f>
        <v>#REF!</v>
      </c>
      <c r="J145" s="928" t="e">
        <f>#REF!</f>
        <v>#REF!</v>
      </c>
      <c r="K145" s="928"/>
      <c r="L145" s="928"/>
      <c r="M145" s="928"/>
    </row>
    <row r="146" spans="1:13" ht="19.5" hidden="1" customHeight="1">
      <c r="A146" s="243" t="e">
        <f>#REF!</f>
        <v>#REF!</v>
      </c>
      <c r="B146" s="243"/>
      <c r="C146" s="243"/>
      <c r="D146" s="243"/>
      <c r="E146" s="243"/>
      <c r="F146" s="243"/>
      <c r="G146" s="243"/>
      <c r="H146" s="243"/>
      <c r="I146" s="239" t="e">
        <f>#REF!</f>
        <v>#REF!</v>
      </c>
      <c r="J146" s="928"/>
      <c r="K146" s="928"/>
      <c r="L146" s="928"/>
      <c r="M146" s="928"/>
    </row>
    <row r="147" spans="1:13" ht="19.5" hidden="1" customHeight="1">
      <c r="A147" s="240" t="e">
        <f>#REF!</f>
        <v>#REF!</v>
      </c>
      <c r="B147" s="240"/>
      <c r="C147" s="240"/>
      <c r="D147" s="240"/>
      <c r="E147" s="240"/>
      <c r="F147" s="240"/>
      <c r="G147" s="240"/>
      <c r="H147" s="240"/>
      <c r="I147" s="241" t="e">
        <f>#REF!</f>
        <v>#REF!</v>
      </c>
      <c r="J147" s="928" t="e">
        <f>#REF!</f>
        <v>#REF!</v>
      </c>
      <c r="K147" s="928"/>
      <c r="L147" s="928"/>
      <c r="M147" s="928"/>
    </row>
    <row r="148" spans="1:13" ht="19.5" hidden="1" customHeight="1">
      <c r="A148" s="240" t="e">
        <f>#REF!</f>
        <v>#REF!</v>
      </c>
      <c r="B148" s="240"/>
      <c r="C148" s="240"/>
      <c r="D148" s="240"/>
      <c r="E148" s="240"/>
      <c r="F148" s="240"/>
      <c r="G148" s="240"/>
      <c r="H148" s="240"/>
      <c r="I148" s="241" t="e">
        <f>#REF!</f>
        <v>#REF!</v>
      </c>
      <c r="J148" s="928" t="e">
        <f>#REF!</f>
        <v>#REF!</v>
      </c>
      <c r="K148" s="928"/>
      <c r="L148" s="928"/>
      <c r="M148" s="928"/>
    </row>
    <row r="149" spans="1:13" ht="19.5" hidden="1" customHeight="1">
      <c r="A149" s="240" t="e">
        <f>#REF!</f>
        <v>#REF!</v>
      </c>
      <c r="B149" s="240"/>
      <c r="C149" s="240"/>
      <c r="D149" s="240"/>
      <c r="E149" s="240"/>
      <c r="F149" s="240"/>
      <c r="G149" s="240"/>
      <c r="H149" s="240"/>
      <c r="I149" s="241" t="e">
        <f>#REF!</f>
        <v>#REF!</v>
      </c>
      <c r="J149" s="928" t="e">
        <f>#REF!</f>
        <v>#REF!</v>
      </c>
      <c r="K149" s="928"/>
      <c r="L149" s="928"/>
      <c r="M149" s="928"/>
    </row>
    <row r="150" spans="1:13" ht="19.5" hidden="1" customHeight="1">
      <c r="A150" s="250"/>
      <c r="B150" s="250"/>
      <c r="C150" s="250"/>
      <c r="D150" s="250"/>
      <c r="E150" s="250"/>
      <c r="F150" s="250"/>
      <c r="G150" s="250"/>
      <c r="H150" s="250"/>
      <c r="I150" s="239" t="e">
        <f>#REF!</f>
        <v>#REF!</v>
      </c>
      <c r="J150" s="928" t="e">
        <f>#REF!</f>
        <v>#REF!</v>
      </c>
      <c r="K150" s="928"/>
      <c r="L150" s="928"/>
      <c r="M150" s="928"/>
    </row>
    <row r="151" spans="1:13" ht="33" hidden="1" customHeight="1">
      <c r="A151" s="243" t="e">
        <f>#REF!</f>
        <v>#REF!</v>
      </c>
      <c r="B151" s="243"/>
      <c r="C151" s="243"/>
      <c r="D151" s="243"/>
      <c r="E151" s="243"/>
      <c r="F151" s="243"/>
      <c r="G151" s="243"/>
      <c r="H151" s="243"/>
      <c r="I151" s="239" t="e">
        <f>#REF!</f>
        <v>#REF!</v>
      </c>
      <c r="J151" s="928"/>
      <c r="K151" s="928"/>
      <c r="L151" s="928"/>
      <c r="M151" s="928"/>
    </row>
    <row r="152" spans="1:13" ht="19.5" hidden="1" customHeight="1">
      <c r="A152" s="250" t="e">
        <f>#REF!</f>
        <v>#REF!</v>
      </c>
      <c r="B152" s="250"/>
      <c r="C152" s="250"/>
      <c r="D152" s="250"/>
      <c r="E152" s="250"/>
      <c r="F152" s="250"/>
      <c r="G152" s="250"/>
      <c r="H152" s="250"/>
      <c r="I152" s="241" t="e">
        <f>#REF!</f>
        <v>#REF!</v>
      </c>
      <c r="J152" s="928" t="e">
        <f>#REF!</f>
        <v>#REF!</v>
      </c>
      <c r="K152" s="928"/>
      <c r="L152" s="928"/>
      <c r="M152" s="928"/>
    </row>
    <row r="153" spans="1:13" ht="19.5" hidden="1" customHeight="1">
      <c r="A153" s="250" t="e">
        <f>#REF!</f>
        <v>#REF!</v>
      </c>
      <c r="B153" s="250"/>
      <c r="C153" s="250"/>
      <c r="D153" s="250"/>
      <c r="E153" s="250"/>
      <c r="F153" s="250"/>
      <c r="G153" s="250"/>
      <c r="H153" s="250"/>
      <c r="I153" s="241" t="e">
        <f>#REF!</f>
        <v>#REF!</v>
      </c>
      <c r="J153" s="928" t="e">
        <f>#REF!</f>
        <v>#REF!</v>
      </c>
      <c r="K153" s="928"/>
      <c r="L153" s="928"/>
      <c r="M153" s="928"/>
    </row>
    <row r="154" spans="1:13" ht="19.5" hidden="1" customHeight="1">
      <c r="A154" s="250" t="e">
        <f>#REF!</f>
        <v>#REF!</v>
      </c>
      <c r="B154" s="250"/>
      <c r="C154" s="250"/>
      <c r="D154" s="250"/>
      <c r="E154" s="250"/>
      <c r="F154" s="250"/>
      <c r="G154" s="250"/>
      <c r="H154" s="250"/>
      <c r="I154" s="241" t="e">
        <f>#REF!</f>
        <v>#REF!</v>
      </c>
      <c r="J154" s="928" t="e">
        <f>#REF!</f>
        <v>#REF!</v>
      </c>
      <c r="K154" s="928"/>
      <c r="L154" s="928"/>
      <c r="M154" s="928"/>
    </row>
    <row r="155" spans="1:13" ht="19.5" hidden="1" customHeight="1">
      <c r="A155" s="250"/>
      <c r="B155" s="250"/>
      <c r="C155" s="250"/>
      <c r="D155" s="250"/>
      <c r="E155" s="250"/>
      <c r="F155" s="250"/>
      <c r="G155" s="250"/>
      <c r="H155" s="250"/>
      <c r="I155" s="239" t="e">
        <f>#REF!</f>
        <v>#REF!</v>
      </c>
      <c r="J155" s="928" t="e">
        <f>#REF!</f>
        <v>#REF!</v>
      </c>
      <c r="K155" s="928"/>
      <c r="L155" s="928"/>
      <c r="M155" s="928"/>
    </row>
    <row r="156" spans="1:13" ht="19.5" hidden="1" customHeight="1">
      <c r="A156" s="243" t="e">
        <f>#REF!</f>
        <v>#REF!</v>
      </c>
      <c r="B156" s="243"/>
      <c r="C156" s="243"/>
      <c r="D156" s="243"/>
      <c r="E156" s="243"/>
      <c r="F156" s="243"/>
      <c r="G156" s="243"/>
      <c r="H156" s="243"/>
      <c r="I156" s="239" t="e">
        <f>#REF!</f>
        <v>#REF!</v>
      </c>
      <c r="J156" s="928"/>
      <c r="K156" s="928"/>
      <c r="L156" s="928"/>
      <c r="M156" s="928"/>
    </row>
    <row r="157" spans="1:13" ht="19.5" hidden="1" customHeight="1">
      <c r="A157" s="240" t="e">
        <f>#REF!</f>
        <v>#REF!</v>
      </c>
      <c r="B157" s="240"/>
      <c r="C157" s="240"/>
      <c r="D157" s="240"/>
      <c r="E157" s="240"/>
      <c r="F157" s="240"/>
      <c r="G157" s="240"/>
      <c r="H157" s="240"/>
      <c r="I157" s="241" t="e">
        <f>#REF!</f>
        <v>#REF!</v>
      </c>
      <c r="J157" s="928" t="e">
        <f>#REF!</f>
        <v>#REF!</v>
      </c>
      <c r="K157" s="928"/>
      <c r="L157" s="928"/>
      <c r="M157" s="928"/>
    </row>
    <row r="158" spans="1:13" ht="19.5" hidden="1" customHeight="1">
      <c r="A158" s="240" t="e">
        <f>#REF!</f>
        <v>#REF!</v>
      </c>
      <c r="B158" s="240"/>
      <c r="C158" s="240"/>
      <c r="D158" s="240"/>
      <c r="E158" s="240"/>
      <c r="F158" s="240"/>
      <c r="G158" s="240"/>
      <c r="H158" s="240"/>
      <c r="I158" s="241" t="e">
        <f>#REF!</f>
        <v>#REF!</v>
      </c>
      <c r="J158" s="928" t="e">
        <f>#REF!</f>
        <v>#REF!</v>
      </c>
      <c r="K158" s="928"/>
      <c r="L158" s="928"/>
      <c r="M158" s="928"/>
    </row>
    <row r="159" spans="1:13" ht="19.5" hidden="1" customHeight="1">
      <c r="A159" s="250"/>
      <c r="B159" s="250"/>
      <c r="C159" s="250"/>
      <c r="D159" s="250"/>
      <c r="E159" s="250"/>
      <c r="F159" s="250"/>
      <c r="G159" s="250"/>
      <c r="H159" s="250"/>
      <c r="I159" s="239" t="e">
        <f>#REF!</f>
        <v>#REF!</v>
      </c>
      <c r="J159" s="928" t="e">
        <f>#REF!</f>
        <v>#REF!</v>
      </c>
      <c r="K159" s="928"/>
      <c r="L159" s="928"/>
      <c r="M159" s="928"/>
    </row>
    <row r="160" spans="1:13" ht="33" hidden="1" customHeight="1">
      <c r="A160" s="243" t="e">
        <f>#REF!</f>
        <v>#REF!</v>
      </c>
      <c r="B160" s="243"/>
      <c r="C160" s="243"/>
      <c r="D160" s="243"/>
      <c r="E160" s="243"/>
      <c r="F160" s="243"/>
      <c r="G160" s="243"/>
      <c r="H160" s="243"/>
      <c r="I160" s="239" t="e">
        <f>#REF!</f>
        <v>#REF!</v>
      </c>
      <c r="J160" s="928"/>
      <c r="K160" s="928"/>
      <c r="L160" s="928"/>
      <c r="M160" s="928"/>
    </row>
    <row r="161" spans="1:13" ht="19.5" hidden="1" customHeight="1">
      <c r="A161" s="240" t="e">
        <f>#REF!</f>
        <v>#REF!</v>
      </c>
      <c r="B161" s="240"/>
      <c r="C161" s="240"/>
      <c r="D161" s="240"/>
      <c r="E161" s="240"/>
      <c r="F161" s="240"/>
      <c r="G161" s="240"/>
      <c r="H161" s="240"/>
      <c r="I161" s="241" t="e">
        <f>#REF!</f>
        <v>#REF!</v>
      </c>
      <c r="J161" s="928" t="e">
        <f>#REF!</f>
        <v>#REF!</v>
      </c>
      <c r="K161" s="928"/>
      <c r="L161" s="928"/>
      <c r="M161" s="928"/>
    </row>
    <row r="162" spans="1:13" ht="19.5" hidden="1" customHeight="1">
      <c r="A162" s="240" t="e">
        <f>#REF!</f>
        <v>#REF!</v>
      </c>
      <c r="B162" s="240"/>
      <c r="C162" s="240"/>
      <c r="D162" s="240"/>
      <c r="E162" s="240"/>
      <c r="F162" s="240"/>
      <c r="G162" s="240"/>
      <c r="H162" s="240"/>
      <c r="I162" s="241" t="e">
        <f>#REF!</f>
        <v>#REF!</v>
      </c>
      <c r="J162" s="928" t="e">
        <f>#REF!</f>
        <v>#REF!</v>
      </c>
      <c r="K162" s="928"/>
      <c r="L162" s="928"/>
      <c r="M162" s="928"/>
    </row>
    <row r="163" spans="1:13" ht="19.5" hidden="1" customHeight="1">
      <c r="A163" s="240" t="e">
        <f>#REF!</f>
        <v>#REF!</v>
      </c>
      <c r="B163" s="240"/>
      <c r="C163" s="240"/>
      <c r="D163" s="240"/>
      <c r="E163" s="240"/>
      <c r="F163" s="240"/>
      <c r="G163" s="240"/>
      <c r="H163" s="240"/>
      <c r="I163" s="241" t="e">
        <f>#REF!</f>
        <v>#REF!</v>
      </c>
      <c r="J163" s="928" t="e">
        <f>#REF!</f>
        <v>#REF!</v>
      </c>
      <c r="K163" s="928"/>
      <c r="L163" s="928"/>
      <c r="M163" s="928"/>
    </row>
    <row r="164" spans="1:13" ht="19.5" hidden="1" customHeight="1">
      <c r="A164" s="240" t="e">
        <f>#REF!</f>
        <v>#REF!</v>
      </c>
      <c r="B164" s="240"/>
      <c r="C164" s="240"/>
      <c r="D164" s="240"/>
      <c r="E164" s="240"/>
      <c r="F164" s="240"/>
      <c r="G164" s="240"/>
      <c r="H164" s="240"/>
      <c r="I164" s="241" t="e">
        <f>#REF!</f>
        <v>#REF!</v>
      </c>
      <c r="J164" s="928" t="e">
        <f>#REF!</f>
        <v>#REF!</v>
      </c>
      <c r="K164" s="928"/>
      <c r="L164" s="928"/>
      <c r="M164" s="928"/>
    </row>
    <row r="165" spans="1:13" ht="19.5" hidden="1" customHeight="1">
      <c r="A165" s="240" t="e">
        <f>#REF!</f>
        <v>#REF!</v>
      </c>
      <c r="B165" s="240"/>
      <c r="C165" s="240"/>
      <c r="D165" s="240"/>
      <c r="E165" s="240"/>
      <c r="F165" s="240"/>
      <c r="G165" s="240"/>
      <c r="H165" s="240"/>
      <c r="I165" s="241" t="e">
        <f>#REF!</f>
        <v>#REF!</v>
      </c>
      <c r="J165" s="928" t="e">
        <f>#REF!</f>
        <v>#REF!</v>
      </c>
      <c r="K165" s="928"/>
      <c r="L165" s="928"/>
      <c r="M165" s="928"/>
    </row>
    <row r="166" spans="1:13" ht="19.5" hidden="1" customHeight="1">
      <c r="A166" s="240" t="e">
        <f>#REF!</f>
        <v>#REF!</v>
      </c>
      <c r="B166" s="240"/>
      <c r="C166" s="240"/>
      <c r="D166" s="240"/>
      <c r="E166" s="240"/>
      <c r="F166" s="240"/>
      <c r="G166" s="240"/>
      <c r="H166" s="240"/>
      <c r="I166" s="241" t="e">
        <f>#REF!</f>
        <v>#REF!</v>
      </c>
      <c r="J166" s="928" t="e">
        <f>#REF!</f>
        <v>#REF!</v>
      </c>
      <c r="K166" s="928"/>
      <c r="L166" s="928"/>
      <c r="M166" s="928"/>
    </row>
    <row r="167" spans="1:13" ht="19.5" hidden="1" customHeight="1">
      <c r="A167" s="250"/>
      <c r="B167" s="250"/>
      <c r="C167" s="250"/>
      <c r="D167" s="250"/>
      <c r="E167" s="250"/>
      <c r="F167" s="250"/>
      <c r="G167" s="250"/>
      <c r="H167" s="250"/>
      <c r="I167" s="239" t="e">
        <f>#REF!</f>
        <v>#REF!</v>
      </c>
      <c r="J167" s="928" t="e">
        <f>#REF!</f>
        <v>#REF!</v>
      </c>
      <c r="K167" s="928"/>
      <c r="L167" s="928"/>
      <c r="M167" s="928"/>
    </row>
    <row r="168" spans="1:13" ht="33" hidden="1" customHeight="1">
      <c r="A168" s="243" t="e">
        <f>#REF!</f>
        <v>#REF!</v>
      </c>
      <c r="B168" s="243"/>
      <c r="C168" s="243"/>
      <c r="D168" s="243"/>
      <c r="E168" s="243"/>
      <c r="F168" s="243"/>
      <c r="G168" s="243"/>
      <c r="H168" s="243"/>
      <c r="I168" s="239" t="e">
        <f>#REF!</f>
        <v>#REF!</v>
      </c>
      <c r="J168" s="928"/>
      <c r="K168" s="928"/>
      <c r="L168" s="928"/>
      <c r="M168" s="928"/>
    </row>
    <row r="169" spans="1:13" ht="33" hidden="1" customHeight="1">
      <c r="A169" s="240" t="e">
        <f>#REF!</f>
        <v>#REF!</v>
      </c>
      <c r="B169" s="240"/>
      <c r="C169" s="240"/>
      <c r="D169" s="240"/>
      <c r="E169" s="240"/>
      <c r="F169" s="240"/>
      <c r="G169" s="240"/>
      <c r="H169" s="240"/>
      <c r="I169" s="241" t="e">
        <f>#REF!</f>
        <v>#REF!</v>
      </c>
      <c r="J169" s="928" t="e">
        <f>#REF!</f>
        <v>#REF!</v>
      </c>
      <c r="K169" s="928"/>
      <c r="L169" s="928"/>
      <c r="M169" s="928"/>
    </row>
    <row r="170" spans="1:13" ht="19.5" hidden="1" customHeight="1">
      <c r="A170" s="240" t="e">
        <f>#REF!</f>
        <v>#REF!</v>
      </c>
      <c r="B170" s="240"/>
      <c r="C170" s="240"/>
      <c r="D170" s="240"/>
      <c r="E170" s="240"/>
      <c r="F170" s="240"/>
      <c r="G170" s="240"/>
      <c r="H170" s="240"/>
      <c r="I170" s="241" t="e">
        <f>#REF!</f>
        <v>#REF!</v>
      </c>
      <c r="J170" s="928" t="e">
        <f>#REF!</f>
        <v>#REF!</v>
      </c>
      <c r="K170" s="928"/>
      <c r="L170" s="928"/>
      <c r="M170" s="928"/>
    </row>
    <row r="171" spans="1:13" ht="19.5" hidden="1" customHeight="1">
      <c r="A171" s="240" t="e">
        <f>#REF!</f>
        <v>#REF!</v>
      </c>
      <c r="B171" s="240"/>
      <c r="C171" s="240"/>
      <c r="D171" s="240"/>
      <c r="E171" s="240"/>
      <c r="F171" s="240"/>
      <c r="G171" s="240"/>
      <c r="H171" s="240"/>
      <c r="I171" s="241" t="e">
        <f>#REF!</f>
        <v>#REF!</v>
      </c>
      <c r="J171" s="928" t="e">
        <f>#REF!</f>
        <v>#REF!</v>
      </c>
      <c r="K171" s="928"/>
      <c r="L171" s="928"/>
      <c r="M171" s="928"/>
    </row>
    <row r="172" spans="1:13" ht="19.5" hidden="1" customHeight="1">
      <c r="A172" s="250" t="e">
        <f>#REF!</f>
        <v>#REF!</v>
      </c>
      <c r="B172" s="250"/>
      <c r="C172" s="250"/>
      <c r="D172" s="250"/>
      <c r="E172" s="250"/>
      <c r="F172" s="250"/>
      <c r="G172" s="250"/>
      <c r="H172" s="250"/>
      <c r="I172" s="239" t="e">
        <f>#REF!</f>
        <v>#REF!</v>
      </c>
      <c r="J172" s="928" t="e">
        <f>#REF!</f>
        <v>#REF!</v>
      </c>
      <c r="K172" s="928"/>
      <c r="L172" s="928"/>
      <c r="M172" s="928"/>
    </row>
    <row r="173" spans="1:13" ht="33" hidden="1" customHeight="1">
      <c r="A173" s="243" t="e">
        <f>#REF!</f>
        <v>#REF!</v>
      </c>
      <c r="B173" s="243"/>
      <c r="C173" s="243"/>
      <c r="D173" s="243"/>
      <c r="E173" s="243"/>
      <c r="F173" s="243"/>
      <c r="G173" s="243"/>
      <c r="H173" s="243"/>
      <c r="I173" s="239" t="e">
        <f>#REF!</f>
        <v>#REF!</v>
      </c>
      <c r="J173" s="928"/>
      <c r="K173" s="928"/>
      <c r="L173" s="928"/>
      <c r="M173" s="928"/>
    </row>
    <row r="174" spans="1:13" ht="19.5" hidden="1" customHeight="1">
      <c r="A174" s="240" t="e">
        <f>#REF!</f>
        <v>#REF!</v>
      </c>
      <c r="B174" s="240"/>
      <c r="C174" s="240"/>
      <c r="D174" s="240"/>
      <c r="E174" s="240"/>
      <c r="F174" s="240"/>
      <c r="G174" s="240"/>
      <c r="H174" s="240"/>
      <c r="I174" s="241" t="e">
        <f>#REF!</f>
        <v>#REF!</v>
      </c>
      <c r="J174" s="928" t="e">
        <f>#REF!</f>
        <v>#REF!</v>
      </c>
      <c r="K174" s="928"/>
      <c r="L174" s="928"/>
      <c r="M174" s="928"/>
    </row>
    <row r="175" spans="1:13" ht="19.5" hidden="1" customHeight="1">
      <c r="A175" s="240" t="e">
        <f>#REF!</f>
        <v>#REF!</v>
      </c>
      <c r="B175" s="240"/>
      <c r="C175" s="240"/>
      <c r="D175" s="240"/>
      <c r="E175" s="240"/>
      <c r="F175" s="240"/>
      <c r="G175" s="240"/>
      <c r="H175" s="240"/>
      <c r="I175" s="241" t="e">
        <f>#REF!</f>
        <v>#REF!</v>
      </c>
      <c r="J175" s="928" t="e">
        <f>#REF!</f>
        <v>#REF!</v>
      </c>
      <c r="K175" s="928"/>
      <c r="L175" s="928"/>
      <c r="M175" s="928"/>
    </row>
    <row r="176" spans="1:13" ht="32.25" hidden="1" customHeight="1">
      <c r="A176" s="240" t="e">
        <f>#REF!</f>
        <v>#REF!</v>
      </c>
      <c r="B176" s="240"/>
      <c r="C176" s="240"/>
      <c r="D176" s="240"/>
      <c r="E176" s="240"/>
      <c r="F176" s="240"/>
      <c r="G176" s="240"/>
      <c r="H176" s="240"/>
      <c r="I176" s="241" t="e">
        <f>#REF!</f>
        <v>#REF!</v>
      </c>
      <c r="J176" s="928" t="e">
        <f>#REF!</f>
        <v>#REF!</v>
      </c>
      <c r="K176" s="928"/>
      <c r="L176" s="928"/>
      <c r="M176" s="928"/>
    </row>
    <row r="177" spans="1:100" ht="19.5" hidden="1" customHeight="1">
      <c r="A177" s="240" t="e">
        <f>#REF!</f>
        <v>#REF!</v>
      </c>
      <c r="B177" s="240"/>
      <c r="C177" s="240"/>
      <c r="D177" s="240"/>
      <c r="E177" s="240"/>
      <c r="F177" s="240"/>
      <c r="G177" s="240"/>
      <c r="H177" s="240"/>
      <c r="I177" s="241" t="e">
        <f>#REF!</f>
        <v>#REF!</v>
      </c>
      <c r="J177" s="928" t="e">
        <f>#REF!</f>
        <v>#REF!</v>
      </c>
      <c r="K177" s="928"/>
      <c r="L177" s="928"/>
      <c r="M177" s="928"/>
    </row>
    <row r="178" spans="1:100" ht="19.5" hidden="1" customHeight="1">
      <c r="A178" s="242"/>
      <c r="B178" s="242"/>
      <c r="C178" s="242"/>
      <c r="D178" s="242"/>
      <c r="E178" s="242"/>
      <c r="F178" s="242"/>
      <c r="G178" s="242"/>
      <c r="H178" s="242"/>
      <c r="I178" s="239" t="e">
        <f>#REF!</f>
        <v>#REF!</v>
      </c>
      <c r="J178" s="928" t="e">
        <f>#REF!</f>
        <v>#REF!</v>
      </c>
      <c r="K178" s="928"/>
      <c r="L178" s="928"/>
      <c r="M178" s="928"/>
    </row>
    <row r="179" spans="1:100" ht="16.5" hidden="1" customHeight="1">
      <c r="A179" s="245"/>
      <c r="B179" s="245"/>
      <c r="C179" s="245"/>
      <c r="D179" s="245"/>
      <c r="E179" s="245"/>
      <c r="F179" s="245"/>
      <c r="G179" s="245"/>
      <c r="H179" s="245"/>
      <c r="I179" s="239" t="e">
        <f>#REF!</f>
        <v>#REF!</v>
      </c>
      <c r="J179" s="928" t="e">
        <f>#REF!</f>
        <v>#REF!</v>
      </c>
      <c r="K179" s="928"/>
      <c r="L179" s="928"/>
      <c r="M179" s="928"/>
    </row>
    <row r="180" spans="1:100" ht="19.5" hidden="1" customHeight="1">
      <c r="A180" s="247"/>
      <c r="B180" s="247"/>
      <c r="C180" s="247"/>
      <c r="D180" s="247"/>
      <c r="E180" s="247"/>
      <c r="F180" s="247"/>
      <c r="G180" s="247"/>
      <c r="H180" s="247"/>
      <c r="I180" s="239" t="e">
        <f>#REF!</f>
        <v>#REF!</v>
      </c>
      <c r="J180" s="928" t="e">
        <f>#REF!</f>
        <v>#REF!</v>
      </c>
      <c r="K180" s="928"/>
      <c r="L180" s="928"/>
      <c r="M180" s="928"/>
    </row>
    <row r="181" spans="1:100" s="221" customFormat="1">
      <c r="A181" s="251"/>
      <c r="B181" s="251"/>
      <c r="C181" s="251"/>
      <c r="D181" s="251"/>
      <c r="E181" s="251"/>
      <c r="F181" s="251"/>
      <c r="G181" s="251"/>
      <c r="H181" s="251"/>
      <c r="I181" s="252"/>
      <c r="J181" s="931"/>
      <c r="K181" s="931"/>
      <c r="L181" s="931"/>
      <c r="M181" s="931"/>
      <c r="N181" s="257"/>
      <c r="O181" s="257"/>
      <c r="P181" s="257"/>
      <c r="Q181" s="257"/>
      <c r="R181" s="257"/>
      <c r="S181" s="257"/>
      <c r="T181" s="257"/>
      <c r="U181" s="257"/>
      <c r="V181" s="257"/>
      <c r="W181" s="257"/>
      <c r="X181" s="257"/>
      <c r="Y181" s="257"/>
      <c r="Z181" s="257"/>
      <c r="AA181" s="257"/>
      <c r="AB181" s="257"/>
      <c r="AC181" s="257"/>
      <c r="AD181" s="257"/>
      <c r="AE181" s="257"/>
      <c r="AF181" s="257"/>
      <c r="AG181" s="257"/>
      <c r="AH181" s="257"/>
      <c r="AI181" s="257"/>
      <c r="AJ181" s="257"/>
      <c r="AK181" s="257"/>
      <c r="AL181" s="257"/>
      <c r="AM181" s="257"/>
      <c r="AN181" s="257"/>
      <c r="AO181" s="257"/>
      <c r="AP181" s="257"/>
      <c r="AQ181" s="257"/>
      <c r="AR181" s="257"/>
      <c r="AS181" s="257"/>
      <c r="AT181" s="257"/>
      <c r="AU181" s="257"/>
      <c r="AV181" s="257"/>
      <c r="AW181" s="257"/>
      <c r="AX181" s="257"/>
      <c r="AY181" s="257"/>
      <c r="AZ181" s="257"/>
      <c r="BA181" s="257"/>
      <c r="BB181" s="257"/>
      <c r="BC181" s="257"/>
      <c r="BD181" s="257"/>
      <c r="BE181" s="257"/>
      <c r="BF181" s="257"/>
      <c r="BG181" s="257"/>
      <c r="BH181" s="257"/>
      <c r="BI181" s="257"/>
      <c r="BJ181" s="257"/>
      <c r="BK181" s="257"/>
      <c r="BL181" s="257"/>
      <c r="BM181" s="257"/>
      <c r="BN181" s="257"/>
      <c r="BO181" s="257"/>
      <c r="BP181" s="257"/>
      <c r="BQ181" s="257"/>
      <c r="BR181" s="257"/>
      <c r="BS181" s="257"/>
      <c r="BT181" s="257"/>
      <c r="BU181" s="257"/>
      <c r="BV181" s="257"/>
      <c r="BW181" s="257"/>
      <c r="BX181" s="257"/>
      <c r="BY181" s="257"/>
      <c r="BZ181" s="257"/>
      <c r="CA181" s="257"/>
      <c r="CB181" s="257"/>
      <c r="CC181" s="257"/>
      <c r="CD181" s="257"/>
      <c r="CE181" s="257"/>
      <c r="CF181" s="257"/>
      <c r="CG181" s="257"/>
      <c r="CH181" s="257"/>
      <c r="CI181" s="257"/>
      <c r="CJ181" s="257"/>
      <c r="CK181" s="257"/>
      <c r="CL181" s="257"/>
      <c r="CM181" s="257"/>
      <c r="CN181" s="257"/>
      <c r="CO181" s="257"/>
      <c r="CP181" s="257"/>
      <c r="CQ181" s="257"/>
      <c r="CR181" s="257"/>
      <c r="CS181" s="257"/>
      <c r="CT181" s="257"/>
      <c r="CU181" s="257"/>
      <c r="CV181" s="257"/>
    </row>
    <row r="182" spans="1:100" s="221" customFormat="1">
      <c r="A182" s="226"/>
      <c r="B182" s="226"/>
      <c r="C182" s="226"/>
      <c r="D182" s="226"/>
      <c r="E182" s="226"/>
      <c r="F182" s="226"/>
      <c r="G182" s="226"/>
      <c r="H182" s="226"/>
      <c r="I182" s="347"/>
      <c r="J182" s="227"/>
      <c r="K182" s="227"/>
      <c r="L182" s="227"/>
      <c r="M182" s="227"/>
      <c r="N182" s="257"/>
      <c r="O182" s="257"/>
      <c r="P182" s="257"/>
      <c r="Q182" s="257"/>
      <c r="R182" s="257"/>
      <c r="S182" s="257"/>
      <c r="T182" s="257"/>
      <c r="U182" s="257"/>
      <c r="V182" s="257"/>
      <c r="W182" s="257"/>
      <c r="X182" s="257"/>
      <c r="Y182" s="257"/>
      <c r="Z182" s="257"/>
      <c r="AA182" s="257"/>
      <c r="AB182" s="257"/>
      <c r="AC182" s="257"/>
      <c r="AD182" s="257"/>
      <c r="AE182" s="257"/>
      <c r="AF182" s="257"/>
      <c r="AG182" s="257"/>
      <c r="AH182" s="257"/>
      <c r="AI182" s="257"/>
      <c r="AJ182" s="257"/>
      <c r="AK182" s="257"/>
      <c r="AL182" s="257"/>
      <c r="AM182" s="257"/>
      <c r="AN182" s="257"/>
      <c r="AO182" s="257"/>
      <c r="AP182" s="257"/>
      <c r="AQ182" s="257"/>
      <c r="AR182" s="257"/>
      <c r="AS182" s="257"/>
      <c r="AT182" s="257"/>
      <c r="AU182" s="257"/>
      <c r="AV182" s="257"/>
      <c r="AW182" s="257"/>
      <c r="AX182" s="257"/>
      <c r="AY182" s="257"/>
      <c r="AZ182" s="257"/>
      <c r="BA182" s="257"/>
      <c r="BB182" s="257"/>
      <c r="BC182" s="257"/>
      <c r="BD182" s="257"/>
      <c r="BE182" s="257"/>
      <c r="BF182" s="257"/>
      <c r="BG182" s="257"/>
      <c r="BH182" s="257"/>
      <c r="BI182" s="257"/>
      <c r="BJ182" s="257"/>
      <c r="BK182" s="257"/>
      <c r="BL182" s="257"/>
      <c r="BM182" s="257"/>
      <c r="BN182" s="257"/>
      <c r="BO182" s="257"/>
      <c r="BP182" s="257"/>
      <c r="BQ182" s="257"/>
      <c r="BR182" s="257"/>
      <c r="BS182" s="257"/>
      <c r="BT182" s="257"/>
      <c r="BU182" s="257"/>
      <c r="BV182" s="257"/>
      <c r="BW182" s="257"/>
      <c r="BX182" s="257"/>
      <c r="BY182" s="257"/>
      <c r="BZ182" s="257"/>
      <c r="CA182" s="257"/>
      <c r="CB182" s="257"/>
      <c r="CC182" s="257"/>
      <c r="CD182" s="257"/>
      <c r="CE182" s="257"/>
      <c r="CF182" s="257"/>
      <c r="CG182" s="257"/>
      <c r="CH182" s="257"/>
      <c r="CI182" s="257"/>
      <c r="CJ182" s="257"/>
      <c r="CK182" s="257"/>
      <c r="CL182" s="257"/>
      <c r="CM182" s="257"/>
      <c r="CN182" s="257"/>
      <c r="CO182" s="257"/>
      <c r="CP182" s="257"/>
      <c r="CQ182" s="257"/>
      <c r="CR182" s="257"/>
      <c r="CS182" s="257"/>
      <c r="CT182" s="257"/>
      <c r="CU182" s="257"/>
      <c r="CV182" s="257"/>
    </row>
    <row r="183" spans="1:100" s="221" customFormat="1">
      <c r="A183" s="226"/>
      <c r="B183" s="226"/>
      <c r="C183" s="226"/>
      <c r="D183" s="226"/>
      <c r="E183" s="226"/>
      <c r="F183" s="226"/>
      <c r="G183" s="226"/>
      <c r="H183" s="226"/>
      <c r="I183" s="347"/>
      <c r="J183" s="227"/>
      <c r="K183" s="227"/>
      <c r="L183" s="227"/>
      <c r="M183" s="227"/>
      <c r="N183" s="257"/>
      <c r="O183" s="257"/>
      <c r="P183" s="257"/>
      <c r="Q183" s="257"/>
      <c r="R183" s="257"/>
      <c r="S183" s="257"/>
      <c r="T183" s="257"/>
      <c r="U183" s="257"/>
      <c r="V183" s="257"/>
      <c r="W183" s="257"/>
      <c r="X183" s="257"/>
      <c r="Y183" s="257"/>
      <c r="Z183" s="257"/>
      <c r="AA183" s="257"/>
      <c r="AB183" s="257"/>
      <c r="AC183" s="257"/>
      <c r="AD183" s="257"/>
      <c r="AE183" s="257"/>
      <c r="AF183" s="257"/>
      <c r="AG183" s="257"/>
      <c r="AH183" s="257"/>
      <c r="AI183" s="257"/>
      <c r="AJ183" s="257"/>
      <c r="AK183" s="257"/>
      <c r="AL183" s="257"/>
      <c r="AM183" s="257"/>
      <c r="AN183" s="257"/>
      <c r="AO183" s="257"/>
      <c r="AP183" s="257"/>
      <c r="AQ183" s="257"/>
      <c r="AR183" s="257"/>
      <c r="AS183" s="257"/>
      <c r="AT183" s="257"/>
      <c r="AU183" s="257"/>
      <c r="AV183" s="257"/>
      <c r="AW183" s="257"/>
      <c r="AX183" s="257"/>
      <c r="AY183" s="257"/>
      <c r="AZ183" s="257"/>
      <c r="BA183" s="257"/>
      <c r="BB183" s="257"/>
      <c r="BC183" s="257"/>
      <c r="BD183" s="257"/>
      <c r="BE183" s="257"/>
      <c r="BF183" s="257"/>
      <c r="BG183" s="257"/>
      <c r="BH183" s="257"/>
      <c r="BI183" s="257"/>
      <c r="BJ183" s="257"/>
      <c r="BK183" s="257"/>
      <c r="BL183" s="257"/>
      <c r="BM183" s="257"/>
      <c r="BN183" s="257"/>
      <c r="BO183" s="257"/>
      <c r="BP183" s="257"/>
      <c r="BQ183" s="257"/>
      <c r="BR183" s="257"/>
      <c r="BS183" s="257"/>
      <c r="BT183" s="257"/>
      <c r="BU183" s="257"/>
      <c r="BV183" s="257"/>
      <c r="BW183" s="257"/>
      <c r="BX183" s="257"/>
      <c r="BY183" s="257"/>
      <c r="BZ183" s="257"/>
      <c r="CA183" s="257"/>
      <c r="CB183" s="257"/>
      <c r="CC183" s="257"/>
      <c r="CD183" s="257"/>
      <c r="CE183" s="257"/>
      <c r="CF183" s="257"/>
      <c r="CG183" s="257"/>
      <c r="CH183" s="257"/>
      <c r="CI183" s="257"/>
      <c r="CJ183" s="257"/>
      <c r="CK183" s="257"/>
      <c r="CL183" s="257"/>
      <c r="CM183" s="257"/>
      <c r="CN183" s="257"/>
      <c r="CO183" s="257"/>
      <c r="CP183" s="257"/>
      <c r="CQ183" s="257"/>
      <c r="CR183" s="257"/>
      <c r="CS183" s="257"/>
      <c r="CT183" s="257"/>
      <c r="CU183" s="257"/>
      <c r="CV183" s="257"/>
    </row>
  </sheetData>
  <sheetProtection password="CBD2" sheet="1" objects="1" scenarios="1" formatColumns="0" formatRows="0" selectLockedCells="1"/>
  <customSheetViews>
    <customSheetView guid="{C497F4E0-7D3E-4065-935D-7086BE9276FE}" showPageBreaks="1" fitToPage="1" printArea="1" hiddenRows="1" hiddenColumns="1" view="pageBreakPreview">
      <selection activeCell="A16" sqref="A16"/>
      <pageMargins left="0.7" right="0.7" top="0.75" bottom="0.75" header="0.3" footer="0.3"/>
      <pageSetup paperSize="9" scale="75" fitToHeight="0" orientation="landscape" r:id="rId1"/>
    </customSheetView>
    <customSheetView guid="{889C3D82-0A24-4765-A688-A80A782F5056}" showPageBreaks="1" fitToPage="1" printArea="1" hiddenRows="1" hiddenColumns="1" view="pageBreakPreview">
      <selection activeCell="A16" sqref="A16"/>
      <pageMargins left="0.7" right="0.7" top="0.75" bottom="0.75" header="0.3" footer="0.3"/>
      <pageSetup paperSize="9" scale="75" fitToHeight="0" orientation="landscape" r:id="rId2"/>
    </customSheetView>
    <customSheetView guid="{89CB4E6A-722E-4E39-885D-E2A6D0D08321}" showPageBreaks="1" fitToPage="1" printArea="1" hiddenRows="1" hiddenColumns="1" view="pageBreakPreview" topLeftCell="A7">
      <selection activeCell="A16" sqref="A16"/>
      <pageMargins left="0.7" right="0.7" top="0.75" bottom="0.75" header="0.3" footer="0.3"/>
      <pageSetup paperSize="9" scale="75" fitToHeight="0" orientation="landscape" r:id="rId3"/>
    </customSheetView>
    <customSheetView guid="{915C64AD-BD67-44F0-9117-5B9D998BA799}" showPageBreaks="1" printArea="1" hiddenRows="1" hiddenColumns="1" view="pageBreakPreview" topLeftCell="A10">
      <selection activeCell="A16" sqref="A16"/>
      <pageMargins left="0.7" right="0.7" top="0.75" bottom="0.75" header="0.3" footer="0.3"/>
      <pageSetup paperSize="9" scale="57" orientation="landscape" r:id="rId4"/>
    </customSheetView>
    <customSheetView guid="{18EA11B4-BD82-47BF-99FA-7AB19BF74D0B}" showPageBreaks="1" printArea="1" hiddenRows="1" hiddenColumns="1" view="pageBreakPreview">
      <selection activeCell="A16" sqref="A16"/>
      <pageMargins left="0.7" right="0.7" top="0.75" bottom="0.75" header="0.3" footer="0.3"/>
      <pageSetup paperSize="9" scale="57" orientation="landscape" r:id="rId5"/>
    </customSheetView>
    <customSheetView guid="{CCA37BAE-906F-43D5-9FD9-B13563E4B9D7}" showPageBreaks="1" printArea="1" hiddenRows="1" hiddenColumns="1" view="pageBreakPreview">
      <selection activeCell="A16" sqref="A16"/>
      <pageMargins left="0.7" right="0.7" top="0.75" bottom="0.75" header="0.3" footer="0.3"/>
      <pageSetup paperSize="9" scale="57" orientation="landscape" r:id="rId6"/>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7"/>
    </customSheetView>
    <customSheetView guid="{63D51328-7CBC-4A1E-B96D-BAE91416501B}" scale="80" showPageBreaks="1" printArea="1" hiddenRows="1" hiddenColumns="1" view="pageBreakPreview">
      <selection activeCell="K30" sqref="K30"/>
      <pageMargins left="0.7" right="0.7" top="0.75" bottom="0.75" header="0.3" footer="0.3"/>
      <pageSetup paperSize="9" scale="57" orientation="landscape" r:id="rId8"/>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9"/>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10"/>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11"/>
    </customSheetView>
    <customSheetView guid="{A58DB4DF-40C7-4BEB-B85E-6BD6F54941CF}" showPageBreaks="1" printArea="1" hiddenRows="1" hiddenColumns="1" view="pageBreakPreview" topLeftCell="A10">
      <selection activeCell="A16" sqref="A16"/>
      <pageMargins left="0.7" right="0.7" top="0.75" bottom="0.75" header="0.3" footer="0.3"/>
      <pageSetup paperSize="9" scale="57" orientation="landscape" r:id="rId12"/>
    </customSheetView>
    <customSheetView guid="{1211E1B9-FC37-4364-9CF0-0FFC01866726}" showPageBreaks="1" fitToPage="1" printArea="1" hiddenRows="1" hiddenColumns="1" view="pageBreakPreview">
      <selection activeCell="A16" sqref="A16"/>
      <pageMargins left="0.7" right="0.7" top="0.75" bottom="0.75" header="0.3" footer="0.3"/>
      <pageSetup paperSize="9" scale="75" fitToHeight="0" orientation="landscape" r:id="rId13"/>
    </customSheetView>
  </customSheetViews>
  <mergeCells count="138">
    <mergeCell ref="J152:M152"/>
    <mergeCell ref="J153:M153"/>
    <mergeCell ref="J154:M154"/>
    <mergeCell ref="J155:M155"/>
    <mergeCell ref="J156:M156"/>
    <mergeCell ref="J157:M157"/>
    <mergeCell ref="J146:M146"/>
    <mergeCell ref="J147:M147"/>
    <mergeCell ref="J148:M148"/>
    <mergeCell ref="J149:M149"/>
    <mergeCell ref="J150:M150"/>
    <mergeCell ref="J151:M151"/>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04:M104"/>
    <mergeCell ref="J105:M105"/>
    <mergeCell ref="J106:M106"/>
    <mergeCell ref="J107:M107"/>
    <mergeCell ref="J108:M108"/>
    <mergeCell ref="J109:M109"/>
    <mergeCell ref="J98:M98"/>
    <mergeCell ref="J99:M99"/>
    <mergeCell ref="J100:M100"/>
    <mergeCell ref="J101:M101"/>
    <mergeCell ref="J102:M102"/>
    <mergeCell ref="J103:M103"/>
    <mergeCell ref="J97:M97"/>
    <mergeCell ref="J86:M86"/>
    <mergeCell ref="J87:M87"/>
    <mergeCell ref="J88:M88"/>
    <mergeCell ref="J89:M89"/>
    <mergeCell ref="J90:M90"/>
    <mergeCell ref="J91:M91"/>
    <mergeCell ref="J95:M95"/>
    <mergeCell ref="J93:M93"/>
    <mergeCell ref="J94:M9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A3:M3"/>
    <mergeCell ref="A4:M4"/>
    <mergeCell ref="C10:F10"/>
    <mergeCell ref="C9:F9"/>
    <mergeCell ref="B6:C6"/>
    <mergeCell ref="B7:H7"/>
    <mergeCell ref="B8:H8"/>
    <mergeCell ref="J21:M21"/>
    <mergeCell ref="C22:D22"/>
    <mergeCell ref="H22:I22"/>
    <mergeCell ref="J22:M22"/>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75" fitToHeight="0" orientation="landscape" r:id="rId1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zoomScaleNormal="70" zoomScaleSheetLayoutView="100" workbookViewId="0">
      <selection activeCell="G18" sqref="G18"/>
    </sheetView>
  </sheetViews>
  <sheetFormatPr defaultRowHeight="16.5"/>
  <cols>
    <col min="1" max="2" width="5.7109375" style="141" customWidth="1"/>
    <col min="3" max="3" width="24.7109375" style="141" customWidth="1"/>
    <col min="4" max="4" width="15.28515625" style="141" customWidth="1"/>
    <col min="5" max="5" width="28.7109375" style="141" customWidth="1"/>
    <col min="6" max="6" width="14.7109375" style="141" customWidth="1"/>
    <col min="7" max="7" width="19.5703125" style="141" customWidth="1"/>
    <col min="8" max="8" width="23.7109375" style="128" hidden="1" customWidth="1"/>
    <col min="9" max="9" width="18" style="129" hidden="1" customWidth="1"/>
    <col min="10" max="10" width="16.85546875" style="130" hidden="1" customWidth="1"/>
    <col min="11" max="11" width="14.5703125" style="130" hidden="1" customWidth="1"/>
    <col min="12" max="12" width="18.5703125" style="130" hidden="1" customWidth="1"/>
    <col min="13" max="13" width="16.28515625" style="130" customWidth="1"/>
    <col min="14" max="14" width="39.7109375" style="130" customWidth="1"/>
    <col min="15" max="15" width="24.28515625" style="130" customWidth="1"/>
    <col min="16" max="17" width="16.28515625" style="130" customWidth="1"/>
    <col min="18" max="19" width="10.28515625" style="131" customWidth="1"/>
    <col min="20" max="20" width="9.140625" style="131" customWidth="1"/>
    <col min="21" max="21" width="9.140625" style="132" customWidth="1"/>
    <col min="22" max="23" width="9.140625" style="132"/>
    <col min="24" max="25" width="9.140625" style="133"/>
    <col min="26" max="16384" width="9.140625" style="134"/>
  </cols>
  <sheetData>
    <row r="1" spans="1:25" s="126" customFormat="1" ht="39.950000000000003" customHeight="1">
      <c r="A1" s="937" t="s">
        <v>159</v>
      </c>
      <c r="B1" s="937"/>
      <c r="C1" s="937"/>
      <c r="D1" s="937"/>
      <c r="E1" s="937"/>
      <c r="F1" s="937"/>
      <c r="G1" s="937"/>
      <c r="H1" s="121"/>
      <c r="I1" s="122"/>
      <c r="J1" s="123"/>
      <c r="K1" s="123"/>
      <c r="L1" s="123"/>
      <c r="M1" s="123"/>
      <c r="N1" s="123"/>
      <c r="O1" s="123"/>
      <c r="P1" s="123"/>
      <c r="Q1" s="123"/>
      <c r="R1" s="123"/>
      <c r="S1" s="123"/>
      <c r="T1" s="123"/>
      <c r="U1" s="124"/>
      <c r="V1" s="124"/>
      <c r="W1" s="124"/>
      <c r="X1" s="125"/>
      <c r="Y1" s="125"/>
    </row>
    <row r="2" spans="1:25" ht="18" customHeight="1">
      <c r="A2" s="92" t="str">
        <f>Cover!B3</f>
        <v>Spec No: CC/NT/W-AIS/DOM/A10/24/03802</v>
      </c>
      <c r="B2" s="92"/>
      <c r="C2" s="93"/>
      <c r="D2" s="127"/>
      <c r="E2" s="127"/>
      <c r="F2" s="127"/>
      <c r="G2" s="95" t="s">
        <v>160</v>
      </c>
    </row>
    <row r="3" spans="1:25" ht="12.75" customHeight="1">
      <c r="A3" s="96"/>
      <c r="B3" s="96"/>
      <c r="C3" s="97"/>
      <c r="D3" s="116"/>
      <c r="E3" s="116"/>
      <c r="F3" s="116"/>
      <c r="G3" s="98"/>
    </row>
    <row r="4" spans="1:25" ht="18.95" customHeight="1">
      <c r="A4" s="938" t="s">
        <v>161</v>
      </c>
      <c r="B4" s="938"/>
      <c r="C4" s="938"/>
      <c r="D4" s="938"/>
      <c r="E4" s="938"/>
      <c r="F4" s="938"/>
      <c r="G4" s="938"/>
    </row>
    <row r="5" spans="1:25" ht="21" customHeight="1">
      <c r="A5" s="135" t="s">
        <v>1</v>
      </c>
      <c r="B5" s="135"/>
      <c r="C5" s="136"/>
      <c r="D5" s="136"/>
      <c r="E5" s="136"/>
      <c r="F5" s="136"/>
      <c r="G5" s="136"/>
    </row>
    <row r="6" spans="1:25" ht="21" customHeight="1">
      <c r="A6" s="12" t="s">
        <v>2</v>
      </c>
      <c r="B6" s="12"/>
      <c r="C6" s="136"/>
      <c r="D6" s="136"/>
      <c r="E6" s="136"/>
      <c r="F6" s="136"/>
      <c r="G6" s="136"/>
      <c r="I6" s="480" t="s">
        <v>227</v>
      </c>
      <c r="J6" s="561">
        <f>'Sch-1'!N321</f>
        <v>0</v>
      </c>
      <c r="K6" s="479"/>
      <c r="L6" s="363"/>
    </row>
    <row r="7" spans="1:25" ht="21" customHeight="1">
      <c r="A7" s="12" t="s">
        <v>3</v>
      </c>
      <c r="B7" s="12"/>
      <c r="C7" s="136"/>
      <c r="D7" s="136"/>
      <c r="E7" s="136"/>
      <c r="F7" s="136"/>
      <c r="G7" s="136"/>
      <c r="I7" s="480" t="s">
        <v>229</v>
      </c>
      <c r="J7" s="561">
        <f>'Sch-2'!J321</f>
        <v>0</v>
      </c>
      <c r="K7" s="479"/>
    </row>
    <row r="8" spans="1:25" ht="21" customHeight="1">
      <c r="A8" s="12" t="s">
        <v>4</v>
      </c>
      <c r="B8" s="12"/>
      <c r="C8" s="136"/>
      <c r="D8" s="136"/>
      <c r="E8" s="136"/>
      <c r="F8" s="136"/>
      <c r="G8" s="136"/>
      <c r="I8" s="480" t="s">
        <v>230</v>
      </c>
      <c r="J8" s="561">
        <f>'Sch-3'!P305</f>
        <v>0</v>
      </c>
      <c r="K8" s="479"/>
    </row>
    <row r="9" spans="1:25" ht="21" customHeight="1">
      <c r="A9" s="12" t="s">
        <v>162</v>
      </c>
      <c r="B9" s="12"/>
      <c r="C9" s="136"/>
      <c r="D9" s="136"/>
      <c r="E9" s="136"/>
      <c r="F9" s="136"/>
      <c r="G9" s="136"/>
      <c r="I9" s="481" t="s">
        <v>190</v>
      </c>
      <c r="J9" s="562">
        <f>J6+J7+J8</f>
        <v>0</v>
      </c>
      <c r="K9" s="479"/>
    </row>
    <row r="10" spans="1:25" ht="21" customHeight="1">
      <c r="A10" s="12" t="s">
        <v>6</v>
      </c>
      <c r="B10" s="12"/>
      <c r="C10" s="136"/>
      <c r="D10" s="136"/>
      <c r="E10" s="136"/>
      <c r="F10" s="136"/>
      <c r="G10" s="136"/>
      <c r="J10" s="362"/>
    </row>
    <row r="11" spans="1:25" ht="14.25" customHeight="1">
      <c r="A11" s="136"/>
      <c r="B11" s="136"/>
      <c r="C11" s="136"/>
      <c r="D11" s="136"/>
      <c r="E11" s="136"/>
      <c r="F11" s="136"/>
      <c r="G11" s="136"/>
    </row>
    <row r="12" spans="1:25" ht="150.75" customHeight="1">
      <c r="A12" s="137" t="s">
        <v>163</v>
      </c>
      <c r="B12" s="421"/>
      <c r="C12" s="939" t="str">
        <f>Cover!$B$2</f>
        <v>765kV AIS Substation Extension Package SS-124 (including 765/400kV GIS Bus Duct) for (i) Extension of 765/400kV Indore Substation under Augmentation of transformation capacity at 765/400kV Indore S/S in Madhya Pradesh; (ii) Extension of 400kV Indore (PG) S/s under Implementation of 400kV line bay at 765/400/220kV Indore (PG) S/s in MP for RE interconnection; (iii) Extension of 400kV Parli (New) S/s under Implementation of 400kV line bay at 765/400kV Parli (New) S/s for interconnection of RE project and (iv) Extension of 400/220kV Bhuj GIS PS under Augmentation of transformation capacity at 400/220kV Bhuj PS in Gujarat by 1x500MVA, 400/220kV ICT (9th)</v>
      </c>
      <c r="D12" s="939"/>
      <c r="E12" s="939"/>
      <c r="F12" s="939"/>
      <c r="G12" s="939"/>
      <c r="J12" s="363"/>
    </row>
    <row r="13" spans="1:25" ht="21" customHeight="1" thickBot="1">
      <c r="A13" s="138" t="s">
        <v>164</v>
      </c>
      <c r="B13" s="138"/>
      <c r="C13" s="139"/>
      <c r="D13" s="138"/>
      <c r="E13" s="138"/>
      <c r="F13" s="138"/>
      <c r="G13" s="138"/>
      <c r="H13" s="360"/>
      <c r="K13" s="147"/>
      <c r="L13" s="147"/>
      <c r="M13" s="147"/>
    </row>
    <row r="14" spans="1:25" ht="41.25" customHeight="1" thickBot="1">
      <c r="A14" s="940" t="s">
        <v>165</v>
      </c>
      <c r="B14" s="940"/>
      <c r="C14" s="940"/>
      <c r="D14" s="940"/>
      <c r="E14" s="940"/>
      <c r="F14" s="940"/>
      <c r="G14" s="940"/>
      <c r="H14" s="482" t="s">
        <v>324</v>
      </c>
      <c r="I14" s="482" t="s">
        <v>325</v>
      </c>
      <c r="J14" s="483" t="s">
        <v>326</v>
      </c>
      <c r="K14" s="147"/>
      <c r="L14" s="147"/>
      <c r="M14" s="147"/>
      <c r="N14" s="140"/>
    </row>
    <row r="15" spans="1:25" ht="56.25" customHeight="1">
      <c r="B15" s="142">
        <v>1</v>
      </c>
      <c r="C15" s="944" t="s">
        <v>317</v>
      </c>
      <c r="D15" s="942"/>
      <c r="E15" s="942"/>
      <c r="F15" s="943"/>
      <c r="G15" s="143"/>
      <c r="H15" s="538">
        <f>IF(J6=0,0,(G15/J9)*J6)</f>
        <v>0</v>
      </c>
      <c r="I15" s="539">
        <f>IF(J7=0,0,(G15/J9)*J7)</f>
        <v>0</v>
      </c>
      <c r="J15" s="538">
        <f>IF(J8,(G15/J9)*J8,0)</f>
        <v>0</v>
      </c>
      <c r="K15" s="147"/>
      <c r="L15" s="147"/>
      <c r="M15" s="147"/>
    </row>
    <row r="16" spans="1:25" ht="55.5" customHeight="1">
      <c r="B16" s="142">
        <v>2</v>
      </c>
      <c r="C16" s="941" t="s">
        <v>468</v>
      </c>
      <c r="D16" s="942"/>
      <c r="E16" s="942"/>
      <c r="F16" s="943"/>
      <c r="G16" s="144"/>
      <c r="H16" s="540">
        <f>G16*J6</f>
        <v>0</v>
      </c>
      <c r="I16" s="541">
        <f>G16*J7</f>
        <v>0</v>
      </c>
      <c r="J16" s="540">
        <f>G16*J8</f>
        <v>0</v>
      </c>
      <c r="K16" s="147"/>
      <c r="L16" s="147"/>
      <c r="M16" s="147"/>
    </row>
    <row r="17" spans="1:25" s="145" customFormat="1" ht="39.75" customHeight="1" thickBot="1">
      <c r="B17" s="146">
        <v>3</v>
      </c>
      <c r="C17" s="932" t="s">
        <v>166</v>
      </c>
      <c r="D17" s="933"/>
      <c r="E17" s="933"/>
      <c r="F17" s="934"/>
      <c r="G17" s="357"/>
      <c r="H17" s="540"/>
      <c r="I17" s="540"/>
      <c r="J17" s="540"/>
      <c r="K17" s="147"/>
      <c r="L17" s="147"/>
      <c r="M17" s="147"/>
      <c r="N17" s="147"/>
      <c r="O17" s="147"/>
      <c r="P17" s="147"/>
      <c r="Q17" s="147"/>
      <c r="R17" s="148"/>
      <c r="S17" s="148"/>
      <c r="T17" s="148"/>
      <c r="U17" s="149"/>
      <c r="V17" s="149"/>
      <c r="W17" s="149"/>
      <c r="X17" s="150"/>
      <c r="Y17" s="150"/>
    </row>
    <row r="18" spans="1:25" s="145" customFormat="1" ht="21" customHeight="1" thickBot="1">
      <c r="B18" s="151"/>
      <c r="C18" s="935" t="s">
        <v>318</v>
      </c>
      <c r="D18" s="936"/>
      <c r="E18" s="936"/>
      <c r="F18" s="152" t="s">
        <v>167</v>
      </c>
      <c r="G18" s="358"/>
      <c r="H18" s="542">
        <f>G18</f>
        <v>0</v>
      </c>
      <c r="I18" s="543"/>
      <c r="J18" s="540"/>
      <c r="K18" s="147"/>
      <c r="L18" s="147"/>
      <c r="M18" s="147"/>
      <c r="N18" s="154"/>
      <c r="O18" s="153"/>
      <c r="P18" s="147"/>
      <c r="Q18" s="147"/>
      <c r="R18" s="148"/>
      <c r="S18" s="148"/>
      <c r="T18" s="148"/>
      <c r="U18" s="149"/>
      <c r="V18" s="149"/>
      <c r="W18" s="149"/>
      <c r="X18" s="150"/>
      <c r="Y18" s="150"/>
    </row>
    <row r="19" spans="1:25" s="145" customFormat="1" ht="33" customHeight="1" thickBot="1">
      <c r="B19" s="151"/>
      <c r="C19" s="951" t="s">
        <v>343</v>
      </c>
      <c r="D19" s="952"/>
      <c r="E19" s="952"/>
      <c r="F19" s="152" t="s">
        <v>167</v>
      </c>
      <c r="G19" s="358"/>
      <c r="H19" s="544"/>
      <c r="I19" s="542">
        <f>G19</f>
        <v>0</v>
      </c>
      <c r="J19" s="545"/>
      <c r="K19" s="147"/>
      <c r="L19" s="147"/>
      <c r="M19" s="147"/>
      <c r="N19" s="154"/>
      <c r="O19" s="153"/>
      <c r="P19" s="147"/>
      <c r="Q19" s="147"/>
      <c r="R19" s="148"/>
      <c r="S19" s="148"/>
      <c r="T19" s="148"/>
      <c r="U19" s="149"/>
      <c r="V19" s="149"/>
      <c r="W19" s="149"/>
      <c r="X19" s="150"/>
      <c r="Y19" s="150"/>
    </row>
    <row r="20" spans="1:25" s="145" customFormat="1" ht="21" customHeight="1" thickBot="1">
      <c r="B20" s="151"/>
      <c r="C20" s="935" t="s">
        <v>319</v>
      </c>
      <c r="D20" s="936"/>
      <c r="E20" s="936"/>
      <c r="F20" s="152" t="s">
        <v>167</v>
      </c>
      <c r="G20" s="358"/>
      <c r="H20" s="540"/>
      <c r="I20" s="539"/>
      <c r="J20" s="542">
        <f>G20</f>
        <v>0</v>
      </c>
      <c r="K20" s="147"/>
      <c r="L20" s="147"/>
      <c r="M20" s="147"/>
      <c r="N20" s="154"/>
      <c r="O20" s="153"/>
      <c r="P20" s="147"/>
      <c r="Q20" s="147"/>
      <c r="R20" s="148"/>
      <c r="S20" s="148"/>
      <c r="T20" s="148"/>
      <c r="U20" s="149"/>
      <c r="V20" s="149"/>
      <c r="W20" s="149"/>
      <c r="X20" s="150"/>
      <c r="Y20" s="150"/>
    </row>
    <row r="21" spans="1:25" s="145" customFormat="1" ht="21" hidden="1" customHeight="1">
      <c r="B21" s="151"/>
      <c r="C21" s="935" t="s">
        <v>320</v>
      </c>
      <c r="D21" s="936"/>
      <c r="E21" s="936"/>
      <c r="F21" s="152" t="s">
        <v>167</v>
      </c>
      <c r="G21" s="364"/>
      <c r="H21" s="540"/>
      <c r="I21" s="541"/>
      <c r="J21" s="538"/>
      <c r="K21" s="147"/>
      <c r="L21" s="147"/>
      <c r="M21" s="147"/>
      <c r="N21" s="154"/>
      <c r="O21" s="153"/>
      <c r="P21" s="147"/>
      <c r="Q21" s="147"/>
      <c r="R21" s="148"/>
      <c r="S21" s="148"/>
      <c r="T21" s="148"/>
      <c r="U21" s="149"/>
      <c r="V21" s="149"/>
      <c r="W21" s="149"/>
      <c r="X21" s="150"/>
      <c r="Y21" s="150"/>
    </row>
    <row r="22" spans="1:25" s="145" customFormat="1" ht="21" hidden="1" customHeight="1">
      <c r="B22" s="155"/>
      <c r="C22" s="935" t="s">
        <v>168</v>
      </c>
      <c r="D22" s="936"/>
      <c r="E22" s="936"/>
      <c r="F22" s="156" t="s">
        <v>167</v>
      </c>
      <c r="G22" s="364"/>
      <c r="H22" s="540"/>
      <c r="I22" s="541"/>
      <c r="J22" s="540"/>
      <c r="K22" s="147"/>
      <c r="L22" s="147"/>
      <c r="M22" s="147"/>
      <c r="N22" s="154"/>
      <c r="O22" s="153"/>
      <c r="P22" s="147"/>
      <c r="Q22" s="147"/>
      <c r="R22" s="148"/>
      <c r="S22" s="148"/>
      <c r="T22" s="148"/>
      <c r="U22" s="149"/>
      <c r="V22" s="149"/>
      <c r="W22" s="149"/>
      <c r="X22" s="150"/>
      <c r="Y22" s="150"/>
    </row>
    <row r="23" spans="1:25" s="145" customFormat="1" ht="54.95" customHeight="1" thickBot="1">
      <c r="B23" s="146">
        <v>4</v>
      </c>
      <c r="C23" s="947" t="s">
        <v>469</v>
      </c>
      <c r="D23" s="948"/>
      <c r="E23" s="948"/>
      <c r="F23" s="949"/>
      <c r="G23" s="357"/>
      <c r="H23" s="546"/>
      <c r="I23" s="541"/>
      <c r="J23" s="540"/>
      <c r="K23" s="147"/>
      <c r="L23" s="147"/>
      <c r="M23" s="147"/>
      <c r="N23" s="147"/>
      <c r="O23" s="147"/>
      <c r="P23" s="147"/>
      <c r="Q23" s="147"/>
      <c r="R23" s="148"/>
      <c r="S23" s="148"/>
      <c r="T23" s="148"/>
      <c r="U23" s="149"/>
      <c r="V23" s="149"/>
      <c r="W23" s="149"/>
      <c r="X23" s="150"/>
      <c r="Y23" s="150"/>
    </row>
    <row r="24" spans="1:25" s="145" customFormat="1" ht="21" customHeight="1" thickBot="1">
      <c r="A24" s="157"/>
      <c r="B24" s="151"/>
      <c r="C24" s="935" t="s">
        <v>318</v>
      </c>
      <c r="D24" s="936"/>
      <c r="E24" s="936"/>
      <c r="F24" s="152" t="s">
        <v>169</v>
      </c>
      <c r="G24" s="359"/>
      <c r="H24" s="547">
        <f>G24*J6</f>
        <v>0</v>
      </c>
      <c r="I24" s="543"/>
      <c r="J24" s="540"/>
      <c r="K24" s="147"/>
      <c r="L24" s="147"/>
      <c r="M24" s="147"/>
      <c r="N24" s="147"/>
      <c r="O24" s="147"/>
      <c r="P24" s="147"/>
      <c r="Q24" s="147"/>
      <c r="R24" s="148"/>
      <c r="S24" s="148"/>
      <c r="T24" s="148"/>
      <c r="U24" s="149"/>
      <c r="V24" s="149"/>
      <c r="W24" s="149"/>
      <c r="X24" s="150"/>
      <c r="Y24" s="150"/>
    </row>
    <row r="25" spans="1:25" s="145" customFormat="1" ht="33.75" customHeight="1" thickBot="1">
      <c r="A25" s="157"/>
      <c r="B25" s="151"/>
      <c r="C25" s="953" t="s">
        <v>343</v>
      </c>
      <c r="D25" s="954"/>
      <c r="E25" s="954"/>
      <c r="F25" s="152" t="s">
        <v>169</v>
      </c>
      <c r="G25" s="359"/>
      <c r="H25" s="548"/>
      <c r="I25" s="542">
        <f>G25*J7</f>
        <v>0</v>
      </c>
      <c r="J25" s="545"/>
      <c r="K25" s="147"/>
      <c r="L25" s="147"/>
      <c r="M25" s="147"/>
      <c r="N25" s="147"/>
      <c r="O25" s="147"/>
      <c r="P25" s="147"/>
      <c r="Q25" s="147"/>
      <c r="R25" s="148"/>
      <c r="S25" s="148"/>
      <c r="T25" s="148"/>
      <c r="U25" s="149"/>
      <c r="V25" s="149"/>
      <c r="W25" s="149"/>
      <c r="X25" s="150"/>
      <c r="Y25" s="150"/>
    </row>
    <row r="26" spans="1:25" s="145" customFormat="1" ht="21" customHeight="1" thickBot="1">
      <c r="A26" s="157"/>
      <c r="B26" s="151"/>
      <c r="C26" s="935" t="s">
        <v>319</v>
      </c>
      <c r="D26" s="936"/>
      <c r="E26" s="936"/>
      <c r="F26" s="152" t="s">
        <v>169</v>
      </c>
      <c r="G26" s="359"/>
      <c r="H26" s="546"/>
      <c r="I26" s="539"/>
      <c r="J26" s="542">
        <f>G26*J8</f>
        <v>0</v>
      </c>
      <c r="K26" s="147"/>
      <c r="L26" s="147"/>
      <c r="M26" s="147"/>
      <c r="N26" s="147"/>
      <c r="O26" s="147"/>
      <c r="P26" s="147"/>
      <c r="Q26" s="147"/>
      <c r="R26" s="148"/>
      <c r="S26" s="148"/>
      <c r="T26" s="148"/>
      <c r="U26" s="149"/>
      <c r="V26" s="149"/>
      <c r="W26" s="149"/>
      <c r="X26" s="150"/>
      <c r="Y26" s="150"/>
    </row>
    <row r="27" spans="1:25" s="145" customFormat="1" ht="21" hidden="1" customHeight="1">
      <c r="A27" s="157"/>
      <c r="B27" s="151"/>
      <c r="C27" s="935" t="s">
        <v>320</v>
      </c>
      <c r="D27" s="936"/>
      <c r="E27" s="936"/>
      <c r="F27" s="152" t="s">
        <v>169</v>
      </c>
      <c r="G27" s="365"/>
      <c r="H27" s="546"/>
      <c r="I27" s="541"/>
      <c r="J27" s="538"/>
      <c r="K27" s="147"/>
      <c r="L27" s="147"/>
      <c r="M27" s="147"/>
      <c r="N27" s="147"/>
      <c r="O27" s="147"/>
      <c r="P27" s="147"/>
      <c r="Q27" s="147"/>
      <c r="R27" s="148"/>
      <c r="S27" s="148"/>
      <c r="T27" s="148"/>
      <c r="U27" s="149"/>
      <c r="V27" s="149"/>
      <c r="W27" s="149"/>
      <c r="X27" s="150"/>
      <c r="Y27" s="150"/>
    </row>
    <row r="28" spans="1:25" s="145" customFormat="1" ht="21" hidden="1" customHeight="1">
      <c r="A28" s="157"/>
      <c r="B28" s="155"/>
      <c r="C28" s="958" t="s">
        <v>168</v>
      </c>
      <c r="D28" s="959"/>
      <c r="E28" s="959"/>
      <c r="F28" s="156" t="s">
        <v>169</v>
      </c>
      <c r="G28" s="365"/>
      <c r="H28" s="546"/>
      <c r="I28" s="541"/>
      <c r="J28" s="540"/>
      <c r="K28" s="147"/>
      <c r="L28" s="147"/>
      <c r="M28" s="147"/>
      <c r="N28" s="147"/>
      <c r="O28" s="147"/>
      <c r="P28" s="147"/>
      <c r="Q28" s="147"/>
      <c r="R28" s="148"/>
      <c r="S28" s="148"/>
      <c r="T28" s="148"/>
      <c r="U28" s="149"/>
      <c r="V28" s="149"/>
      <c r="W28" s="149"/>
      <c r="X28" s="150"/>
      <c r="Y28" s="150"/>
    </row>
    <row r="29" spans="1:25" s="145" customFormat="1" hidden="1">
      <c r="A29" s="157"/>
      <c r="B29" s="158"/>
      <c r="C29" s="945" t="s">
        <v>170</v>
      </c>
      <c r="D29" s="946"/>
      <c r="E29" s="946"/>
      <c r="F29" s="946"/>
      <c r="G29" s="946"/>
      <c r="H29" s="549"/>
      <c r="I29" s="549"/>
      <c r="J29" s="549"/>
      <c r="K29" s="147"/>
      <c r="L29" s="147"/>
      <c r="M29" s="147"/>
      <c r="N29" s="147"/>
      <c r="O29" s="147"/>
      <c r="P29" s="147"/>
      <c r="Q29" s="147"/>
      <c r="R29" s="148"/>
      <c r="S29" s="148"/>
      <c r="T29" s="148"/>
      <c r="U29" s="149"/>
      <c r="V29" s="149"/>
      <c r="W29" s="149"/>
      <c r="X29" s="150"/>
      <c r="Y29" s="150"/>
    </row>
    <row r="30" spans="1:25" s="145" customFormat="1" ht="48.75" hidden="1" customHeight="1">
      <c r="A30" s="157"/>
      <c r="B30" s="159">
        <v>5</v>
      </c>
      <c r="C30" s="955" t="s">
        <v>171</v>
      </c>
      <c r="D30" s="955"/>
      <c r="E30" s="955"/>
      <c r="F30" s="955"/>
      <c r="G30" s="955"/>
      <c r="H30" s="550"/>
      <c r="I30" s="550"/>
      <c r="J30" s="550"/>
      <c r="K30" s="147"/>
      <c r="L30" s="147"/>
      <c r="M30" s="147"/>
      <c r="N30" s="147"/>
      <c r="O30" s="147"/>
      <c r="P30" s="147"/>
      <c r="Q30" s="147"/>
      <c r="R30" s="148"/>
      <c r="S30" s="148"/>
      <c r="T30" s="148"/>
      <c r="U30" s="149"/>
      <c r="V30" s="149"/>
      <c r="W30" s="149"/>
      <c r="X30" s="150"/>
      <c r="Y30" s="150"/>
    </row>
    <row r="31" spans="1:25" s="145" customFormat="1" ht="48.75" hidden="1" customHeight="1">
      <c r="A31" s="157"/>
      <c r="B31" s="956"/>
      <c r="C31" s="956"/>
      <c r="D31" s="956"/>
      <c r="E31" s="956"/>
      <c r="F31" s="956"/>
      <c r="G31" s="956"/>
      <c r="H31" s="551">
        <f>SUM(H15:H28)</f>
        <v>0</v>
      </c>
      <c r="I31" s="551">
        <f>SUM(I15:I28)</f>
        <v>0</v>
      </c>
      <c r="J31" s="551">
        <f>SUM(J15:J28)</f>
        <v>0</v>
      </c>
      <c r="K31" s="147">
        <f>SUM(K15:K28)</f>
        <v>0</v>
      </c>
      <c r="L31" s="147">
        <f>SUM(L15:L28)</f>
        <v>0</v>
      </c>
      <c r="M31" s="147"/>
      <c r="N31" s="147"/>
      <c r="O31" s="147"/>
      <c r="P31" s="147"/>
      <c r="Q31" s="147"/>
      <c r="R31" s="148"/>
      <c r="S31" s="148"/>
      <c r="T31" s="148"/>
      <c r="U31" s="149"/>
      <c r="V31" s="149"/>
      <c r="W31" s="149"/>
      <c r="X31" s="150"/>
      <c r="Y31" s="150"/>
    </row>
    <row r="32" spans="1:25" s="145" customFormat="1" ht="48.75" hidden="1" customHeight="1">
      <c r="A32" s="157"/>
      <c r="B32" s="160"/>
      <c r="C32" s="955" t="s">
        <v>172</v>
      </c>
      <c r="D32" s="957"/>
      <c r="E32" s="957"/>
      <c r="F32" s="957"/>
      <c r="G32" s="957"/>
      <c r="H32" s="552" t="e">
        <f>(1-(H31/I2))</f>
        <v>#DIV/0!</v>
      </c>
      <c r="I32" s="552" t="e">
        <f>(1-(I31/I3))</f>
        <v>#DIV/0!</v>
      </c>
      <c r="J32" s="553" t="e">
        <f>1-(J31/I4)</f>
        <v>#DIV/0!</v>
      </c>
      <c r="K32" s="147" t="e">
        <f>1-(K31/I5)</f>
        <v>#DIV/0!</v>
      </c>
      <c r="L32" s="147" t="e">
        <f>1-(L31/#REF!)</f>
        <v>#REF!</v>
      </c>
      <c r="M32" s="147"/>
      <c r="N32" s="147"/>
      <c r="O32" s="147"/>
      <c r="P32" s="147"/>
      <c r="Q32" s="147"/>
      <c r="R32" s="148"/>
      <c r="S32" s="148"/>
      <c r="T32" s="148"/>
      <c r="U32" s="149"/>
      <c r="V32" s="149"/>
      <c r="W32" s="149"/>
      <c r="X32" s="150"/>
      <c r="Y32" s="150"/>
    </row>
    <row r="33" spans="1:25" s="145" customFormat="1" ht="39" customHeight="1">
      <c r="A33" s="950" t="s">
        <v>321</v>
      </c>
      <c r="B33" s="950"/>
      <c r="C33" s="950"/>
      <c r="D33" s="950"/>
      <c r="E33" s="950"/>
      <c r="F33" s="950"/>
      <c r="G33" s="950"/>
      <c r="H33" s="554"/>
      <c r="I33" s="554"/>
      <c r="J33" s="554"/>
      <c r="K33" s="147"/>
      <c r="L33" s="147"/>
      <c r="M33" s="147"/>
      <c r="N33" s="147"/>
      <c r="O33" s="147"/>
      <c r="P33" s="147"/>
      <c r="Q33" s="147"/>
      <c r="R33" s="148"/>
      <c r="S33" s="148"/>
      <c r="T33" s="148"/>
      <c r="U33" s="149"/>
      <c r="V33" s="149"/>
      <c r="W33" s="149"/>
      <c r="X33" s="150"/>
      <c r="Y33" s="150"/>
    </row>
    <row r="34" spans="1:25" s="145" customFormat="1" ht="31.5" customHeight="1" thickBot="1">
      <c r="A34" s="138" t="s">
        <v>173</v>
      </c>
      <c r="B34" s="160"/>
      <c r="C34" s="161"/>
      <c r="E34" s="162"/>
      <c r="F34" s="162"/>
      <c r="G34" s="163"/>
      <c r="H34" s="554"/>
      <c r="I34" s="554"/>
      <c r="J34" s="554"/>
      <c r="K34" s="147"/>
      <c r="L34" s="147"/>
      <c r="M34" s="147"/>
      <c r="N34" s="147"/>
      <c r="O34" s="147"/>
      <c r="P34" s="147"/>
      <c r="Q34" s="147"/>
      <c r="R34" s="148"/>
      <c r="S34" s="148"/>
      <c r="T34" s="148"/>
      <c r="U34" s="149"/>
      <c r="V34" s="149"/>
      <c r="W34" s="149"/>
      <c r="X34" s="150"/>
      <c r="Y34" s="150"/>
    </row>
    <row r="35" spans="1:25" s="145" customFormat="1" ht="21" customHeight="1" thickBot="1">
      <c r="A35" s="98" t="s">
        <v>174</v>
      </c>
      <c r="B35" s="160"/>
      <c r="C35" s="161"/>
      <c r="E35" s="162"/>
      <c r="F35" s="162"/>
      <c r="G35" s="163"/>
      <c r="H35" s="555">
        <f>SUM(H15:H26)</f>
        <v>0</v>
      </c>
      <c r="I35" s="556">
        <f>SUM(I15:I26)</f>
        <v>0</v>
      </c>
      <c r="J35" s="557">
        <f>SUM(J15:J26)</f>
        <v>0</v>
      </c>
      <c r="K35" s="366"/>
      <c r="L35" s="147"/>
      <c r="M35" s="147"/>
      <c r="N35" s="147"/>
      <c r="O35" s="147"/>
      <c r="P35" s="147"/>
      <c r="Q35" s="147"/>
      <c r="R35" s="148"/>
      <c r="S35" s="148"/>
      <c r="T35" s="148"/>
      <c r="U35" s="149"/>
      <c r="V35" s="149"/>
      <c r="W35" s="149"/>
      <c r="X35" s="150"/>
      <c r="Y35" s="150"/>
    </row>
    <row r="36" spans="1:25" ht="19.5" customHeight="1" thickBot="1">
      <c r="A36" s="164"/>
      <c r="B36" s="164"/>
      <c r="C36" s="165"/>
      <c r="D36" s="97"/>
      <c r="E36" s="98"/>
      <c r="F36" s="98"/>
      <c r="G36" s="115" t="s">
        <v>175</v>
      </c>
      <c r="H36" s="485">
        <f>IF(J6=0,0,1-(H35/J6))</f>
        <v>0</v>
      </c>
      <c r="I36" s="485">
        <f>IF(J7=0,0,1-(I35/J7))</f>
        <v>0</v>
      </c>
      <c r="J36" s="486">
        <f>IF(J8=0,0,1-(J35/J8))</f>
        <v>0</v>
      </c>
      <c r="K36" s="471" t="s">
        <v>344</v>
      </c>
    </row>
    <row r="37" spans="1:25" ht="19.5" customHeight="1">
      <c r="A37" s="164"/>
      <c r="B37" s="164"/>
      <c r="C37" s="165"/>
      <c r="D37" s="97"/>
      <c r="E37" s="98"/>
      <c r="F37" s="98"/>
      <c r="G37" s="115" t="str">
        <f>"For and on behalf of "</f>
        <v xml:space="preserve">For and on behalf of </v>
      </c>
      <c r="H37" s="130"/>
    </row>
    <row r="38" spans="1:25" ht="19.5" customHeight="1">
      <c r="A38" s="166"/>
      <c r="B38" s="166"/>
      <c r="C38" s="166"/>
      <c r="D38" s="167"/>
      <c r="E38" s="168"/>
      <c r="F38" s="168"/>
      <c r="G38" s="134"/>
      <c r="H38" s="169"/>
    </row>
    <row r="39" spans="1:25" ht="23.25" customHeight="1">
      <c r="A39" s="170" t="s">
        <v>176</v>
      </c>
      <c r="B39" s="170"/>
      <c r="C39" s="504" t="str">
        <f>'Sch-7'!C21:D21</f>
        <v xml:space="preserve">  </v>
      </c>
      <c r="D39" s="167"/>
      <c r="E39" s="168" t="s">
        <v>177</v>
      </c>
      <c r="F39" s="559">
        <f>'Names of Bidder'!C19</f>
        <v>0</v>
      </c>
      <c r="G39" s="560"/>
      <c r="H39" s="363"/>
    </row>
    <row r="40" spans="1:25" ht="23.25" customHeight="1">
      <c r="A40" s="170" t="s">
        <v>178</v>
      </c>
      <c r="B40" s="170"/>
      <c r="C40" s="505" t="str">
        <f>'Sch-7'!C22:D22</f>
        <v/>
      </c>
      <c r="D40" s="171"/>
      <c r="E40" s="168" t="s">
        <v>179</v>
      </c>
      <c r="F40" s="559">
        <f>'Names of Bidder'!C20</f>
        <v>0</v>
      </c>
      <c r="G40" s="560"/>
      <c r="H40" s="130"/>
    </row>
  </sheetData>
  <sheetProtection password="CBD2" sheet="1" objects="1" scenarios="1" formatColumns="0" formatRows="0" selectLockedCells="1"/>
  <customSheetViews>
    <customSheetView guid="{C497F4E0-7D3E-4065-935D-7086BE9276FE}" showPageBreaks="1" zeroValues="0" printArea="1" hiddenRows="1" hiddenColumns="1" view="pageBreakPreview">
      <selection activeCell="G18" sqref="G18"/>
      <pageMargins left="0.72" right="0.49" top="0.62" bottom="0.52" header="0.32" footer="0.27"/>
      <pageSetup scale="77" orientation="portrait" r:id="rId1"/>
      <headerFooter alignWithMargins="0">
        <oddFooter>&amp;R&amp;"Book Antiqua,Bold"&amp;10Letter of Discount  / Page &amp;P of &amp;N</oddFooter>
      </headerFooter>
    </customSheetView>
    <customSheetView guid="{889C3D82-0A24-4765-A688-A80A782F5056}" showPageBreaks="1" zeroValues="0" printArea="1" hiddenRows="1" hiddenColumns="1" view="pageBreakPreview">
      <selection activeCell="G18" sqref="G18"/>
      <pageMargins left="0.72" right="0.49" top="0.62" bottom="0.52" header="0.32" footer="0.27"/>
      <pageSetup scale="77" orientation="portrait" r:id="rId2"/>
      <headerFooter alignWithMargins="0">
        <oddFooter>&amp;R&amp;"Book Antiqua,Bold"&amp;10Letter of Discount  / Page &amp;P of &amp;N</oddFooter>
      </headerFooter>
    </customSheetView>
    <customSheetView guid="{89CB4E6A-722E-4E39-885D-E2A6D0D08321}" showPageBreaks="1" zeroValues="0" printArea="1" hiddenRows="1" hiddenColumns="1" view="pageBreakPreview" topLeftCell="A5">
      <selection activeCell="G18" sqref="G18"/>
      <pageMargins left="0.72" right="0.49" top="0.62" bottom="0.52" header="0.32" footer="0.27"/>
      <pageSetup scale="77" orientation="portrait" r:id="rId3"/>
      <headerFooter alignWithMargins="0">
        <oddFooter>&amp;R&amp;"Book Antiqua,Bold"&amp;10Letter of Discount  / Page &amp;P of &amp;N</oddFooter>
      </headerFooter>
    </customSheetView>
    <customSheetView guid="{915C64AD-BD67-44F0-9117-5B9D998BA799}" showPageBreaks="1" zeroValues="0" printArea="1" hiddenRows="1" hiddenColumns="1" view="pageBreakPreview">
      <selection activeCell="G24" sqref="G24:G26"/>
      <pageMargins left="0.72" right="0.49" top="0.62" bottom="0.52" header="0.32" footer="0.27"/>
      <pageSetup scale="77" orientation="portrait" r:id="rId4"/>
      <headerFooter alignWithMargins="0">
        <oddFooter>&amp;R&amp;"Book Antiqua,Bold"&amp;10Letter of Discount  / Page &amp;P of &amp;N</oddFooter>
      </headerFooter>
    </customSheetView>
    <customSheetView guid="{18EA11B4-BD82-47BF-99FA-7AB19BF74D0B}" showPageBreaks="1" zeroValues="0" printArea="1" hiddenRows="1" hiddenColumns="1" view="pageBreakPreview" topLeftCell="A19">
      <selection activeCell="G15" sqref="G15"/>
      <pageMargins left="0.72" right="0.49" top="0.62" bottom="0.52" header="0.32" footer="0.27"/>
      <pageSetup scale="77" orientation="portrait" r:id="rId5"/>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18">
      <selection activeCell="G18" sqref="G18"/>
      <pageMargins left="0.72" right="0.49" top="0.62" bottom="0.52" header="0.32" footer="0.27"/>
      <pageSetup scale="77" orientation="portrait" r:id="rId6"/>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7"/>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72" right="0.49" top="0.62" bottom="0.52" header="0.32" footer="0.27"/>
      <pageSetup scale="78" orientation="portrait" r:id="rId8"/>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9"/>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10"/>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11"/>
      <headerFooter alignWithMargins="0">
        <oddFooter>&amp;R&amp;"Book Antiqua,Bold"&amp;10Letter of Discount  / Page &amp;P of &amp;N</oddFooter>
      </headerFooter>
    </customSheetView>
    <customSheetView guid="{A58DB4DF-40C7-4BEB-B85E-6BD6F54941CF}" showPageBreaks="1" zeroValues="0" printArea="1" hiddenRows="1" hiddenColumns="1" view="pageBreakPreview">
      <selection activeCell="G24" sqref="G24:G26"/>
      <pageMargins left="0.72" right="0.49" top="0.62" bottom="0.52" header="0.32" footer="0.27"/>
      <pageSetup scale="77" orientation="portrait" r:id="rId12"/>
      <headerFooter alignWithMargins="0">
        <oddFooter>&amp;R&amp;"Book Antiqua,Bold"&amp;10Letter of Discount  / Page &amp;P of &amp;N</oddFooter>
      </headerFooter>
    </customSheetView>
    <customSheetView guid="{1211E1B9-FC37-4364-9CF0-0FFC01866726}" showPageBreaks="1" zeroValues="0" printArea="1" hiddenRows="1" hiddenColumns="1" view="pageBreakPreview">
      <selection activeCell="G18" sqref="G18"/>
      <pageMargins left="0.72" right="0.49" top="0.62" bottom="0.52" header="0.32" footer="0.27"/>
      <pageSetup scale="77" orientation="portrait" r:id="rId13"/>
      <headerFooter alignWithMargins="0">
        <oddFooter>&amp;R&amp;"Book Antiqua,Bold"&amp;10Letter of Discount  / Page &amp;P of &amp;N</oddFooter>
      </headerFooter>
    </customSheetView>
  </customSheetViews>
  <mergeCells count="23">
    <mergeCell ref="C29:G29"/>
    <mergeCell ref="C23:F23"/>
    <mergeCell ref="A33:G33"/>
    <mergeCell ref="C19:E19"/>
    <mergeCell ref="C25:E25"/>
    <mergeCell ref="C30:G30"/>
    <mergeCell ref="B31:G31"/>
    <mergeCell ref="C32:G32"/>
    <mergeCell ref="C22:E22"/>
    <mergeCell ref="C21:E21"/>
    <mergeCell ref="C20:E20"/>
    <mergeCell ref="C28:E28"/>
    <mergeCell ref="C27:E27"/>
    <mergeCell ref="C17:F17"/>
    <mergeCell ref="C18:E18"/>
    <mergeCell ref="C26:E26"/>
    <mergeCell ref="C24:E24"/>
    <mergeCell ref="A1:G1"/>
    <mergeCell ref="A4:G4"/>
    <mergeCell ref="C12:G12"/>
    <mergeCell ref="A14:G14"/>
    <mergeCell ref="C16:F16"/>
    <mergeCell ref="C15:F15"/>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4"/>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RowHeight="16.5"/>
  <cols>
    <col min="1" max="1" width="9.140625" style="116"/>
    <col min="2" max="2" width="30.7109375" style="98" customWidth="1"/>
    <col min="3" max="3" width="26.140625" style="98" customWidth="1"/>
    <col min="4" max="5" width="17.85546875" style="98" customWidth="1"/>
    <col min="6" max="16384" width="9.140625" style="43"/>
  </cols>
  <sheetData>
    <row r="1" spans="1:6">
      <c r="A1" s="172"/>
      <c r="B1" s="173"/>
      <c r="C1" s="173"/>
      <c r="D1" s="173"/>
      <c r="E1" s="173"/>
    </row>
    <row r="2" spans="1:6" ht="21.95" customHeight="1">
      <c r="A2" s="960" t="s">
        <v>180</v>
      </c>
      <c r="B2" s="960"/>
      <c r="C2" s="960"/>
      <c r="D2" s="960"/>
      <c r="E2" s="43"/>
    </row>
    <row r="3" spans="1:6">
      <c r="A3" s="172"/>
      <c r="B3" s="173"/>
      <c r="C3" s="173"/>
      <c r="D3" s="173"/>
      <c r="E3" s="173"/>
    </row>
    <row r="4" spans="1:6" ht="30">
      <c r="A4" s="174" t="s">
        <v>181</v>
      </c>
      <c r="B4" s="175" t="s">
        <v>182</v>
      </c>
      <c r="C4" s="174" t="s">
        <v>135</v>
      </c>
      <c r="D4" s="174" t="s">
        <v>183</v>
      </c>
      <c r="E4" s="174" t="s">
        <v>184</v>
      </c>
    </row>
    <row r="5" spans="1:6" ht="18" customHeight="1">
      <c r="A5" s="176" t="s">
        <v>185</v>
      </c>
      <c r="B5" s="176" t="s">
        <v>186</v>
      </c>
      <c r="C5" s="176" t="s">
        <v>187</v>
      </c>
      <c r="D5" s="176" t="s">
        <v>188</v>
      </c>
      <c r="E5" s="176" t="s">
        <v>189</v>
      </c>
    </row>
    <row r="6" spans="1:6" ht="45" customHeight="1">
      <c r="A6" s="177">
        <v>1</v>
      </c>
      <c r="B6" s="178"/>
      <c r="C6" s="179"/>
      <c r="D6" s="180"/>
      <c r="E6" s="181">
        <f t="shared" ref="E6:E15" si="0">C6*D6</f>
        <v>0</v>
      </c>
    </row>
    <row r="7" spans="1:6" ht="45" customHeight="1">
      <c r="A7" s="177">
        <v>2</v>
      </c>
      <c r="B7" s="178"/>
      <c r="C7" s="179"/>
      <c r="D7" s="180"/>
      <c r="E7" s="181">
        <f t="shared" si="0"/>
        <v>0</v>
      </c>
    </row>
    <row r="8" spans="1:6" ht="45" customHeight="1">
      <c r="A8" s="177">
        <v>3</v>
      </c>
      <c r="B8" s="178"/>
      <c r="C8" s="179"/>
      <c r="D8" s="180"/>
      <c r="E8" s="181">
        <f t="shared" si="0"/>
        <v>0</v>
      </c>
    </row>
    <row r="9" spans="1:6" ht="45" customHeight="1">
      <c r="A9" s="177">
        <v>4</v>
      </c>
      <c r="B9" s="178"/>
      <c r="C9" s="179"/>
      <c r="D9" s="180"/>
      <c r="E9" s="181">
        <f t="shared" si="0"/>
        <v>0</v>
      </c>
    </row>
    <row r="10" spans="1:6" ht="45" customHeight="1">
      <c r="A10" s="177">
        <v>5</v>
      </c>
      <c r="B10" s="178"/>
      <c r="C10" s="179"/>
      <c r="D10" s="180"/>
      <c r="E10" s="181">
        <f t="shared" si="0"/>
        <v>0</v>
      </c>
    </row>
    <row r="11" spans="1:6" ht="45" customHeight="1">
      <c r="A11" s="177">
        <v>6</v>
      </c>
      <c r="B11" s="178"/>
      <c r="C11" s="179"/>
      <c r="D11" s="180"/>
      <c r="E11" s="181">
        <f t="shared" si="0"/>
        <v>0</v>
      </c>
    </row>
    <row r="12" spans="1:6" ht="45" customHeight="1">
      <c r="A12" s="177">
        <v>7</v>
      </c>
      <c r="B12" s="178"/>
      <c r="C12" s="179"/>
      <c r="D12" s="180"/>
      <c r="E12" s="181">
        <f t="shared" si="0"/>
        <v>0</v>
      </c>
    </row>
    <row r="13" spans="1:6" ht="45" customHeight="1">
      <c r="A13" s="177">
        <v>8</v>
      </c>
      <c r="B13" s="178"/>
      <c r="C13" s="179"/>
      <c r="D13" s="180"/>
      <c r="E13" s="181">
        <f t="shared" si="0"/>
        <v>0</v>
      </c>
    </row>
    <row r="14" spans="1:6" ht="45" customHeight="1">
      <c r="A14" s="177">
        <v>9</v>
      </c>
      <c r="B14" s="178"/>
      <c r="C14" s="179"/>
      <c r="D14" s="180"/>
      <c r="E14" s="181">
        <f t="shared" si="0"/>
        <v>0</v>
      </c>
    </row>
    <row r="15" spans="1:6" ht="45" customHeight="1">
      <c r="A15" s="177">
        <v>10</v>
      </c>
      <c r="B15" s="178"/>
      <c r="C15" s="179"/>
      <c r="D15" s="180"/>
      <c r="E15" s="181">
        <f t="shared" si="0"/>
        <v>0</v>
      </c>
    </row>
    <row r="16" spans="1:6" ht="45" customHeight="1">
      <c r="A16" s="182"/>
      <c r="B16" s="183" t="s">
        <v>190</v>
      </c>
      <c r="C16" s="183"/>
      <c r="D16" s="183"/>
      <c r="E16" s="183">
        <f>SUM(E6:E15)</f>
        <v>0</v>
      </c>
      <c r="F16" s="184"/>
    </row>
    <row r="17" ht="30" customHeight="1"/>
    <row r="18" ht="30" customHeight="1"/>
    <row r="19" ht="30" customHeight="1"/>
    <row r="20" ht="30" customHeight="1"/>
    <row r="21" ht="30" customHeight="1"/>
  </sheetData>
  <sheetProtection password="916E" sheet="1" formatColumns="0" formatRows="0" selectLockedCells="1"/>
  <customSheetViews>
    <customSheetView guid="{C497F4E0-7D3E-4065-935D-7086BE9276FE}" state="hidden" topLeftCell="A4">
      <selection activeCell="D6" sqref="D6"/>
      <pageMargins left="0.75" right="0.75" top="0.65" bottom="1" header="0.5" footer="0.5"/>
      <pageSetup orientation="portrait" r:id="rId1"/>
      <headerFooter alignWithMargins="0"/>
    </customSheetView>
    <customSheetView guid="{889C3D82-0A24-4765-A688-A80A782F5056}" state="hidden" topLeftCell="A4">
      <selection activeCell="D6" sqref="D6"/>
      <pageMargins left="0.75" right="0.75" top="0.65" bottom="1" header="0.5" footer="0.5"/>
      <pageSetup orientation="portrait" r:id="rId2"/>
      <headerFooter alignWithMargins="0"/>
    </customSheetView>
    <customSheetView guid="{89CB4E6A-722E-4E39-885D-E2A6D0D08321}" state="hidden" topLeftCell="A4">
      <selection activeCell="D6" sqref="D6"/>
      <pageMargins left="0.75" right="0.75" top="0.65" bottom="1" header="0.5" footer="0.5"/>
      <pageSetup orientation="portrait" r:id="rId3"/>
      <headerFooter alignWithMargins="0"/>
    </customSheetView>
    <customSheetView guid="{915C64AD-BD67-44F0-9117-5B9D998BA799}" state="hidden" topLeftCell="A4">
      <selection activeCell="D6" sqref="D6"/>
      <pageMargins left="0.75" right="0.75" top="0.65" bottom="1" header="0.5" footer="0.5"/>
      <pageSetup orientation="portrait" r:id="rId4"/>
      <headerFooter alignWithMargins="0"/>
    </customSheetView>
    <customSheetView guid="{18EA11B4-BD82-47BF-99FA-7AB19BF74D0B}" state="hidden" topLeftCell="A4">
      <selection activeCell="D6" sqref="D6"/>
      <pageMargins left="0.75" right="0.75" top="0.65" bottom="1" header="0.5" footer="0.5"/>
      <pageSetup orientation="portrait" r:id="rId5"/>
      <headerFooter alignWithMargins="0"/>
    </customSheetView>
    <customSheetView guid="{CCA37BAE-906F-43D5-9FD9-B13563E4B9D7}" state="hidden" topLeftCell="A4">
      <selection activeCell="D6" sqref="D6"/>
      <pageMargins left="0.75" right="0.75" top="0.65" bottom="1" header="0.5" footer="0.5"/>
      <pageSetup orientation="portrait" r:id="rId6"/>
      <headerFooter alignWithMargins="0"/>
    </customSheetView>
    <customSheetView guid="{99CA2F10-F926-46DC-8609-4EAE5B9F3585}" state="hidden" topLeftCell="A4">
      <selection activeCell="D6" sqref="D6"/>
      <pageMargins left="0.75" right="0.75" top="0.65" bottom="1" header="0.5" footer="0.5"/>
      <pageSetup orientation="portrait" r:id="rId7"/>
      <headerFooter alignWithMargins="0"/>
    </customSheetView>
    <customSheetView guid="{63D51328-7CBC-4A1E-B96D-BAE91416501B}" state="hidden" topLeftCell="A4">
      <selection activeCell="D6" sqref="D6"/>
      <pageMargins left="0.75" right="0.75" top="0.65" bottom="1" header="0.5" footer="0.5"/>
      <pageSetup orientation="portrait" r:id="rId8"/>
      <headerFooter alignWithMargins="0"/>
    </customSheetView>
    <customSheetView guid="{3C00DDA0-7DDE-4169-A739-550DAF5DCF8D}" state="hidden" topLeftCell="A4">
      <selection activeCell="D6" sqref="D6"/>
      <pageMargins left="0.75" right="0.75" top="0.65" bottom="1" header="0.5" footer="0.5"/>
      <pageSetup orientation="portrait" r:id="rId9"/>
      <headerFooter alignWithMargins="0"/>
    </customSheetView>
    <customSheetView guid="{357C9841-BEC3-434B-AC63-C04FB4321BA3}" state="hidden" topLeftCell="A4">
      <selection activeCell="D6" sqref="D6"/>
      <pageMargins left="0.75" right="0.75" top="0.65" bottom="1" header="0.5" footer="0.5"/>
      <pageSetup orientation="portrait" r:id="rId10"/>
      <headerFooter alignWithMargins="0"/>
    </customSheetView>
    <customSheetView guid="{B96E710B-6DD7-4DE1-95AB-C9EE060CD030}" state="hidden" topLeftCell="A4">
      <selection activeCell="D6" sqref="D6"/>
      <pageMargins left="0.75" right="0.75" top="0.65" bottom="1" header="0.5" footer="0.5"/>
      <pageSetup orientation="portrait" r:id="rId11"/>
      <headerFooter alignWithMargins="0"/>
    </customSheetView>
    <customSheetView guid="{A58DB4DF-40C7-4BEB-B85E-6BD6F54941CF}" state="hidden" topLeftCell="A4">
      <selection activeCell="D6" sqref="D6"/>
      <pageMargins left="0.75" right="0.75" top="0.65" bottom="1" header="0.5" footer="0.5"/>
      <pageSetup orientation="portrait" r:id="rId12"/>
      <headerFooter alignWithMargins="0"/>
    </customSheetView>
    <customSheetView guid="{1211E1B9-FC37-4364-9CF0-0FFC01866726}" state="hidden" topLeftCell="A4">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RowHeight="16.5"/>
  <cols>
    <col min="1" max="1" width="9.140625" style="116"/>
    <col min="2" max="2" width="30.7109375" style="98" customWidth="1"/>
    <col min="3" max="3" width="26.140625" style="98" customWidth="1"/>
    <col min="4" max="5" width="17.85546875" style="98" customWidth="1"/>
    <col min="6" max="16384" width="9.140625" style="43"/>
  </cols>
  <sheetData>
    <row r="1" spans="1:6">
      <c r="A1" s="172"/>
      <c r="B1" s="173"/>
      <c r="C1" s="173"/>
      <c r="D1" s="173"/>
      <c r="E1" s="173"/>
    </row>
    <row r="2" spans="1:6" ht="21.95" customHeight="1">
      <c r="A2" s="960" t="s">
        <v>191</v>
      </c>
      <c r="B2" s="960"/>
      <c r="C2" s="960"/>
      <c r="D2" s="961"/>
      <c r="E2" s="18"/>
    </row>
    <row r="3" spans="1:6">
      <c r="A3" s="172"/>
      <c r="B3" s="173"/>
      <c r="C3" s="173"/>
      <c r="D3" s="173"/>
      <c r="E3" s="173"/>
    </row>
    <row r="4" spans="1:6" ht="30">
      <c r="A4" s="174" t="s">
        <v>181</v>
      </c>
      <c r="B4" s="175" t="s">
        <v>182</v>
      </c>
      <c r="C4" s="174" t="s">
        <v>192</v>
      </c>
      <c r="D4" s="174" t="s">
        <v>193</v>
      </c>
      <c r="E4" s="174" t="s">
        <v>194</v>
      </c>
    </row>
    <row r="5" spans="1:6" ht="18" customHeight="1">
      <c r="A5" s="176" t="s">
        <v>185</v>
      </c>
      <c r="B5" s="176" t="s">
        <v>186</v>
      </c>
      <c r="C5" s="176" t="s">
        <v>187</v>
      </c>
      <c r="D5" s="176" t="s">
        <v>188</v>
      </c>
      <c r="E5" s="176" t="s">
        <v>189</v>
      </c>
    </row>
    <row r="6" spans="1:6" ht="45" customHeight="1">
      <c r="A6" s="177">
        <v>1</v>
      </c>
      <c r="B6" s="178"/>
      <c r="C6" s="179"/>
      <c r="D6" s="180"/>
      <c r="E6" s="181">
        <f>C6*D6</f>
        <v>0</v>
      </c>
    </row>
    <row r="7" spans="1:6" ht="45" customHeight="1">
      <c r="A7" s="177">
        <v>2</v>
      </c>
      <c r="B7" s="178"/>
      <c r="C7" s="179"/>
      <c r="D7" s="180"/>
      <c r="E7" s="181">
        <f t="shared" ref="E7:E15" si="0">C7*D7</f>
        <v>0</v>
      </c>
    </row>
    <row r="8" spans="1:6" ht="45" customHeight="1">
      <c r="A8" s="177">
        <v>3</v>
      </c>
      <c r="B8" s="178"/>
      <c r="C8" s="179"/>
      <c r="D8" s="180"/>
      <c r="E8" s="181">
        <f t="shared" si="0"/>
        <v>0</v>
      </c>
    </row>
    <row r="9" spans="1:6" ht="45" customHeight="1">
      <c r="A9" s="177">
        <v>4</v>
      </c>
      <c r="B9" s="178"/>
      <c r="C9" s="179"/>
      <c r="D9" s="180"/>
      <c r="E9" s="181">
        <f t="shared" si="0"/>
        <v>0</v>
      </c>
    </row>
    <row r="10" spans="1:6" ht="45" customHeight="1">
      <c r="A10" s="177">
        <v>5</v>
      </c>
      <c r="B10" s="178"/>
      <c r="C10" s="179"/>
      <c r="D10" s="180"/>
      <c r="E10" s="181">
        <f t="shared" si="0"/>
        <v>0</v>
      </c>
    </row>
    <row r="11" spans="1:6" ht="45" customHeight="1">
      <c r="A11" s="177">
        <v>6</v>
      </c>
      <c r="B11" s="178"/>
      <c r="C11" s="179"/>
      <c r="D11" s="180"/>
      <c r="E11" s="181">
        <f t="shared" si="0"/>
        <v>0</v>
      </c>
    </row>
    <row r="12" spans="1:6" ht="45" customHeight="1">
      <c r="A12" s="177">
        <v>7</v>
      </c>
      <c r="B12" s="178"/>
      <c r="C12" s="179"/>
      <c r="D12" s="180"/>
      <c r="E12" s="181">
        <f t="shared" si="0"/>
        <v>0</v>
      </c>
    </row>
    <row r="13" spans="1:6" ht="45" customHeight="1">
      <c r="A13" s="177">
        <v>8</v>
      </c>
      <c r="B13" s="178"/>
      <c r="C13" s="179"/>
      <c r="D13" s="180"/>
      <c r="E13" s="181">
        <f t="shared" si="0"/>
        <v>0</v>
      </c>
    </row>
    <row r="14" spans="1:6" ht="45" customHeight="1">
      <c r="A14" s="177">
        <v>9</v>
      </c>
      <c r="B14" s="178"/>
      <c r="C14" s="179"/>
      <c r="D14" s="180"/>
      <c r="E14" s="181">
        <f t="shared" si="0"/>
        <v>0</v>
      </c>
    </row>
    <row r="15" spans="1:6" ht="45" customHeight="1">
      <c r="A15" s="177">
        <v>10</v>
      </c>
      <c r="B15" s="178"/>
      <c r="C15" s="179"/>
      <c r="D15" s="180"/>
      <c r="E15" s="181">
        <f t="shared" si="0"/>
        <v>0</v>
      </c>
    </row>
    <row r="16" spans="1:6" ht="45" customHeight="1">
      <c r="A16" s="182"/>
      <c r="B16" s="183" t="s">
        <v>190</v>
      </c>
      <c r="C16" s="183"/>
      <c r="D16" s="183"/>
      <c r="E16" s="183">
        <f>SUM(E6:E15)</f>
        <v>0</v>
      </c>
      <c r="F16" s="184"/>
    </row>
    <row r="17" ht="30" customHeight="1"/>
    <row r="18" ht="30" customHeight="1"/>
    <row r="19" ht="30" customHeight="1"/>
    <row r="20" ht="30" customHeight="1"/>
    <row r="21" ht="30" customHeight="1"/>
  </sheetData>
  <sheetProtection password="916E" sheet="1" formatColumns="0" formatRows="0" selectLockedCells="1"/>
  <customSheetViews>
    <customSheetView guid="{C497F4E0-7D3E-4065-935D-7086BE9276FE}" state="hidden" topLeftCell="A13">
      <selection activeCell="D6" sqref="D6"/>
      <pageMargins left="0.75" right="0.75" top="0.65" bottom="1" header="0.5" footer="0.5"/>
      <pageSetup orientation="portrait" r:id="rId1"/>
      <headerFooter alignWithMargins="0"/>
    </customSheetView>
    <customSheetView guid="{889C3D82-0A24-4765-A688-A80A782F5056}" state="hidden" topLeftCell="A13">
      <selection activeCell="D6" sqref="D6"/>
      <pageMargins left="0.75" right="0.75" top="0.65" bottom="1" header="0.5" footer="0.5"/>
      <pageSetup orientation="portrait" r:id="rId2"/>
      <headerFooter alignWithMargins="0"/>
    </customSheetView>
    <customSheetView guid="{89CB4E6A-722E-4E39-885D-E2A6D0D08321}" state="hidden" topLeftCell="A13">
      <selection activeCell="D6" sqref="D6"/>
      <pageMargins left="0.75" right="0.75" top="0.65" bottom="1" header="0.5" footer="0.5"/>
      <pageSetup orientation="portrait" r:id="rId3"/>
      <headerFooter alignWithMargins="0"/>
    </customSheetView>
    <customSheetView guid="{915C64AD-BD67-44F0-9117-5B9D998BA799}" state="hidden" topLeftCell="A13">
      <selection activeCell="D6" sqref="D6"/>
      <pageMargins left="0.75" right="0.75" top="0.65" bottom="1" header="0.5" footer="0.5"/>
      <pageSetup orientation="portrait" r:id="rId4"/>
      <headerFooter alignWithMargins="0"/>
    </customSheetView>
    <customSheetView guid="{18EA11B4-BD82-47BF-99FA-7AB19BF74D0B}" state="hidden" topLeftCell="A13">
      <selection activeCell="D6" sqref="D6"/>
      <pageMargins left="0.75" right="0.75" top="0.65" bottom="1" header="0.5" footer="0.5"/>
      <pageSetup orientation="portrait" r:id="rId5"/>
      <headerFooter alignWithMargins="0"/>
    </customSheetView>
    <customSheetView guid="{CCA37BAE-906F-43D5-9FD9-B13563E4B9D7}" state="hidden" topLeftCell="A13">
      <selection activeCell="D6" sqref="D6"/>
      <pageMargins left="0.75" right="0.75" top="0.65" bottom="1" header="0.5" footer="0.5"/>
      <pageSetup orientation="portrait" r:id="rId6"/>
      <headerFooter alignWithMargins="0"/>
    </customSheetView>
    <customSheetView guid="{99CA2F10-F926-46DC-8609-4EAE5B9F3585}" state="hidden" topLeftCell="A13">
      <selection activeCell="D6" sqref="D6"/>
      <pageMargins left="0.75" right="0.75" top="0.65" bottom="1" header="0.5" footer="0.5"/>
      <pageSetup orientation="portrait" r:id="rId7"/>
      <headerFooter alignWithMargins="0"/>
    </customSheetView>
    <customSheetView guid="{63D51328-7CBC-4A1E-B96D-BAE91416501B}" state="hidden" topLeftCell="A13">
      <selection activeCell="D6" sqref="D6"/>
      <pageMargins left="0.75" right="0.75" top="0.65" bottom="1" header="0.5" footer="0.5"/>
      <pageSetup orientation="portrait" r:id="rId8"/>
      <headerFooter alignWithMargins="0"/>
    </customSheetView>
    <customSheetView guid="{3C00DDA0-7DDE-4169-A739-550DAF5DCF8D}" state="hidden" topLeftCell="A13">
      <selection activeCell="D6" sqref="D6"/>
      <pageMargins left="0.75" right="0.75" top="0.65" bottom="1" header="0.5" footer="0.5"/>
      <pageSetup orientation="portrait" r:id="rId9"/>
      <headerFooter alignWithMargins="0"/>
    </customSheetView>
    <customSheetView guid="{357C9841-BEC3-434B-AC63-C04FB4321BA3}" state="hidden" topLeftCell="A13">
      <selection activeCell="D6" sqref="D6"/>
      <pageMargins left="0.75" right="0.75" top="0.65" bottom="1" header="0.5" footer="0.5"/>
      <pageSetup orientation="portrait" r:id="rId10"/>
      <headerFooter alignWithMargins="0"/>
    </customSheetView>
    <customSheetView guid="{B96E710B-6DD7-4DE1-95AB-C9EE060CD030}" state="hidden" topLeftCell="A13">
      <selection activeCell="D6" sqref="D6"/>
      <pageMargins left="0.75" right="0.75" top="0.65" bottom="1" header="0.5" footer="0.5"/>
      <pageSetup orientation="portrait" r:id="rId11"/>
      <headerFooter alignWithMargins="0"/>
    </customSheetView>
    <customSheetView guid="{A58DB4DF-40C7-4BEB-B85E-6BD6F54941CF}" state="hidden" topLeftCell="A13">
      <selection activeCell="D6" sqref="D6"/>
      <pageMargins left="0.75" right="0.75" top="0.65" bottom="1" header="0.5" footer="0.5"/>
      <pageSetup orientation="portrait" r:id="rId12"/>
      <headerFooter alignWithMargins="0"/>
    </customSheetView>
    <customSheetView guid="{1211E1B9-FC37-4364-9CF0-0FFC01866726}" state="hidden" topLeftCell="A13">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RowHeight="16.5"/>
  <cols>
    <col min="1" max="1" width="8.7109375" style="116" customWidth="1"/>
    <col min="2" max="4" width="23.5703125" style="98" customWidth="1"/>
    <col min="5" max="5" width="11" style="98" customWidth="1"/>
    <col min="6" max="6" width="14.42578125" style="98" customWidth="1"/>
    <col min="7" max="16384" width="9.140625" style="43"/>
  </cols>
  <sheetData>
    <row r="1" spans="1:7">
      <c r="A1" s="172"/>
      <c r="B1" s="173"/>
      <c r="C1" s="173"/>
      <c r="D1" s="173"/>
      <c r="E1" s="173"/>
      <c r="F1" s="173"/>
    </row>
    <row r="2" spans="1:7" ht="21.95" customHeight="1">
      <c r="A2" s="960" t="s">
        <v>195</v>
      </c>
      <c r="B2" s="960"/>
      <c r="C2" s="960"/>
      <c r="D2" s="960"/>
      <c r="E2" s="961"/>
      <c r="F2" s="43"/>
    </row>
    <row r="3" spans="1:7">
      <c r="A3" s="172"/>
      <c r="B3" s="173"/>
      <c r="C3" s="173"/>
      <c r="D3" s="173"/>
      <c r="E3" s="173"/>
      <c r="F3" s="173"/>
    </row>
    <row r="4" spans="1:7" ht="45">
      <c r="A4" s="174" t="s">
        <v>181</v>
      </c>
      <c r="B4" s="175" t="s">
        <v>182</v>
      </c>
      <c r="C4" s="174" t="s">
        <v>196</v>
      </c>
      <c r="D4" s="174" t="s">
        <v>197</v>
      </c>
      <c r="E4" s="174" t="s">
        <v>198</v>
      </c>
      <c r="F4" s="174" t="s">
        <v>199</v>
      </c>
    </row>
    <row r="5" spans="1:7" ht="18" customHeight="1">
      <c r="A5" s="176" t="s">
        <v>185</v>
      </c>
      <c r="B5" s="176" t="s">
        <v>186</v>
      </c>
      <c r="C5" s="176" t="s">
        <v>187</v>
      </c>
      <c r="D5" s="176" t="s">
        <v>188</v>
      </c>
      <c r="E5" s="185" t="s">
        <v>200</v>
      </c>
      <c r="F5" s="176" t="s">
        <v>201</v>
      </c>
    </row>
    <row r="6" spans="1:7" ht="45" customHeight="1">
      <c r="A6" s="177">
        <v>1</v>
      </c>
      <c r="B6" s="178"/>
      <c r="C6" s="179"/>
      <c r="D6" s="179"/>
      <c r="E6" s="180"/>
      <c r="F6" s="181">
        <f>C6*E6</f>
        <v>0</v>
      </c>
    </row>
    <row r="7" spans="1:7" ht="45" customHeight="1">
      <c r="A7" s="177">
        <v>2</v>
      </c>
      <c r="B7" s="178"/>
      <c r="C7" s="179"/>
      <c r="D7" s="179"/>
      <c r="E7" s="180"/>
      <c r="F7" s="181">
        <f t="shared" ref="F7:F15" si="0">C7*E7</f>
        <v>0</v>
      </c>
    </row>
    <row r="8" spans="1:7" ht="45" customHeight="1">
      <c r="A8" s="177">
        <v>3</v>
      </c>
      <c r="B8" s="178"/>
      <c r="C8" s="179"/>
      <c r="D8" s="179"/>
      <c r="E8" s="180"/>
      <c r="F8" s="181">
        <f t="shared" si="0"/>
        <v>0</v>
      </c>
    </row>
    <row r="9" spans="1:7" ht="45" customHeight="1">
      <c r="A9" s="177">
        <v>4</v>
      </c>
      <c r="B9" s="178"/>
      <c r="C9" s="179"/>
      <c r="D9" s="179"/>
      <c r="E9" s="180"/>
      <c r="F9" s="181">
        <f t="shared" si="0"/>
        <v>0</v>
      </c>
    </row>
    <row r="10" spans="1:7" ht="45" customHeight="1">
      <c r="A10" s="177">
        <v>5</v>
      </c>
      <c r="B10" s="178"/>
      <c r="C10" s="179"/>
      <c r="D10" s="179"/>
      <c r="E10" s="180"/>
      <c r="F10" s="181">
        <f t="shared" si="0"/>
        <v>0</v>
      </c>
    </row>
    <row r="11" spans="1:7" ht="45" customHeight="1">
      <c r="A11" s="177">
        <v>6</v>
      </c>
      <c r="B11" s="178"/>
      <c r="C11" s="179"/>
      <c r="D11" s="179"/>
      <c r="E11" s="180"/>
      <c r="F11" s="181">
        <f t="shared" si="0"/>
        <v>0</v>
      </c>
    </row>
    <row r="12" spans="1:7" ht="45" customHeight="1">
      <c r="A12" s="177">
        <v>7</v>
      </c>
      <c r="B12" s="178"/>
      <c r="C12" s="179"/>
      <c r="D12" s="179"/>
      <c r="E12" s="180"/>
      <c r="F12" s="181">
        <f t="shared" si="0"/>
        <v>0</v>
      </c>
    </row>
    <row r="13" spans="1:7" ht="45" customHeight="1">
      <c r="A13" s="177">
        <v>8</v>
      </c>
      <c r="B13" s="178"/>
      <c r="C13" s="179"/>
      <c r="D13" s="179"/>
      <c r="E13" s="180"/>
      <c r="F13" s="181">
        <f t="shared" si="0"/>
        <v>0</v>
      </c>
    </row>
    <row r="14" spans="1:7" ht="45" customHeight="1">
      <c r="A14" s="177">
        <v>9</v>
      </c>
      <c r="B14" s="178"/>
      <c r="C14" s="179"/>
      <c r="D14" s="179"/>
      <c r="E14" s="180"/>
      <c r="F14" s="181">
        <f t="shared" si="0"/>
        <v>0</v>
      </c>
    </row>
    <row r="15" spans="1:7" ht="45" customHeight="1">
      <c r="A15" s="177">
        <v>10</v>
      </c>
      <c r="B15" s="178"/>
      <c r="C15" s="179"/>
      <c r="D15" s="179"/>
      <c r="E15" s="180"/>
      <c r="F15" s="181">
        <f t="shared" si="0"/>
        <v>0</v>
      </c>
    </row>
    <row r="16" spans="1:7" ht="45" customHeight="1">
      <c r="A16" s="182"/>
      <c r="B16" s="183" t="s">
        <v>190</v>
      </c>
      <c r="C16" s="183"/>
      <c r="D16" s="183"/>
      <c r="E16" s="183"/>
      <c r="F16" s="183">
        <f>SUM(F6:F15)</f>
        <v>0</v>
      </c>
      <c r="G16" s="184"/>
    </row>
    <row r="17" ht="30" customHeight="1"/>
    <row r="18" ht="30" customHeight="1"/>
    <row r="19" ht="30" customHeight="1"/>
    <row r="20" ht="30" customHeight="1"/>
    <row r="21" ht="30" customHeight="1"/>
  </sheetData>
  <sheetProtection password="E848" sheet="1" formatColumns="0" formatRows="0" selectLockedCells="1"/>
  <customSheetViews>
    <customSheetView guid="{C497F4E0-7D3E-4065-935D-7086BE9276FE}" state="hidden" topLeftCell="A5">
      <selection activeCell="D11" sqref="D11"/>
      <pageMargins left="0.75" right="0.62" top="0.65" bottom="1" header="0.5" footer="0.5"/>
      <pageSetup orientation="portrait" r:id="rId1"/>
      <headerFooter alignWithMargins="0"/>
    </customSheetView>
    <customSheetView guid="{889C3D82-0A24-4765-A688-A80A782F5056}" state="hidden" topLeftCell="A5">
      <selection activeCell="D11" sqref="D11"/>
      <pageMargins left="0.75" right="0.62" top="0.65" bottom="1" header="0.5" footer="0.5"/>
      <pageSetup orientation="portrait" r:id="rId2"/>
      <headerFooter alignWithMargins="0"/>
    </customSheetView>
    <customSheetView guid="{89CB4E6A-722E-4E39-885D-E2A6D0D08321}" state="hidden" topLeftCell="A5">
      <selection activeCell="D11" sqref="D11"/>
      <pageMargins left="0.75" right="0.62" top="0.65" bottom="1" header="0.5" footer="0.5"/>
      <pageSetup orientation="portrait" r:id="rId3"/>
      <headerFooter alignWithMargins="0"/>
    </customSheetView>
    <customSheetView guid="{915C64AD-BD67-44F0-9117-5B9D998BA799}" state="hidden" topLeftCell="A5">
      <selection activeCell="D11" sqref="D11"/>
      <pageMargins left="0.75" right="0.62" top="0.65" bottom="1" header="0.5" footer="0.5"/>
      <pageSetup orientation="portrait" r:id="rId4"/>
      <headerFooter alignWithMargins="0"/>
    </customSheetView>
    <customSheetView guid="{18EA11B4-BD82-47BF-99FA-7AB19BF74D0B}" state="hidden" topLeftCell="A5">
      <selection activeCell="D11" sqref="D11"/>
      <pageMargins left="0.75" right="0.62" top="0.65" bottom="1" header="0.5" footer="0.5"/>
      <pageSetup orientation="portrait" r:id="rId5"/>
      <headerFooter alignWithMargins="0"/>
    </customSheetView>
    <customSheetView guid="{CCA37BAE-906F-43D5-9FD9-B13563E4B9D7}" state="hidden" topLeftCell="A5">
      <selection activeCell="D11" sqref="D11"/>
      <pageMargins left="0.75" right="0.62" top="0.65" bottom="1" header="0.5" footer="0.5"/>
      <pageSetup orientation="portrait" r:id="rId6"/>
      <headerFooter alignWithMargins="0"/>
    </customSheetView>
    <customSheetView guid="{99CA2F10-F926-46DC-8609-4EAE5B9F3585}" state="hidden" topLeftCell="A5">
      <selection activeCell="D11" sqref="D11"/>
      <pageMargins left="0.75" right="0.62" top="0.65" bottom="1" header="0.5" footer="0.5"/>
      <pageSetup orientation="portrait" r:id="rId7"/>
      <headerFooter alignWithMargins="0"/>
    </customSheetView>
    <customSheetView guid="{63D51328-7CBC-4A1E-B96D-BAE91416501B}" state="hidden" topLeftCell="A5">
      <selection activeCell="D11" sqref="D11"/>
      <pageMargins left="0.75" right="0.62" top="0.65" bottom="1" header="0.5" footer="0.5"/>
      <pageSetup orientation="portrait" r:id="rId8"/>
      <headerFooter alignWithMargins="0"/>
    </customSheetView>
    <customSheetView guid="{3C00DDA0-7DDE-4169-A739-550DAF5DCF8D}" state="hidden" topLeftCell="A5">
      <selection activeCell="D11" sqref="D11"/>
      <pageMargins left="0.75" right="0.62" top="0.65" bottom="1" header="0.5" footer="0.5"/>
      <pageSetup orientation="portrait" r:id="rId9"/>
      <headerFooter alignWithMargins="0"/>
    </customSheetView>
    <customSheetView guid="{357C9841-BEC3-434B-AC63-C04FB4321BA3}" state="hidden" topLeftCell="A5">
      <selection activeCell="D11" sqref="D11"/>
      <pageMargins left="0.75" right="0.62" top="0.65" bottom="1" header="0.5" footer="0.5"/>
      <pageSetup orientation="portrait" r:id="rId10"/>
      <headerFooter alignWithMargins="0"/>
    </customSheetView>
    <customSheetView guid="{B96E710B-6DD7-4DE1-95AB-C9EE060CD030}" state="hidden" topLeftCell="A5">
      <selection activeCell="D11" sqref="D11"/>
      <pageMargins left="0.75" right="0.62" top="0.65" bottom="1" header="0.5" footer="0.5"/>
      <pageSetup orientation="portrait" r:id="rId11"/>
      <headerFooter alignWithMargins="0"/>
    </customSheetView>
    <customSheetView guid="{A58DB4DF-40C7-4BEB-B85E-6BD6F54941CF}" state="hidden" topLeftCell="A5">
      <selection activeCell="D11" sqref="D11"/>
      <pageMargins left="0.75" right="0.62" top="0.65" bottom="1" header="0.5" footer="0.5"/>
      <pageSetup orientation="portrait" r:id="rId12"/>
      <headerFooter alignWithMargins="0"/>
    </customSheetView>
    <customSheetView guid="{1211E1B9-FC37-4364-9CF0-0FFC01866726}" state="hidden" topLeftCell="A5">
      <selection activeCell="D11" sqref="D11"/>
      <pageMargins left="0.75" right="0.62" top="0.65" bottom="1" header="0.5" footer="0.5"/>
      <pageSetup orientation="portrait" r:id="rId13"/>
      <headerFooter alignWithMargins="0"/>
    </customSheetView>
  </customSheetViews>
  <mergeCells count="1">
    <mergeCell ref="A2:E2"/>
  </mergeCells>
  <pageMargins left="0.75" right="0.62" top="0.65" bottom="1" header="0.5" footer="0.5"/>
  <pageSetup orientation="portrait" r:id="rId14"/>
  <headerFooter alignWithMargins="0"/>
  <drawing r:id="rId1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2"/>
  <sheetViews>
    <sheetView showGridLines="0" showZeros="0" view="pageBreakPreview" zoomScaleSheetLayoutView="100" workbookViewId="0">
      <selection activeCell="D50" sqref="D50:F50"/>
    </sheetView>
  </sheetViews>
  <sheetFormatPr defaultRowHeight="16.5"/>
  <cols>
    <col min="1" max="1" width="10.7109375" style="189" customWidth="1"/>
    <col min="2" max="2" width="15.28515625" style="194" customWidth="1"/>
    <col min="3" max="3" width="16.28515625" style="189" customWidth="1"/>
    <col min="4" max="4" width="20.7109375" style="189" customWidth="1"/>
    <col min="5" max="5" width="12.7109375" style="189" customWidth="1"/>
    <col min="6" max="6" width="45.140625" style="189" customWidth="1"/>
    <col min="7" max="7" width="9.140625" style="189" customWidth="1"/>
    <col min="8" max="8" width="12" style="189" hidden="1" customWidth="1"/>
    <col min="9" max="18" width="9.140625" style="190" hidden="1" customWidth="1"/>
    <col min="19" max="19" width="8" style="190" hidden="1" customWidth="1"/>
    <col min="20" max="20" width="9.140625" style="190" hidden="1" customWidth="1"/>
    <col min="21" max="21" width="7.7109375" style="190" hidden="1" customWidth="1"/>
    <col min="22" max="22" width="9.140625" style="190" hidden="1" customWidth="1"/>
    <col min="23" max="23" width="5.5703125" style="190" hidden="1" customWidth="1"/>
    <col min="24" max="24" width="4.85546875" style="190" hidden="1" customWidth="1"/>
    <col min="25" max="25" width="9.140625" style="190" hidden="1" customWidth="1"/>
    <col min="26" max="26" width="66.7109375" style="190" hidden="1" customWidth="1"/>
    <col min="27" max="27" width="17.5703125" style="190" hidden="1" customWidth="1"/>
    <col min="28" max="28" width="20" style="190" hidden="1" customWidth="1"/>
    <col min="29" max="29" width="13.85546875" style="190" hidden="1" customWidth="1"/>
    <col min="30" max="30" width="9.140625" style="191" hidden="1" customWidth="1"/>
    <col min="31" max="31" width="9.140625" style="192" hidden="1" customWidth="1"/>
    <col min="32" max="32" width="13.7109375" style="192" hidden="1" customWidth="1"/>
    <col min="33" max="35" width="9.140625" style="191" hidden="1" customWidth="1"/>
    <col min="36" max="36" width="10.42578125" style="191" hidden="1" customWidth="1"/>
    <col min="37" max="41" width="9.140625" style="191" hidden="1" customWidth="1"/>
    <col min="42" max="16384" width="9.140625" style="190"/>
  </cols>
  <sheetData>
    <row r="1" spans="1:36" ht="24.75" customHeight="1">
      <c r="A1" s="186" t="str">
        <f>Cover!B3</f>
        <v>Spec No: CC/NT/W-AIS/DOM/A10/24/03802</v>
      </c>
      <c r="B1" s="186"/>
      <c r="C1" s="187"/>
      <c r="D1" s="187"/>
      <c r="E1" s="187"/>
      <c r="F1" s="188" t="s">
        <v>202</v>
      </c>
      <c r="Z1" s="190" t="str">
        <f>'[6]Names of Bidder'!D6</f>
        <v>Sole Bidder</v>
      </c>
      <c r="AE1" s="192">
        <v>1</v>
      </c>
      <c r="AF1" s="192" t="s">
        <v>203</v>
      </c>
      <c r="AI1" s="192">
        <v>1</v>
      </c>
      <c r="AJ1" s="191" t="s">
        <v>204</v>
      </c>
    </row>
    <row r="2" spans="1:36">
      <c r="B2" s="189"/>
      <c r="Z2" s="190">
        <f>'[6]Names of Bidder'!AA6</f>
        <v>0</v>
      </c>
      <c r="AE2" s="192">
        <v>2</v>
      </c>
      <c r="AF2" s="192" t="s">
        <v>205</v>
      </c>
      <c r="AI2" s="192">
        <v>2</v>
      </c>
      <c r="AJ2" s="191" t="s">
        <v>206</v>
      </c>
    </row>
    <row r="3" spans="1:36" ht="17.25">
      <c r="A3" s="968" t="s">
        <v>207</v>
      </c>
      <c r="B3" s="968"/>
      <c r="C3" s="968"/>
      <c r="D3" s="968"/>
      <c r="E3" s="968"/>
      <c r="F3" s="968"/>
      <c r="AE3" s="192">
        <v>3</v>
      </c>
      <c r="AF3" s="192" t="s">
        <v>208</v>
      </c>
      <c r="AI3" s="192">
        <v>3</v>
      </c>
      <c r="AJ3" s="191" t="s">
        <v>209</v>
      </c>
    </row>
    <row r="4" spans="1:36">
      <c r="A4" s="193"/>
      <c r="B4" s="193"/>
      <c r="C4" s="193"/>
      <c r="D4" s="193"/>
      <c r="E4" s="193"/>
      <c r="F4" s="193"/>
      <c r="AE4" s="192">
        <v>4</v>
      </c>
      <c r="AF4" s="192" t="s">
        <v>210</v>
      </c>
      <c r="AI4" s="192">
        <v>4</v>
      </c>
      <c r="AJ4" s="191" t="s">
        <v>211</v>
      </c>
    </row>
    <row r="5" spans="1:36">
      <c r="A5" s="194" t="s">
        <v>212</v>
      </c>
      <c r="C5" s="969"/>
      <c r="D5" s="969"/>
      <c r="E5" s="969"/>
      <c r="F5" s="969"/>
      <c r="AE5" s="192">
        <v>5</v>
      </c>
      <c r="AF5" s="192" t="s">
        <v>210</v>
      </c>
      <c r="AI5" s="192">
        <v>5</v>
      </c>
      <c r="AJ5" s="191" t="s">
        <v>213</v>
      </c>
    </row>
    <row r="6" spans="1:36">
      <c r="A6" s="194" t="s">
        <v>214</v>
      </c>
      <c r="B6" s="970" t="str">
        <f>'Names of Bidder'!C22&amp;'Names of Bidder'!D22&amp;'Names of Bidder'!E22</f>
        <v/>
      </c>
      <c r="C6" s="970"/>
      <c r="AE6" s="192">
        <v>6</v>
      </c>
      <c r="AF6" s="192" t="s">
        <v>210</v>
      </c>
      <c r="AG6" s="195" t="e">
        <f>DAY(B6)</f>
        <v>#VALUE!</v>
      </c>
      <c r="AI6" s="192">
        <v>6</v>
      </c>
      <c r="AJ6" s="191" t="s">
        <v>215</v>
      </c>
    </row>
    <row r="7" spans="1:36">
      <c r="A7" s="194"/>
      <c r="B7" s="196"/>
      <c r="C7" s="196"/>
      <c r="AE7" s="192">
        <v>7</v>
      </c>
      <c r="AF7" s="192" t="s">
        <v>210</v>
      </c>
      <c r="AG7" s="195" t="e">
        <f>MONTH(B6)</f>
        <v>#VALUE!</v>
      </c>
      <c r="AI7" s="192">
        <v>7</v>
      </c>
      <c r="AJ7" s="191" t="s">
        <v>216</v>
      </c>
    </row>
    <row r="8" spans="1:36">
      <c r="A8" s="197" t="s">
        <v>1</v>
      </c>
      <c r="B8" s="198"/>
      <c r="F8" s="199"/>
      <c r="AE8" s="192">
        <v>8</v>
      </c>
      <c r="AF8" s="192" t="s">
        <v>210</v>
      </c>
      <c r="AG8" s="195" t="e">
        <f>LOOKUP(AG7,AI1:AI12,AJ1:AJ12)</f>
        <v>#VALUE!</v>
      </c>
      <c r="AI8" s="192">
        <v>8</v>
      </c>
      <c r="AJ8" s="191" t="s">
        <v>217</v>
      </c>
    </row>
    <row r="9" spans="1:36">
      <c r="A9" s="200">
        <f>'Sch-1'!L8</f>
        <v>0</v>
      </c>
      <c r="B9" s="200"/>
      <c r="F9" s="199"/>
      <c r="AE9" s="192">
        <v>9</v>
      </c>
      <c r="AF9" s="192" t="s">
        <v>210</v>
      </c>
      <c r="AG9" s="195" t="e">
        <f>YEAR(B6)</f>
        <v>#VALUE!</v>
      </c>
      <c r="AI9" s="192">
        <v>9</v>
      </c>
      <c r="AJ9" s="191" t="s">
        <v>218</v>
      </c>
    </row>
    <row r="10" spans="1:36">
      <c r="A10" s="200" t="str">
        <f>'Sch-1'!K9</f>
        <v>Power Grid Corporation of India Ltd.,</v>
      </c>
      <c r="B10" s="200"/>
      <c r="F10" s="199"/>
      <c r="AE10" s="192">
        <v>10</v>
      </c>
      <c r="AF10" s="192" t="s">
        <v>210</v>
      </c>
      <c r="AI10" s="192">
        <v>10</v>
      </c>
      <c r="AJ10" s="191" t="s">
        <v>219</v>
      </c>
    </row>
    <row r="11" spans="1:36">
      <c r="A11" s="200" t="str">
        <f>'Sch-1'!K10</f>
        <v>"Saudamini", Plot No.-2</v>
      </c>
      <c r="B11" s="200"/>
      <c r="F11" s="199"/>
      <c r="AE11" s="192">
        <v>11</v>
      </c>
      <c r="AF11" s="192" t="s">
        <v>210</v>
      </c>
      <c r="AI11" s="192">
        <v>11</v>
      </c>
      <c r="AJ11" s="191" t="s">
        <v>220</v>
      </c>
    </row>
    <row r="12" spans="1:36">
      <c r="A12" s="200" t="str">
        <f>'Sch-1'!K11</f>
        <v xml:space="preserve">Sector-29, </v>
      </c>
      <c r="B12" s="200"/>
      <c r="F12" s="199"/>
      <c r="AE12" s="192">
        <v>12</v>
      </c>
      <c r="AF12" s="192" t="s">
        <v>210</v>
      </c>
      <c r="AI12" s="192">
        <v>12</v>
      </c>
      <c r="AJ12" s="191" t="s">
        <v>221</v>
      </c>
    </row>
    <row r="13" spans="1:36">
      <c r="A13" s="200" t="str">
        <f>'Sch-1'!K12</f>
        <v>Gurugram (Haryana) - 122001</v>
      </c>
      <c r="B13" s="200"/>
      <c r="F13" s="199"/>
      <c r="AE13" s="192">
        <v>13</v>
      </c>
      <c r="AF13" s="192" t="s">
        <v>210</v>
      </c>
    </row>
    <row r="14" spans="1:36" ht="22.5" customHeight="1">
      <c r="A14" s="194"/>
      <c r="F14" s="199"/>
      <c r="AE14" s="192">
        <v>14</v>
      </c>
      <c r="AF14" s="192" t="s">
        <v>210</v>
      </c>
    </row>
    <row r="15" spans="1:36" ht="184.5" customHeight="1">
      <c r="A15" s="464" t="s">
        <v>222</v>
      </c>
      <c r="B15" s="465"/>
      <c r="C15" s="971" t="str">
        <f>Cover!B2</f>
        <v>765kV AIS Substation Extension Package SS-124 (including 765/400kV GIS Bus Duct) for (i) Extension of 765/400kV Indore Substation under Augmentation of transformation capacity at 765/400kV Indore S/S in Madhya Pradesh; (ii) Extension of 400kV Indore (PG) S/s under Implementation of 400kV line bay at 765/400/220kV Indore (PG) S/s in MP for RE interconnection; (iii) Extension of 400kV Parli (New) S/s under Implementation of 400kV line bay at 765/400kV Parli (New) S/s for interconnection of RE project and (iv) Extension of 400/220kV Bhuj GIS PS under Augmentation of transformation capacity at 400/220kV Bhuj PS in Gujarat by 1x500MVA, 400/220kV ICT (9th)</v>
      </c>
      <c r="D15" s="971"/>
      <c r="E15" s="971"/>
      <c r="F15" s="971"/>
      <c r="AE15" s="192">
        <v>15</v>
      </c>
      <c r="AF15" s="192" t="s">
        <v>210</v>
      </c>
    </row>
    <row r="16" spans="1:36" ht="27.75" customHeight="1">
      <c r="A16" s="189" t="s">
        <v>223</v>
      </c>
      <c r="B16" s="189"/>
      <c r="C16" s="199"/>
      <c r="D16" s="199"/>
      <c r="E16" s="199"/>
      <c r="F16" s="199"/>
      <c r="AE16" s="192">
        <v>16</v>
      </c>
      <c r="AF16" s="192" t="s">
        <v>210</v>
      </c>
    </row>
    <row r="17" spans="1:41" ht="99.75" customHeight="1">
      <c r="A17" s="202">
        <v>1</v>
      </c>
      <c r="B17" s="966"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966"/>
      <c r="D17" s="966"/>
      <c r="E17" s="966"/>
      <c r="F17" s="966"/>
      <c r="H17" s="536" t="s">
        <v>289</v>
      </c>
      <c r="Z17" s="203"/>
      <c r="AA17" s="204"/>
      <c r="AB17" s="205"/>
      <c r="AC17" s="206"/>
      <c r="AE17" s="192">
        <v>17</v>
      </c>
      <c r="AF17" s="192" t="s">
        <v>210</v>
      </c>
    </row>
    <row r="18" spans="1:41" ht="24.75" customHeight="1">
      <c r="A18" s="202"/>
      <c r="B18" s="966"/>
      <c r="C18" s="966"/>
      <c r="D18" s="966"/>
      <c r="E18" s="966"/>
      <c r="F18" s="966"/>
      <c r="H18" s="205">
        <f>ROUND('Sch-6 (After Discount)'!D28,2)</f>
        <v>0</v>
      </c>
      <c r="I18" s="190" t="s">
        <v>456</v>
      </c>
      <c r="Z18" s="203"/>
      <c r="AA18" s="204"/>
      <c r="AB18" s="205"/>
      <c r="AC18" s="206"/>
    </row>
    <row r="19" spans="1:41" ht="13.5" customHeight="1">
      <c r="A19" s="202"/>
      <c r="B19" s="966"/>
      <c r="C19" s="966"/>
      <c r="D19" s="966"/>
      <c r="E19" s="966"/>
      <c r="F19" s="966"/>
      <c r="H19" s="537" t="str">
        <f>'N-W (Cr.)'!P4</f>
        <v/>
      </c>
      <c r="N19" s="190" t="s">
        <v>455</v>
      </c>
      <c r="Z19" s="203"/>
      <c r="AA19" s="204"/>
      <c r="AB19" s="205"/>
      <c r="AC19" s="206"/>
    </row>
    <row r="20" spans="1:41" ht="39" customHeight="1">
      <c r="B20" s="967" t="s">
        <v>224</v>
      </c>
      <c r="C20" s="967"/>
      <c r="D20" s="967"/>
      <c r="E20" s="967"/>
      <c r="F20" s="967"/>
      <c r="H20" s="189" t="s">
        <v>288</v>
      </c>
      <c r="AE20" s="192">
        <v>18</v>
      </c>
      <c r="AF20" s="192" t="s">
        <v>210</v>
      </c>
    </row>
    <row r="21" spans="1:41" s="189" customFormat="1" ht="27.75" customHeight="1">
      <c r="A21" s="207">
        <v>2</v>
      </c>
      <c r="B21" s="965" t="s">
        <v>225</v>
      </c>
      <c r="C21" s="965"/>
      <c r="D21" s="965"/>
      <c r="E21" s="965"/>
      <c r="F21" s="965"/>
      <c r="AD21" s="208"/>
      <c r="AE21" s="192">
        <v>19</v>
      </c>
      <c r="AF21" s="192" t="s">
        <v>210</v>
      </c>
      <c r="AG21" s="208"/>
      <c r="AH21" s="208"/>
      <c r="AI21" s="208"/>
      <c r="AJ21" s="208"/>
      <c r="AK21" s="208"/>
      <c r="AL21" s="208"/>
      <c r="AM21" s="208"/>
      <c r="AN21" s="208"/>
      <c r="AO21" s="208"/>
    </row>
    <row r="22" spans="1:41" ht="39.75" customHeight="1">
      <c r="A22" s="202">
        <v>2.1</v>
      </c>
      <c r="B22" s="963" t="s">
        <v>226</v>
      </c>
      <c r="C22" s="963"/>
      <c r="D22" s="963"/>
      <c r="E22" s="963"/>
      <c r="F22" s="963"/>
      <c r="AE22" s="192">
        <v>20</v>
      </c>
      <c r="AF22" s="192" t="s">
        <v>210</v>
      </c>
    </row>
    <row r="23" spans="1:41" ht="36.75" customHeight="1">
      <c r="B23" s="962" t="s">
        <v>227</v>
      </c>
      <c r="C23" s="962"/>
      <c r="D23" s="963" t="s">
        <v>228</v>
      </c>
      <c r="E23" s="963"/>
      <c r="F23" s="963"/>
      <c r="AE23" s="192">
        <v>21</v>
      </c>
      <c r="AF23" s="192" t="s">
        <v>203</v>
      </c>
    </row>
    <row r="24" spans="1:41" ht="33" customHeight="1">
      <c r="B24" s="962" t="s">
        <v>229</v>
      </c>
      <c r="C24" s="962"/>
      <c r="D24" s="201" t="s">
        <v>290</v>
      </c>
      <c r="E24" s="201"/>
      <c r="F24" s="201"/>
      <c r="AE24" s="192">
        <v>22</v>
      </c>
      <c r="AF24" s="192" t="s">
        <v>210</v>
      </c>
    </row>
    <row r="25" spans="1:41" ht="27.95" customHeight="1">
      <c r="B25" s="962" t="s">
        <v>230</v>
      </c>
      <c r="C25" s="962"/>
      <c r="D25" s="201" t="s">
        <v>231</v>
      </c>
      <c r="E25" s="201"/>
      <c r="F25" s="201"/>
      <c r="H25" s="208" t="str">
        <f>'[6]Names of Bidder'!D6</f>
        <v>Sole Bidder</v>
      </c>
      <c r="AE25" s="192">
        <v>23</v>
      </c>
      <c r="AF25" s="192" t="s">
        <v>210</v>
      </c>
    </row>
    <row r="26" spans="1:41" ht="27.95" customHeight="1">
      <c r="B26" s="962" t="s">
        <v>232</v>
      </c>
      <c r="C26" s="962"/>
      <c r="D26" s="201" t="s">
        <v>463</v>
      </c>
      <c r="E26" s="201"/>
      <c r="F26" s="201"/>
      <c r="AE26" s="192">
        <v>24</v>
      </c>
      <c r="AF26" s="192" t="s">
        <v>210</v>
      </c>
    </row>
    <row r="27" spans="1:41" ht="27.95" customHeight="1">
      <c r="B27" s="962" t="s">
        <v>233</v>
      </c>
      <c r="C27" s="962"/>
      <c r="D27" s="201" t="s">
        <v>464</v>
      </c>
      <c r="E27" s="201"/>
      <c r="F27" s="201"/>
      <c r="AE27" s="192">
        <v>25</v>
      </c>
      <c r="AF27" s="192" t="s">
        <v>210</v>
      </c>
    </row>
    <row r="28" spans="1:41" ht="27.95" customHeight="1">
      <c r="B28" s="962" t="s">
        <v>234</v>
      </c>
      <c r="C28" s="962"/>
      <c r="D28" s="201" t="s">
        <v>235</v>
      </c>
      <c r="E28" s="201"/>
      <c r="F28" s="201"/>
      <c r="AE28" s="192">
        <v>26</v>
      </c>
      <c r="AF28" s="192" t="s">
        <v>210</v>
      </c>
    </row>
    <row r="29" spans="1:41" ht="44.25" customHeight="1">
      <c r="B29" s="962" t="s">
        <v>30</v>
      </c>
      <c r="C29" s="962"/>
      <c r="D29" s="964" t="s">
        <v>466</v>
      </c>
      <c r="E29" s="964"/>
      <c r="F29" s="964"/>
      <c r="AE29" s="192">
        <v>27</v>
      </c>
      <c r="AF29" s="192" t="s">
        <v>210</v>
      </c>
    </row>
    <row r="30" spans="1:41" ht="98.25" customHeight="1">
      <c r="A30" s="209">
        <v>2.2000000000000002</v>
      </c>
      <c r="B30" s="963" t="s">
        <v>236</v>
      </c>
      <c r="C30" s="963"/>
      <c r="D30" s="963"/>
      <c r="E30" s="963"/>
      <c r="F30" s="963"/>
      <c r="AE30" s="192">
        <v>28</v>
      </c>
      <c r="AF30" s="192" t="s">
        <v>210</v>
      </c>
    </row>
    <row r="31" spans="1:41" ht="68.25" customHeight="1">
      <c r="A31" s="209">
        <v>2.2999999999999998</v>
      </c>
      <c r="B31" s="963" t="s">
        <v>556</v>
      </c>
      <c r="C31" s="963"/>
      <c r="D31" s="963"/>
      <c r="E31" s="963"/>
      <c r="F31" s="963"/>
      <c r="AE31" s="192">
        <v>29</v>
      </c>
      <c r="AF31" s="192" t="s">
        <v>210</v>
      </c>
    </row>
    <row r="32" spans="1:41" ht="129.75" customHeight="1">
      <c r="A32" s="209">
        <v>2.4</v>
      </c>
      <c r="B32" s="963" t="s">
        <v>237</v>
      </c>
      <c r="C32" s="963"/>
      <c r="D32" s="963"/>
      <c r="E32" s="963"/>
      <c r="F32" s="963"/>
      <c r="AE32" s="192">
        <v>30</v>
      </c>
      <c r="AF32" s="192" t="s">
        <v>210</v>
      </c>
    </row>
    <row r="33" spans="1:32" ht="79.5" customHeight="1">
      <c r="A33" s="209">
        <v>2.5</v>
      </c>
      <c r="B33" s="963" t="s">
        <v>238</v>
      </c>
      <c r="C33" s="963"/>
      <c r="D33" s="963"/>
      <c r="E33" s="963"/>
      <c r="F33" s="963"/>
      <c r="AE33" s="192">
        <v>31</v>
      </c>
      <c r="AF33" s="192" t="s">
        <v>203</v>
      </c>
    </row>
    <row r="34" spans="1:32" ht="81" customHeight="1">
      <c r="A34" s="202">
        <v>3</v>
      </c>
      <c r="B34" s="963" t="s">
        <v>462</v>
      </c>
      <c r="C34" s="963"/>
      <c r="D34" s="963"/>
      <c r="E34" s="963"/>
      <c r="F34" s="963"/>
    </row>
    <row r="35" spans="1:32" ht="63" customHeight="1">
      <c r="A35" s="202">
        <v>3.1</v>
      </c>
      <c r="B35" s="964" t="s">
        <v>291</v>
      </c>
      <c r="C35" s="964"/>
      <c r="D35" s="964"/>
      <c r="E35" s="964"/>
      <c r="F35" s="964"/>
    </row>
    <row r="36" spans="1:32" ht="114" customHeight="1">
      <c r="A36" s="209">
        <v>3.2</v>
      </c>
      <c r="B36" s="963" t="s">
        <v>292</v>
      </c>
      <c r="C36" s="963"/>
      <c r="D36" s="963"/>
      <c r="E36" s="963"/>
      <c r="F36" s="963"/>
    </row>
    <row r="37" spans="1:32" ht="65.25" customHeight="1">
      <c r="A37" s="209">
        <v>3.3</v>
      </c>
      <c r="B37" s="963" t="s">
        <v>293</v>
      </c>
      <c r="C37" s="963"/>
      <c r="D37" s="963"/>
      <c r="E37" s="963"/>
      <c r="F37" s="963"/>
    </row>
    <row r="38" spans="1:32" ht="66" customHeight="1">
      <c r="A38" s="202">
        <v>4</v>
      </c>
      <c r="B38" s="963" t="s">
        <v>239</v>
      </c>
      <c r="C38" s="963"/>
      <c r="D38" s="963"/>
      <c r="E38" s="963"/>
      <c r="F38" s="963"/>
    </row>
    <row r="39" spans="1:32" ht="93" customHeight="1">
      <c r="A39" s="202">
        <v>5</v>
      </c>
      <c r="B39" s="963" t="s">
        <v>240</v>
      </c>
      <c r="C39" s="963"/>
      <c r="D39" s="963"/>
      <c r="E39" s="963"/>
      <c r="F39" s="963"/>
    </row>
    <row r="40" spans="1:32" ht="20.25" customHeight="1">
      <c r="B40" s="69" t="str">
        <f>IF(ISERROR("Dated this " &amp; AG6 &amp; LOOKUP(AG6,AE1:AE33,AF1:AF33) &amp; " day of " &amp; AG8 &amp; " " &amp;AG9), "", "Dated this " &amp; AG6 &amp; LOOKUP(AG6,AE1:AE33,AF1:AF33) &amp; " day of " &amp; AG8 &amp; " " &amp;AG9)</f>
        <v/>
      </c>
      <c r="C40" s="69"/>
      <c r="D40" s="69"/>
      <c r="E40" s="210"/>
      <c r="F40" s="210"/>
    </row>
    <row r="41" spans="1:32" ht="30" customHeight="1">
      <c r="B41" s="69" t="s">
        <v>174</v>
      </c>
      <c r="C41" s="18"/>
      <c r="D41" s="67"/>
      <c r="E41" s="67"/>
      <c r="F41" s="67"/>
    </row>
    <row r="42" spans="1:32" ht="20.25" customHeight="1">
      <c r="B42" s="211"/>
      <c r="C42" s="67"/>
      <c r="D42" s="67"/>
      <c r="E42" s="69"/>
      <c r="F42" s="212" t="s">
        <v>175</v>
      </c>
    </row>
    <row r="43" spans="1:32" ht="18" customHeight="1">
      <c r="B43" s="211"/>
      <c r="C43" s="67"/>
      <c r="D43" s="69"/>
      <c r="E43" s="69"/>
      <c r="F43" s="212" t="str">
        <f>"For and on behalf of " &amp; '[6]Sch-1'!B8</f>
        <v>For and on behalf of test</v>
      </c>
    </row>
    <row r="44" spans="1:32" ht="30" customHeight="1">
      <c r="A44" s="190"/>
      <c r="B44" s="190"/>
      <c r="C44" s="213"/>
      <c r="D44" s="190"/>
      <c r="E44" s="214" t="s">
        <v>241</v>
      </c>
      <c r="F44" s="194"/>
    </row>
    <row r="45" spans="1:32" ht="30" customHeight="1">
      <c r="A45" s="215" t="s">
        <v>176</v>
      </c>
      <c r="B45" s="977" t="str">
        <f>Discount!C39</f>
        <v xml:space="preserve">  </v>
      </c>
      <c r="C45" s="970"/>
      <c r="D45" s="190"/>
      <c r="E45" s="214" t="s">
        <v>177</v>
      </c>
      <c r="F45" s="367">
        <f>Discount!F39</f>
        <v>0</v>
      </c>
    </row>
    <row r="46" spans="1:32" ht="30" customHeight="1">
      <c r="A46" s="215" t="s">
        <v>178</v>
      </c>
      <c r="B46" s="972" t="str">
        <f>Discount!C40</f>
        <v/>
      </c>
      <c r="C46" s="970"/>
      <c r="D46" s="190"/>
      <c r="E46" s="214" t="s">
        <v>179</v>
      </c>
      <c r="F46" s="367">
        <f>Discount!F40</f>
        <v>0</v>
      </c>
    </row>
    <row r="47" spans="1:32" ht="30" customHeight="1">
      <c r="B47" s="189"/>
      <c r="D47" s="190"/>
      <c r="E47" s="214" t="s">
        <v>242</v>
      </c>
    </row>
    <row r="48" spans="1:32" ht="30" customHeight="1">
      <c r="A48" s="974" t="str">
        <f>IF(H25="Sole Bidder", "", "In case of bid from a Joint Venture, name &amp; designation of representative of JV partner is to be provided and Bid Form is also to be signed by him.")</f>
        <v/>
      </c>
      <c r="B48" s="974"/>
      <c r="C48" s="974"/>
      <c r="D48" s="974"/>
      <c r="E48" s="974"/>
      <c r="F48" s="974"/>
    </row>
    <row r="49" spans="1:41" s="189" customFormat="1" ht="33" customHeight="1">
      <c r="A49" s="216" t="s">
        <v>243</v>
      </c>
      <c r="B49" s="217"/>
      <c r="C49" s="218"/>
      <c r="D49" s="69"/>
      <c r="E49" s="212"/>
      <c r="F49" s="69"/>
      <c r="H49" s="194"/>
      <c r="AD49" s="208"/>
      <c r="AE49" s="192"/>
      <c r="AF49" s="192"/>
      <c r="AG49" s="208"/>
      <c r="AH49" s="208"/>
      <c r="AI49" s="208"/>
      <c r="AJ49" s="208"/>
      <c r="AK49" s="208"/>
      <c r="AL49" s="208"/>
      <c r="AM49" s="208"/>
      <c r="AN49" s="208"/>
      <c r="AO49" s="208"/>
    </row>
    <row r="50" spans="1:41" s="189" customFormat="1" ht="33" customHeight="1">
      <c r="A50" s="979" t="s">
        <v>244</v>
      </c>
      <c r="B50" s="979"/>
      <c r="C50" s="979"/>
      <c r="D50" s="973"/>
      <c r="E50" s="973"/>
      <c r="F50" s="973"/>
      <c r="H50" s="194"/>
      <c r="AD50" s="208"/>
      <c r="AE50" s="192"/>
      <c r="AF50" s="192"/>
      <c r="AG50" s="208"/>
      <c r="AH50" s="208"/>
      <c r="AI50" s="208"/>
      <c r="AJ50" s="208"/>
      <c r="AK50" s="208"/>
      <c r="AL50" s="208"/>
      <c r="AM50" s="208"/>
      <c r="AN50" s="208"/>
      <c r="AO50" s="208"/>
    </row>
    <row r="51" spans="1:41" s="189" customFormat="1" ht="33" customHeight="1">
      <c r="A51" s="975"/>
      <c r="B51" s="975"/>
      <c r="C51" s="975"/>
      <c r="D51" s="219"/>
      <c r="E51" s="219"/>
      <c r="F51" s="219"/>
      <c r="H51" s="194"/>
      <c r="AD51" s="208"/>
      <c r="AE51" s="192"/>
      <c r="AF51" s="192"/>
      <c r="AG51" s="208"/>
      <c r="AH51" s="208"/>
      <c r="AI51" s="208"/>
      <c r="AJ51" s="208"/>
      <c r="AK51" s="208"/>
      <c r="AL51" s="208"/>
      <c r="AM51" s="208"/>
      <c r="AN51" s="208"/>
      <c r="AO51" s="208"/>
    </row>
    <row r="52" spans="1:41" s="189" customFormat="1" ht="33" customHeight="1">
      <c r="A52" s="976"/>
      <c r="B52" s="976"/>
      <c r="C52" s="976"/>
      <c r="D52" s="219"/>
      <c r="E52" s="219"/>
      <c r="F52" s="219"/>
      <c r="H52" s="194"/>
      <c r="AD52" s="208"/>
      <c r="AE52" s="192"/>
      <c r="AF52" s="192"/>
      <c r="AG52" s="208"/>
      <c r="AH52" s="208"/>
      <c r="AI52" s="208"/>
      <c r="AJ52" s="208"/>
      <c r="AK52" s="208"/>
      <c r="AL52" s="208"/>
      <c r="AM52" s="208"/>
      <c r="AN52" s="208"/>
      <c r="AO52" s="208"/>
    </row>
    <row r="53" spans="1:41" s="189" customFormat="1" ht="33" customHeight="1">
      <c r="A53" s="978" t="s">
        <v>245</v>
      </c>
      <c r="B53" s="978"/>
      <c r="C53" s="978"/>
      <c r="D53" s="973"/>
      <c r="E53" s="973"/>
      <c r="F53" s="973"/>
      <c r="H53" s="194"/>
      <c r="AD53" s="208"/>
      <c r="AE53" s="192"/>
      <c r="AF53" s="192"/>
      <c r="AG53" s="208"/>
      <c r="AH53" s="208"/>
      <c r="AI53" s="208"/>
      <c r="AJ53" s="208"/>
      <c r="AK53" s="208"/>
      <c r="AL53" s="208"/>
      <c r="AM53" s="208"/>
      <c r="AN53" s="208"/>
      <c r="AO53" s="208"/>
    </row>
    <row r="54" spans="1:41" s="189" customFormat="1" ht="33" customHeight="1">
      <c r="A54" s="978" t="s">
        <v>246</v>
      </c>
      <c r="B54" s="978"/>
      <c r="C54" s="978"/>
      <c r="D54" s="973"/>
      <c r="E54" s="973"/>
      <c r="F54" s="973"/>
      <c r="H54" s="194"/>
      <c r="AD54" s="208"/>
      <c r="AE54" s="192"/>
      <c r="AF54" s="192"/>
      <c r="AG54" s="208"/>
      <c r="AH54" s="208"/>
      <c r="AI54" s="208"/>
      <c r="AJ54" s="208"/>
      <c r="AK54" s="208"/>
      <c r="AL54" s="208"/>
      <c r="AM54" s="208"/>
      <c r="AN54" s="208"/>
      <c r="AO54" s="208"/>
    </row>
    <row r="55" spans="1:41" s="189" customFormat="1" ht="33" customHeight="1">
      <c r="A55" s="978" t="s">
        <v>247</v>
      </c>
      <c r="B55" s="978"/>
      <c r="C55" s="978"/>
      <c r="D55" s="973"/>
      <c r="E55" s="973"/>
      <c r="F55" s="973"/>
      <c r="H55" s="194"/>
      <c r="AD55" s="208"/>
      <c r="AE55" s="192"/>
      <c r="AF55" s="192"/>
      <c r="AG55" s="208"/>
      <c r="AH55" s="208"/>
      <c r="AI55" s="208"/>
      <c r="AJ55" s="208"/>
      <c r="AK55" s="208"/>
      <c r="AL55" s="208"/>
      <c r="AM55" s="208"/>
      <c r="AN55" s="208"/>
      <c r="AO55" s="208"/>
    </row>
    <row r="56" spans="1:41" s="189" customFormat="1" ht="33" customHeight="1">
      <c r="A56" s="979" t="s">
        <v>248</v>
      </c>
      <c r="B56" s="979"/>
      <c r="C56" s="979"/>
      <c r="D56" s="973"/>
      <c r="E56" s="973"/>
      <c r="F56" s="973"/>
      <c r="H56" s="194"/>
      <c r="AD56" s="208"/>
      <c r="AE56" s="192"/>
      <c r="AF56" s="192"/>
      <c r="AG56" s="208"/>
      <c r="AH56" s="208"/>
      <c r="AI56" s="208"/>
      <c r="AJ56" s="208"/>
      <c r="AK56" s="208"/>
      <c r="AL56" s="208"/>
      <c r="AM56" s="208"/>
      <c r="AN56" s="208"/>
      <c r="AO56" s="208"/>
    </row>
    <row r="57" spans="1:41" s="189" customFormat="1" ht="33" customHeight="1">
      <c r="A57" s="975"/>
      <c r="B57" s="975"/>
      <c r="C57" s="975"/>
      <c r="D57" s="219"/>
      <c r="E57" s="219"/>
      <c r="F57" s="219"/>
      <c r="H57" s="194"/>
      <c r="AD57" s="208"/>
      <c r="AE57" s="192"/>
      <c r="AF57" s="192"/>
      <c r="AG57" s="208"/>
      <c r="AH57" s="208"/>
      <c r="AI57" s="208"/>
      <c r="AJ57" s="208"/>
      <c r="AK57" s="208"/>
      <c r="AL57" s="208"/>
      <c r="AM57" s="208"/>
      <c r="AN57" s="208"/>
      <c r="AO57" s="208"/>
    </row>
    <row r="58" spans="1:41" s="189" customFormat="1" ht="33" customHeight="1">
      <c r="A58" s="976"/>
      <c r="B58" s="976"/>
      <c r="C58" s="976"/>
      <c r="D58" s="219"/>
      <c r="E58" s="219"/>
      <c r="F58" s="219"/>
      <c r="H58" s="194"/>
      <c r="AD58" s="208"/>
      <c r="AE58" s="192"/>
      <c r="AF58" s="192"/>
      <c r="AG58" s="208"/>
      <c r="AH58" s="208"/>
      <c r="AI58" s="208"/>
      <c r="AJ58" s="208"/>
      <c r="AK58" s="208"/>
      <c r="AL58" s="208"/>
      <c r="AM58" s="208"/>
      <c r="AN58" s="208"/>
      <c r="AO58" s="208"/>
    </row>
    <row r="59" spans="1:41" s="189" customFormat="1" ht="60.75" customHeight="1">
      <c r="A59" s="981"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9" s="981"/>
      <c r="C59" s="981"/>
      <c r="D59" s="981"/>
      <c r="E59" s="981"/>
      <c r="F59" s="981"/>
      <c r="H59" s="194"/>
      <c r="AD59" s="208"/>
      <c r="AE59" s="192"/>
      <c r="AF59" s="192"/>
      <c r="AG59" s="208"/>
      <c r="AH59" s="208"/>
      <c r="AI59" s="208"/>
      <c r="AJ59" s="208"/>
      <c r="AK59" s="208"/>
      <c r="AL59" s="208"/>
      <c r="AM59" s="208"/>
      <c r="AN59" s="208"/>
      <c r="AO59" s="208"/>
    </row>
    <row r="60" spans="1:41" s="189" customFormat="1" ht="33" customHeight="1">
      <c r="A60" s="980" t="s">
        <v>110</v>
      </c>
      <c r="B60" s="980"/>
      <c r="C60" s="980"/>
      <c r="D60" s="980"/>
      <c r="E60" s="980"/>
      <c r="F60" s="980"/>
      <c r="H60" s="194"/>
      <c r="AD60" s="208"/>
      <c r="AE60" s="192"/>
      <c r="AF60" s="192"/>
      <c r="AG60" s="208"/>
      <c r="AH60" s="208"/>
      <c r="AI60" s="208"/>
      <c r="AJ60" s="208"/>
      <c r="AK60" s="208"/>
      <c r="AL60" s="208"/>
      <c r="AM60" s="208"/>
      <c r="AN60" s="208"/>
      <c r="AO60" s="208"/>
    </row>
    <row r="61" spans="1:41">
      <c r="A61" s="194"/>
    </row>
    <row r="62" spans="1:41">
      <c r="A62" s="194"/>
    </row>
    <row r="63" spans="1:41">
      <c r="A63" s="194"/>
    </row>
    <row r="64" spans="1:41">
      <c r="A64" s="194"/>
    </row>
    <row r="65" spans="1:1">
      <c r="A65" s="194"/>
    </row>
    <row r="66" spans="1:1">
      <c r="A66" s="194"/>
    </row>
    <row r="67" spans="1:1">
      <c r="A67" s="194"/>
    </row>
    <row r="68" spans="1:1">
      <c r="A68" s="194"/>
    </row>
    <row r="69" spans="1:1">
      <c r="A69" s="194"/>
    </row>
    <row r="70" spans="1:1">
      <c r="A70" s="194"/>
    </row>
    <row r="71" spans="1:1">
      <c r="A71" s="194"/>
    </row>
    <row r="72" spans="1:1">
      <c r="A72" s="194"/>
    </row>
  </sheetData>
  <sheetProtection algorithmName="SHA-512" hashValue="MS1cz7WZvz8OQCzVZQPCSY2OiYUDo+JEaRomjYJkffCaVsqbSxHfQWIXrTtIGSdzg21WdWS9iTH85XouhTfuTg==" saltValue="c61UBnrRTlQwDwkYtmlGAg==" spinCount="100000" sheet="1" objects="1" scenarios="1" formatColumns="0" formatRows="0" selectLockedCells="1"/>
  <customSheetViews>
    <customSheetView guid="{C497F4E0-7D3E-4065-935D-7086BE9276FE}" showPageBreaks="1" showGridLines="0" zeroValues="0" fitToPage="1" printArea="1" hiddenColumns="1" view="pageBreakPreview">
      <selection activeCell="D58" sqref="D58"/>
      <rowBreaks count="1" manualBreakCount="1">
        <brk id="48" max="5" man="1"/>
      </rowBreaks>
      <pageMargins left="0.75" right="0.77" top="0.62" bottom="0.61" header="0.39" footer="0.32"/>
      <pageSetup scale="73" fitToHeight="3" orientation="portrait" r:id="rId1"/>
      <headerFooter alignWithMargins="0">
        <oddFooter>&amp;R&amp;"Book Antiqua,Bold"&amp;8Bid Form (1st Envelope)  / Page &amp;P of &amp;N</oddFooter>
      </headerFooter>
    </customSheetView>
    <customSheetView guid="{889C3D82-0A24-4765-A688-A80A782F5056}" showPageBreaks="1" showGridLines="0" zeroValues="0" fitToPage="1" printArea="1" hiddenColumns="1" view="pageBreakPreview">
      <selection activeCell="D58" sqref="D58"/>
      <rowBreaks count="1" manualBreakCount="1">
        <brk id="48" max="5" man="1"/>
      </rowBreaks>
      <pageMargins left="0.75" right="0.77" top="0.62" bottom="0.61" header="0.39" footer="0.32"/>
      <pageSetup scale="73" fitToHeight="3" orientation="portrait" r:id="rId2"/>
      <headerFooter alignWithMargins="0">
        <oddFooter>&amp;R&amp;"Book Antiqua,Bold"&amp;8Bid Form (1st Envelope)  / Page &amp;P of &amp;N</oddFooter>
      </headerFooter>
    </customSheetView>
    <customSheetView guid="{89CB4E6A-722E-4E39-885D-E2A6D0D08321}" showPageBreaks="1" showGridLines="0" zeroValues="0" fitToPage="1" printArea="1" hiddenColumns="1" view="pageBreakPreview" topLeftCell="A13">
      <selection activeCell="D58" sqref="D58"/>
      <rowBreaks count="1" manualBreakCount="1">
        <brk id="48" max="5" man="1"/>
      </rowBreaks>
      <pageMargins left="0.75" right="0.77" top="0.62" bottom="0.61" header="0.39" footer="0.32"/>
      <pageSetup scale="73" fitToHeight="3" orientation="portrait" r:id="rId3"/>
      <headerFooter alignWithMargins="0">
        <oddFooter>&amp;R&amp;"Book Antiqua,Bold"&amp;8Bid Form (1st Envelope)  / Page &amp;P of &amp;N</oddFooter>
      </headerFooter>
    </customSheetView>
    <customSheetView guid="{915C64AD-BD67-44F0-9117-5B9D998BA799}"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3" fitToHeight="3" orientation="portrait" r:id="rId4"/>
      <headerFooter alignWithMargins="0">
        <oddFooter>&amp;R&amp;"Book Antiqua,Bold"&amp;8Bid Form (1st Envelope)  / Page &amp;P of &amp;N</oddFooter>
      </headerFooter>
    </customSheetView>
    <customSheetView guid="{18EA11B4-BD82-47BF-99FA-7AB19BF74D0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5"/>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8"/>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9"/>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10"/>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11"/>
      <headerFooter alignWithMargins="0">
        <oddFooter>&amp;R&amp;"Book Antiqua,Bold"&amp;8Bid Form (1st Envelope)  / Page &amp;P of &amp;N</oddFooter>
      </headerFooter>
    </customSheetView>
    <customSheetView guid="{A58DB4DF-40C7-4BEB-B85E-6BD6F54941CF}"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4" fitToHeight="3" orientation="portrait" r:id="rId12"/>
      <headerFooter alignWithMargins="0">
        <oddFooter>&amp;R&amp;"Book Antiqua,Bold"&amp;8Bid Form (1st Envelope)  / Page &amp;P of &amp;N</oddFooter>
      </headerFooter>
    </customSheetView>
    <customSheetView guid="{1211E1B9-FC37-4364-9CF0-0FFC01866726}" showPageBreaks="1" showGridLines="0" zeroValues="0" fitToPage="1" printArea="1" hiddenColumns="1" view="pageBreakPreview">
      <selection activeCell="D58" sqref="D58"/>
      <rowBreaks count="1" manualBreakCount="1">
        <brk id="48" max="5" man="1"/>
      </rowBreaks>
      <pageMargins left="0.75" right="0.77" top="0.62" bottom="0.61" header="0.39" footer="0.32"/>
      <pageSetup scale="73" fitToHeight="3" orientation="portrait" r:id="rId13"/>
      <headerFooter alignWithMargins="0">
        <oddFooter>&amp;R&amp;"Book Antiqua,Bold"&amp;8Bid Form (1st Envelope)  / Page &amp;P of &amp;N</oddFooter>
      </headerFooter>
    </customSheetView>
  </customSheetViews>
  <mergeCells count="46">
    <mergeCell ref="A54:C54"/>
    <mergeCell ref="A60:F60"/>
    <mergeCell ref="A55:C55"/>
    <mergeCell ref="D55:F55"/>
    <mergeCell ref="A56:C56"/>
    <mergeCell ref="D56:F56"/>
    <mergeCell ref="A58:C58"/>
    <mergeCell ref="A59:F59"/>
    <mergeCell ref="A57:C57"/>
    <mergeCell ref="D54:F54"/>
    <mergeCell ref="B46:C46"/>
    <mergeCell ref="B31:F31"/>
    <mergeCell ref="B38:F38"/>
    <mergeCell ref="D53:F53"/>
    <mergeCell ref="B39:F39"/>
    <mergeCell ref="B35:F35"/>
    <mergeCell ref="A48:F48"/>
    <mergeCell ref="A51:C51"/>
    <mergeCell ref="A52:C52"/>
    <mergeCell ref="B45:C45"/>
    <mergeCell ref="A53:C53"/>
    <mergeCell ref="A50:C50"/>
    <mergeCell ref="D50:F50"/>
    <mergeCell ref="B32:F32"/>
    <mergeCell ref="B33:F33"/>
    <mergeCell ref="B34:F34"/>
    <mergeCell ref="B36:F36"/>
    <mergeCell ref="B37:F37"/>
    <mergeCell ref="B26:C26"/>
    <mergeCell ref="B29:C29"/>
    <mergeCell ref="B30:F30"/>
    <mergeCell ref="B21:F21"/>
    <mergeCell ref="B22:F22"/>
    <mergeCell ref="B17:F19"/>
    <mergeCell ref="B20:F20"/>
    <mergeCell ref="A3:F3"/>
    <mergeCell ref="C5:F5"/>
    <mergeCell ref="B6:C6"/>
    <mergeCell ref="C15:F15"/>
    <mergeCell ref="B25:C25"/>
    <mergeCell ref="D23:F23"/>
    <mergeCell ref="B27:C27"/>
    <mergeCell ref="B28:C28"/>
    <mergeCell ref="D29:F29"/>
    <mergeCell ref="B23:C23"/>
    <mergeCell ref="B24:C24"/>
  </mergeCells>
  <pageMargins left="0.75" right="0.77" top="0.62" bottom="0.61" header="0.39" footer="0.32"/>
  <pageSetup scale="73" fitToHeight="3" orientation="portrait" r:id="rId14"/>
  <headerFooter alignWithMargins="0">
    <oddFooter>&amp;R&amp;"Book Antiqua,Bold"&amp;8Bid Form (1st Envelope)  / Page &amp;P of &amp;N</oddFooter>
  </headerFooter>
  <rowBreaks count="1" manualBreakCount="1">
    <brk id="48" max="5" man="1"/>
  </rowBreaks>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tabSelected="1" view="pageBreakPreview" zoomScale="130" zoomScaleSheetLayoutView="130" workbookViewId="0">
      <selection activeCell="C20" sqref="C20"/>
    </sheetView>
  </sheetViews>
  <sheetFormatPr defaultRowHeight="13.5"/>
  <cols>
    <col min="1" max="1" width="9.85546875" style="40" customWidth="1"/>
    <col min="2" max="2" width="12.7109375" style="40" customWidth="1"/>
    <col min="3" max="4" width="44.140625" style="40" customWidth="1"/>
    <col min="5" max="5" width="12.85546875" style="40" customWidth="1"/>
    <col min="6" max="6" width="9.85546875" style="28" customWidth="1"/>
    <col min="7" max="7" width="9.140625" style="28" customWidth="1"/>
    <col min="8" max="8" width="23.140625" style="28" customWidth="1"/>
    <col min="9" max="9" width="9.140625" style="28" customWidth="1"/>
    <col min="10" max="16384" width="9.140625" style="24"/>
  </cols>
  <sheetData>
    <row r="1" spans="1:10" ht="30.75" customHeight="1">
      <c r="A1" s="20"/>
      <c r="B1" s="756"/>
      <c r="C1" s="757"/>
      <c r="D1" s="757"/>
      <c r="E1" s="758"/>
      <c r="F1" s="21"/>
      <c r="G1" s="566" t="s">
        <v>540</v>
      </c>
      <c r="H1" s="567"/>
      <c r="I1" s="22"/>
      <c r="J1" s="23"/>
    </row>
    <row r="2" spans="1:10" ht="131.25" customHeight="1">
      <c r="A2" s="759" t="s">
        <v>43</v>
      </c>
      <c r="B2" s="762" t="str">
        <f>Basic!B1</f>
        <v>765kV AIS Substation Extension Package SS-124 (including 765/400kV GIS Bus Duct) for (i) Extension of 765/400kV Indore Substation under Augmentation of transformation capacity at 765/400kV Indore S/S in Madhya Pradesh; (ii) Extension of 400kV Indore (PG) S/s under Implementation of 400kV line bay at 765/400/220kV Indore (PG) S/s in MP for RE interconnection; (iii) Extension of 400kV Parli (New) S/s under Implementation of 400kV line bay at 765/400kV Parli (New) S/s for interconnection of RE project and (iv) Extension of 400/220kV Bhuj GIS PS under Augmentation of transformation capacity at 400/220kV Bhuj PS in Gujarat by 1x500MVA, 400/220kV ICT (9th)</v>
      </c>
      <c r="C2" s="763"/>
      <c r="D2" s="763"/>
      <c r="E2" s="764"/>
      <c r="F2" s="759" t="s">
        <v>555</v>
      </c>
      <c r="G2" s="22"/>
      <c r="H2" s="22"/>
      <c r="I2" s="22"/>
      <c r="J2" s="23"/>
    </row>
    <row r="3" spans="1:10" ht="23.25" customHeight="1">
      <c r="A3" s="760"/>
      <c r="B3" s="765" t="str">
        <f>Basic!B5</f>
        <v>Spec No: CC/NT/W-AIS/DOM/A10/24/03802</v>
      </c>
      <c r="C3" s="766"/>
      <c r="D3" s="766"/>
      <c r="E3" s="767"/>
      <c r="F3" s="760"/>
      <c r="G3" s="22"/>
      <c r="H3" s="22"/>
      <c r="I3" s="22"/>
      <c r="J3" s="23"/>
    </row>
    <row r="4" spans="1:10" ht="39.950000000000003" customHeight="1">
      <c r="A4" s="760"/>
      <c r="B4" s="25">
        <v>1</v>
      </c>
      <c r="C4" s="768" t="s">
        <v>44</v>
      </c>
      <c r="D4" s="768"/>
      <c r="E4" s="769"/>
      <c r="F4" s="760"/>
      <c r="G4" s="26"/>
      <c r="H4" s="27" t="s">
        <v>45</v>
      </c>
      <c r="I4" s="22"/>
      <c r="J4" s="23"/>
    </row>
    <row r="5" spans="1:10" ht="30" customHeight="1">
      <c r="A5" s="760"/>
      <c r="B5" s="25">
        <v>2</v>
      </c>
      <c r="C5" s="768" t="s">
        <v>46</v>
      </c>
      <c r="D5" s="768"/>
      <c r="E5" s="769"/>
      <c r="F5" s="760"/>
      <c r="G5" s="22"/>
      <c r="H5" s="22"/>
      <c r="I5" s="22"/>
      <c r="J5" s="23"/>
    </row>
    <row r="6" spans="1:10" s="28" customFormat="1" ht="30" customHeight="1">
      <c r="A6" s="760"/>
      <c r="B6" s="25">
        <v>3</v>
      </c>
      <c r="C6" s="768" t="s">
        <v>47</v>
      </c>
      <c r="D6" s="768"/>
      <c r="E6" s="769"/>
      <c r="F6" s="760"/>
      <c r="G6" s="22"/>
      <c r="H6" s="22"/>
      <c r="I6" s="22"/>
      <c r="J6" s="22"/>
    </row>
    <row r="7" spans="1:10" ht="52.5" hidden="1" customHeight="1">
      <c r="A7" s="760"/>
      <c r="B7" s="25">
        <v>4</v>
      </c>
      <c r="C7" s="768" t="s">
        <v>48</v>
      </c>
      <c r="D7" s="768"/>
      <c r="E7" s="769"/>
      <c r="F7" s="760"/>
      <c r="G7" s="22"/>
      <c r="H7" s="22"/>
      <c r="I7" s="22"/>
      <c r="J7" s="23"/>
    </row>
    <row r="8" spans="1:10" ht="9.75" customHeight="1">
      <c r="A8" s="760"/>
      <c r="B8" s="29"/>
      <c r="C8" s="30"/>
      <c r="D8" s="30"/>
      <c r="E8" s="31"/>
      <c r="F8" s="760"/>
      <c r="G8" s="22"/>
      <c r="H8" s="22"/>
      <c r="I8" s="22"/>
      <c r="J8" s="23"/>
    </row>
    <row r="9" spans="1:10" ht="23.25" customHeight="1">
      <c r="A9" s="760"/>
      <c r="B9" s="770"/>
      <c r="C9" s="771"/>
      <c r="D9" s="771"/>
      <c r="E9" s="772"/>
      <c r="F9" s="760"/>
      <c r="G9" s="22"/>
      <c r="H9" s="22"/>
      <c r="I9" s="22"/>
      <c r="J9" s="23"/>
    </row>
    <row r="10" spans="1:10" ht="10.5" customHeight="1">
      <c r="A10" s="760"/>
      <c r="B10" s="32"/>
      <c r="C10" s="33"/>
      <c r="D10" s="33"/>
      <c r="E10" s="34"/>
      <c r="F10" s="760"/>
      <c r="G10" s="22"/>
      <c r="H10" s="22"/>
      <c r="I10" s="22"/>
      <c r="J10" s="23"/>
    </row>
    <row r="11" spans="1:10" ht="24" customHeight="1">
      <c r="A11" s="760"/>
      <c r="B11" s="773"/>
      <c r="C11" s="774"/>
      <c r="D11" s="774"/>
      <c r="E11" s="35"/>
      <c r="F11" s="760"/>
    </row>
    <row r="12" spans="1:10" ht="15.95" customHeight="1">
      <c r="A12" s="761"/>
      <c r="B12" s="775"/>
      <c r="C12" s="776"/>
      <c r="D12" s="776"/>
      <c r="E12" s="36"/>
      <c r="F12" s="761"/>
      <c r="G12" s="22"/>
      <c r="H12" s="22"/>
      <c r="I12" s="22"/>
      <c r="J12" s="23"/>
    </row>
    <row r="13" spans="1:10" ht="24" customHeight="1">
      <c r="A13" s="750"/>
      <c r="B13" s="751"/>
      <c r="C13" s="752"/>
      <c r="D13" s="752"/>
      <c r="E13" s="35"/>
      <c r="F13" s="753"/>
      <c r="G13" s="37"/>
      <c r="H13" s="37"/>
      <c r="I13" s="37"/>
      <c r="J13" s="37"/>
    </row>
    <row r="14" spans="1:10" ht="15.95" customHeight="1">
      <c r="A14" s="750"/>
      <c r="B14" s="754"/>
      <c r="C14" s="755"/>
      <c r="D14" s="755"/>
      <c r="E14" s="38"/>
      <c r="F14" s="753"/>
      <c r="G14" s="37"/>
      <c r="H14" s="37"/>
      <c r="I14" s="37"/>
      <c r="J14" s="37"/>
    </row>
    <row r="15" spans="1:10" ht="15.75">
      <c r="A15" s="30"/>
      <c r="B15" s="39"/>
      <c r="C15" s="39"/>
      <c r="D15" s="39"/>
      <c r="E15" s="39"/>
      <c r="F15" s="22"/>
      <c r="G15" s="22"/>
      <c r="H15" s="22"/>
      <c r="I15" s="22"/>
      <c r="J15" s="23"/>
    </row>
    <row r="16" spans="1:10" ht="15.75">
      <c r="A16" s="30"/>
      <c r="B16" s="30"/>
      <c r="C16" s="30"/>
      <c r="D16" s="30"/>
      <c r="E16" s="30"/>
      <c r="F16" s="22"/>
      <c r="G16" s="22"/>
      <c r="H16" s="22"/>
      <c r="I16" s="22"/>
      <c r="J16" s="23"/>
    </row>
    <row r="17" spans="1:10" ht="15.75">
      <c r="A17" s="30"/>
      <c r="B17" s="30"/>
      <c r="C17" s="30"/>
      <c r="D17" s="30"/>
      <c r="E17" s="30"/>
      <c r="F17" s="22"/>
      <c r="G17" s="22"/>
      <c r="H17" s="22"/>
      <c r="I17" s="22"/>
      <c r="J17" s="23"/>
    </row>
  </sheetData>
  <sheetProtection algorithmName="SHA-512" hashValue="Z2BaluK9rWD3USTovHaUQsQzx2SghuVuePiQb0Obg5zzQb3bKWm+oe5FIxQo7mHfkuW4yuaxX4J7PB3hgdMW/g==" saltValue="P8rxoWU+tCCpqnjRoExfrg==" spinCount="100000" sheet="1" selectLockedCells="1"/>
  <customSheetViews>
    <customSheetView guid="{C497F4E0-7D3E-4065-935D-7086BE9276FE}" scale="130" showPageBreaks="1" showGridLines="0" printArea="1" hiddenRows="1" view="pageBreakPreview">
      <selection activeCell="K5" sqref="K5"/>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889C3D82-0A24-4765-A688-A80A782F5056}" scale="130" showPageBreaks="1" showGridLines="0" printArea="1" hiddenRows="1" view="pageBreakPreview">
      <selection activeCell="K5" sqref="K5"/>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89CB4E6A-722E-4E39-885D-E2A6D0D08321}" scale="130" showPageBreaks="1" showGridLines="0" printArea="1" hiddenRows="1" view="pageBreakPreview">
      <selection activeCell="G2" sqref="G2"/>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915C64AD-BD67-44F0-9117-5B9D998BA799}"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18EA11B4-BD82-47BF-99FA-7AB19BF74D0B}"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A58DB4DF-40C7-4BEB-B85E-6BD6F54941CF}"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1211E1B9-FC37-4364-9CF0-0FFC01866726}" scale="130" showPageBreaks="1" showGridLines="0" printArea="1" hiddenRows="1" view="pageBreakPreview">
      <selection activeCell="K5" sqref="K5"/>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4"/>
  <headerFooter alignWithMargins="0"/>
  <drawing r:id="rId1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270</v>
      </c>
    </row>
    <row r="2" spans="1:9" ht="15.75">
      <c r="A2" s="289"/>
      <c r="B2" s="290"/>
      <c r="C2" s="291"/>
      <c r="D2" s="292"/>
      <c r="E2" s="293"/>
      <c r="F2" s="336"/>
      <c r="G2" s="336"/>
      <c r="H2" s="274"/>
      <c r="I2" s="294"/>
    </row>
    <row r="3" spans="1:9" ht="16.5">
      <c r="A3" s="263"/>
      <c r="B3" s="264" t="s">
        <v>257</v>
      </c>
      <c r="C3" s="265"/>
      <c r="D3" s="266"/>
      <c r="E3" s="295"/>
      <c r="F3" s="336"/>
      <c r="G3" s="336"/>
      <c r="H3" s="296">
        <f>SUMIF(I1:I2,"Direct",H1:H2)</f>
        <v>0</v>
      </c>
      <c r="I3" s="267"/>
    </row>
    <row r="4" spans="1:9" ht="33">
      <c r="A4" s="263"/>
      <c r="B4" s="264" t="s">
        <v>258</v>
      </c>
      <c r="C4" s="265"/>
      <c r="D4" s="266"/>
      <c r="E4" s="295"/>
      <c r="F4" s="336"/>
      <c r="G4" s="336"/>
      <c r="H4" s="296">
        <f>SUMIF(J1:J2,"Bought-Out",H1:H2)</f>
        <v>0</v>
      </c>
      <c r="I4" s="267"/>
    </row>
    <row r="5" spans="1:9" ht="16.5">
      <c r="A5" s="268"/>
      <c r="B5" s="264" t="s">
        <v>259</v>
      </c>
      <c r="C5" s="269"/>
      <c r="D5" s="270"/>
      <c r="E5" s="271"/>
      <c r="F5" s="271"/>
      <c r="G5" s="271"/>
      <c r="H5" s="297">
        <f>H3+H4</f>
        <v>0</v>
      </c>
      <c r="I5" s="272"/>
    </row>
    <row r="6" spans="1:9" ht="16.5">
      <c r="A6" s="273"/>
      <c r="B6" s="988" t="s">
        <v>260</v>
      </c>
      <c r="C6" s="988"/>
      <c r="D6" s="988"/>
      <c r="E6" s="274"/>
      <c r="F6" s="336"/>
      <c r="G6" s="336"/>
      <c r="H6" s="296" t="e">
        <f>'Sch-7'!#REF!</f>
        <v>#REF!</v>
      </c>
      <c r="I6" s="275"/>
    </row>
    <row r="7" spans="1:9" ht="17.25" thickBot="1">
      <c r="A7" s="276"/>
      <c r="B7" s="989" t="s">
        <v>261</v>
      </c>
      <c r="C7" s="989"/>
      <c r="D7" s="989"/>
      <c r="E7" s="277"/>
      <c r="F7" s="277"/>
      <c r="G7" s="277"/>
      <c r="H7" s="298" t="e">
        <f>H5+H6</f>
        <v>#REF!</v>
      </c>
      <c r="I7" s="278"/>
    </row>
    <row r="8" spans="1:9" ht="16.5">
      <c r="A8" s="990"/>
      <c r="B8" s="990"/>
      <c r="C8" s="990"/>
      <c r="D8" s="990"/>
      <c r="E8" s="990"/>
      <c r="F8" s="990"/>
      <c r="G8" s="990"/>
    </row>
    <row r="9" spans="1:9" ht="15.75">
      <c r="A9" s="2"/>
      <c r="B9" s="987"/>
      <c r="C9" s="987"/>
      <c r="D9" s="987"/>
      <c r="E9" s="987"/>
      <c r="F9" s="987"/>
      <c r="G9" s="987"/>
    </row>
    <row r="10" spans="1:9" ht="16.5">
      <c r="A10" s="279"/>
      <c r="B10" s="279"/>
      <c r="C10" s="279"/>
      <c r="D10" s="279"/>
      <c r="E10" s="279"/>
      <c r="F10" s="279"/>
      <c r="G10" s="279"/>
    </row>
    <row r="11" spans="1:9" ht="90" customHeight="1">
      <c r="A11" s="280" t="s">
        <v>262</v>
      </c>
      <c r="B11" s="825" t="s">
        <v>263</v>
      </c>
      <c r="C11" s="825"/>
      <c r="D11" s="825"/>
      <c r="E11" s="825"/>
      <c r="F11" s="825"/>
      <c r="G11" s="825"/>
      <c r="H11" s="825"/>
      <c r="I11" s="825"/>
    </row>
    <row r="12" spans="1:9" ht="116.25" customHeight="1">
      <c r="A12" s="281" t="s">
        <v>264</v>
      </c>
      <c r="B12" s="983" t="s">
        <v>265</v>
      </c>
      <c r="C12" s="983"/>
      <c r="D12" s="983"/>
      <c r="E12" s="983"/>
      <c r="F12" s="983"/>
      <c r="G12" s="983"/>
      <c r="H12" s="983"/>
      <c r="I12" s="983"/>
    </row>
    <row r="13" spans="1:9" ht="15.75">
      <c r="A13" s="281"/>
      <c r="B13" s="983"/>
      <c r="C13" s="983"/>
      <c r="D13" s="983"/>
      <c r="E13" s="983"/>
      <c r="F13" s="983"/>
      <c r="G13" s="983"/>
    </row>
    <row r="14" spans="1:9" ht="16.5">
      <c r="A14" s="282" t="s">
        <v>156</v>
      </c>
      <c r="B14" s="283" t="str">
        <f>'Names of Bidder'!C$22&amp;"-"&amp; 'Names of Bidder'!D$22&amp;"-" &amp;'Names of Bidder'!E$22</f>
        <v>--</v>
      </c>
      <c r="C14" s="284"/>
      <c r="D14" s="285"/>
      <c r="E14" s="1"/>
      <c r="F14" s="1"/>
      <c r="G14" s="286"/>
    </row>
    <row r="15" spans="1:9" ht="16.5">
      <c r="A15" s="282" t="s">
        <v>157</v>
      </c>
      <c r="B15" s="283" t="str">
        <f>IF('Names of Bidder'!C$23=0, "", 'Names of Bidder'!C$23)</f>
        <v/>
      </c>
      <c r="C15" s="1"/>
      <c r="D15" s="285" t="s">
        <v>138</v>
      </c>
      <c r="E15" s="286" t="str">
        <f>IF('Names of Bidder'!C$19=0, "", 'Names of Bidder'!C$19)</f>
        <v/>
      </c>
      <c r="F15" s="1"/>
      <c r="G15" s="283" t="str">
        <f>'[6]Names of Bidder'!I14&amp;"-"&amp; '[6]Names of Bidder'!J14&amp;"-" &amp;'[6]Names of Bidder'!K14</f>
        <v>--</v>
      </c>
    </row>
    <row r="16" spans="1:9" ht="16.5">
      <c r="A16" s="287"/>
      <c r="B16" s="288"/>
      <c r="C16" s="4"/>
      <c r="D16" s="285" t="s">
        <v>140</v>
      </c>
      <c r="E16" s="286" t="str">
        <f>IF('Names of Bidder'!C$20=0, "", 'Names of Bidder'!C$20)</f>
        <v/>
      </c>
      <c r="F16" s="4"/>
      <c r="G16" s="4"/>
    </row>
    <row r="18" spans="1:11">
      <c r="A18" t="s">
        <v>271</v>
      </c>
    </row>
    <row r="20" spans="1:11" ht="17.25" thickBot="1">
      <c r="A20" s="299"/>
      <c r="B20" s="300" t="s">
        <v>272</v>
      </c>
      <c r="C20" s="301"/>
      <c r="D20" s="300"/>
      <c r="E20" s="277"/>
      <c r="F20" s="277"/>
      <c r="G20" s="277"/>
      <c r="H20" s="302" t="s">
        <v>286</v>
      </c>
    </row>
    <row r="21" spans="1:11" ht="16.5" thickBot="1">
      <c r="A21" s="303"/>
      <c r="B21" s="984"/>
      <c r="C21" s="984"/>
      <c r="D21" s="984"/>
      <c r="E21" s="984"/>
      <c r="F21" s="984"/>
    </row>
    <row r="22" spans="1:11" ht="15.75">
      <c r="A22" s="304"/>
      <c r="B22" s="985"/>
      <c r="C22" s="985"/>
      <c r="D22" s="985"/>
      <c r="E22" s="985"/>
      <c r="F22" s="985"/>
    </row>
    <row r="23" spans="1:11" ht="16.5">
      <c r="A23" s="282" t="s">
        <v>156</v>
      </c>
      <c r="B23" s="283" t="s">
        <v>251</v>
      </c>
      <c r="C23" s="305"/>
      <c r="D23" s="285"/>
      <c r="E23" s="1"/>
      <c r="F23" s="1"/>
    </row>
    <row r="24" spans="1:11" ht="16.5">
      <c r="A24" s="282" t="s">
        <v>157</v>
      </c>
      <c r="B24" s="283" t="s">
        <v>252</v>
      </c>
      <c r="C24" s="2"/>
      <c r="D24" s="285" t="s">
        <v>138</v>
      </c>
      <c r="E24" s="286" t="s">
        <v>273</v>
      </c>
      <c r="F24" s="1"/>
    </row>
    <row r="25" spans="1:11" ht="16.5">
      <c r="A25" s="287"/>
      <c r="B25" s="288"/>
      <c r="C25" s="287"/>
      <c r="D25" s="285" t="s">
        <v>140</v>
      </c>
      <c r="E25" s="286" t="s">
        <v>274</v>
      </c>
      <c r="F25" s="4"/>
    </row>
    <row r="27" spans="1:11">
      <c r="A27" t="s">
        <v>275</v>
      </c>
    </row>
    <row r="29" spans="1:11" ht="16.5">
      <c r="A29" s="306"/>
      <c r="B29" s="307" t="s">
        <v>276</v>
      </c>
      <c r="C29" s="307"/>
      <c r="D29" s="307"/>
      <c r="E29" s="308"/>
      <c r="F29" s="308"/>
      <c r="G29" s="308"/>
      <c r="H29" s="308"/>
      <c r="I29" s="308"/>
      <c r="J29" s="308"/>
      <c r="K29" s="309" t="e">
        <f>SUM(#REF!)</f>
        <v>#REF!</v>
      </c>
    </row>
    <row r="30" spans="1:11" ht="15.75">
      <c r="A30" s="304"/>
      <c r="B30" s="986"/>
      <c r="C30" s="987"/>
      <c r="D30" s="987"/>
      <c r="E30" s="987"/>
      <c r="F30" s="987"/>
      <c r="G30" s="987"/>
    </row>
    <row r="31" spans="1:11" ht="16.5">
      <c r="A31" s="310" t="s">
        <v>156</v>
      </c>
      <c r="B31" s="311" t="s">
        <v>251</v>
      </c>
      <c r="C31" s="312"/>
      <c r="D31" s="313"/>
      <c r="E31" s="314"/>
      <c r="F31" s="314"/>
      <c r="G31" s="4"/>
    </row>
    <row r="32" spans="1:11" ht="16.5">
      <c r="A32" s="310" t="s">
        <v>157</v>
      </c>
      <c r="B32" s="311" t="s">
        <v>252</v>
      </c>
      <c r="C32" s="314"/>
      <c r="D32" s="313" t="s">
        <v>138</v>
      </c>
      <c r="E32" s="315" t="s">
        <v>273</v>
      </c>
      <c r="F32" s="314"/>
      <c r="G32" s="4"/>
    </row>
    <row r="33" spans="1:8" ht="16.5">
      <c r="A33" s="316"/>
      <c r="B33" s="317"/>
      <c r="C33" s="318"/>
      <c r="D33" s="313" t="s">
        <v>140</v>
      </c>
      <c r="E33" s="315" t="s">
        <v>274</v>
      </c>
      <c r="F33" s="318"/>
      <c r="G33" s="4"/>
    </row>
    <row r="35" spans="1:8">
      <c r="A35" t="s">
        <v>279</v>
      </c>
    </row>
    <row r="37" spans="1:8" ht="30">
      <c r="A37" s="319" t="s">
        <v>156</v>
      </c>
      <c r="B37" s="320" t="s">
        <v>249</v>
      </c>
      <c r="C37" s="321"/>
      <c r="D37" s="923" t="s">
        <v>277</v>
      </c>
      <c r="E37" s="923"/>
      <c r="F37" s="982"/>
    </row>
    <row r="38" spans="1:8" ht="30">
      <c r="A38" s="319" t="s">
        <v>157</v>
      </c>
      <c r="B38" s="320" t="s">
        <v>250</v>
      </c>
      <c r="C38" s="9"/>
      <c r="D38" s="923" t="s">
        <v>278</v>
      </c>
      <c r="E38" s="923"/>
      <c r="F38" s="982"/>
    </row>
    <row r="40" spans="1:8">
      <c r="A40" t="s">
        <v>280</v>
      </c>
    </row>
    <row r="42" spans="1:8" ht="30">
      <c r="A42" s="322"/>
      <c r="B42" s="323" t="s">
        <v>281</v>
      </c>
      <c r="C42" s="323"/>
      <c r="D42" s="323"/>
      <c r="E42" s="323"/>
      <c r="F42" s="323"/>
      <c r="G42" s="323"/>
      <c r="H42" s="324" t="s">
        <v>287</v>
      </c>
    </row>
    <row r="43" spans="1:8" ht="16.5">
      <c r="A43" s="325"/>
      <c r="B43" s="326"/>
      <c r="C43" s="326"/>
      <c r="D43" s="326"/>
      <c r="E43" s="326"/>
      <c r="F43" s="326"/>
      <c r="G43" s="327"/>
    </row>
    <row r="44" spans="1:8">
      <c r="A44" s="326"/>
      <c r="B44" s="326"/>
      <c r="C44" s="326"/>
      <c r="D44" s="326"/>
      <c r="E44" s="326"/>
      <c r="F44" s="326"/>
      <c r="G44" s="328"/>
    </row>
    <row r="45" spans="1:8">
      <c r="A45" s="922"/>
      <c r="B45" s="922"/>
      <c r="C45" s="922"/>
      <c r="D45" s="922"/>
      <c r="E45" s="922"/>
      <c r="F45" s="922"/>
      <c r="G45" s="922"/>
    </row>
    <row r="46" spans="1:8">
      <c r="A46" s="329"/>
      <c r="B46" s="329"/>
      <c r="C46" s="923"/>
      <c r="D46" s="923"/>
      <c r="E46" s="923"/>
      <c r="F46" s="923"/>
      <c r="G46" s="923"/>
    </row>
    <row r="47" spans="1:8">
      <c r="A47" s="330" t="s">
        <v>156</v>
      </c>
      <c r="B47" s="331" t="s">
        <v>251</v>
      </c>
      <c r="C47" s="923" t="s">
        <v>282</v>
      </c>
      <c r="D47" s="923"/>
      <c r="E47" s="923"/>
      <c r="F47" s="923"/>
      <c r="G47" s="923"/>
    </row>
    <row r="48" spans="1:8">
      <c r="A48" s="330" t="s">
        <v>157</v>
      </c>
      <c r="B48" s="332" t="s">
        <v>252</v>
      </c>
      <c r="C48" s="923" t="s">
        <v>283</v>
      </c>
      <c r="D48" s="923"/>
      <c r="E48" s="923"/>
      <c r="F48" s="923"/>
      <c r="G48" s="923"/>
    </row>
    <row r="49" spans="1:7" ht="16.5">
      <c r="A49" s="8"/>
      <c r="B49" s="7"/>
      <c r="C49" s="923"/>
      <c r="D49" s="923"/>
      <c r="E49" s="923"/>
      <c r="F49" s="923"/>
      <c r="G49" s="923"/>
    </row>
    <row r="50" spans="1:7" ht="16.5">
      <c r="A50" s="8"/>
      <c r="B50" s="7"/>
      <c r="C50" s="326"/>
      <c r="D50" s="326"/>
      <c r="E50" s="326"/>
      <c r="F50" s="326"/>
      <c r="G50" s="326"/>
    </row>
    <row r="51" spans="1:7" ht="16.5">
      <c r="A51" s="333" t="s">
        <v>284</v>
      </c>
      <c r="B51" s="924" t="s">
        <v>285</v>
      </c>
      <c r="C51" s="924"/>
      <c r="D51" s="924"/>
      <c r="E51" s="924"/>
      <c r="F51" s="924"/>
      <c r="G51" s="334"/>
    </row>
    <row r="52" spans="1:7" ht="16.5">
      <c r="A52" s="335"/>
      <c r="B52" s="11"/>
      <c r="C52" s="11"/>
      <c r="D52" s="11"/>
      <c r="E52" s="11"/>
      <c r="F52" s="11"/>
      <c r="G52" s="11"/>
    </row>
    <row r="60" spans="1:7">
      <c r="B60" t="s">
        <v>253</v>
      </c>
    </row>
    <row r="61" spans="1:7">
      <c r="B61" t="s">
        <v>254</v>
      </c>
    </row>
  </sheetData>
  <customSheetViews>
    <customSheetView guid="{C497F4E0-7D3E-4065-935D-7086BE9276FE}" state="hidden">
      <selection activeCell="H42" sqref="H42"/>
      <pageMargins left="0.7" right="0.7" top="0.75" bottom="0.75" header="0.3" footer="0.3"/>
    </customSheetView>
    <customSheetView guid="{889C3D82-0A24-4765-A688-A80A782F5056}" state="hidden">
      <selection activeCell="H42" sqref="H42"/>
      <pageMargins left="0.7" right="0.7" top="0.75" bottom="0.75" header="0.3" footer="0.3"/>
    </customSheetView>
    <customSheetView guid="{89CB4E6A-722E-4E39-885D-E2A6D0D08321}" state="hidden">
      <selection activeCell="H42" sqref="H42"/>
      <pageMargins left="0.7" right="0.7" top="0.75" bottom="0.75" header="0.3" footer="0.3"/>
    </customSheetView>
    <customSheetView guid="{915C64AD-BD67-44F0-9117-5B9D998BA799}" state="hidden">
      <selection activeCell="H42" sqref="H42"/>
      <pageMargins left="0.7" right="0.7" top="0.75" bottom="0.75" header="0.3" footer="0.3"/>
    </customSheetView>
    <customSheetView guid="{18EA11B4-BD82-47BF-99FA-7AB19BF74D0B}" state="hidden">
      <selection activeCell="H42" sqref="H42"/>
      <pageMargins left="0.7" right="0.7" top="0.75" bottom="0.75" header="0.3" footer="0.3"/>
    </customSheetView>
    <customSheetView guid="{CCA37BAE-906F-43D5-9FD9-B13563E4B9D7}" state="hidden">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63D51328-7CBC-4A1E-B96D-BAE91416501B}"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A58DB4DF-40C7-4BEB-B85E-6BD6F54941CF}" state="hidden">
      <selection activeCell="H42" sqref="H42"/>
      <pageMargins left="0.7" right="0.7" top="0.75" bottom="0.75" header="0.3" footer="0.3"/>
    </customSheetView>
    <customSheetView guid="{1211E1B9-FC37-4364-9CF0-0FFC01866726}" state="hidden">
      <selection activeCell="H42" sqref="H42"/>
      <pageMargins left="0.7" right="0.7" top="0.75" bottom="0.75" header="0.3" footer="0.3"/>
    </customSheetView>
  </customSheetViews>
  <mergeCells count="18">
    <mergeCell ref="B6:D6"/>
    <mergeCell ref="B7:D7"/>
    <mergeCell ref="A8:G8"/>
    <mergeCell ref="B9:G9"/>
    <mergeCell ref="B11:I11"/>
    <mergeCell ref="B13:G13"/>
    <mergeCell ref="B21:F21"/>
    <mergeCell ref="B22:F22"/>
    <mergeCell ref="B30:G30"/>
    <mergeCell ref="B12:I12"/>
    <mergeCell ref="C48:G48"/>
    <mergeCell ref="C49:G49"/>
    <mergeCell ref="B51:F51"/>
    <mergeCell ref="D37:F37"/>
    <mergeCell ref="D38:F38"/>
    <mergeCell ref="A45:G45"/>
    <mergeCell ref="C46:G46"/>
    <mergeCell ref="C47:G47"/>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C497F4E0-7D3E-4065-935D-7086BE9276FE}" state="hidden">
      <pageMargins left="0.7" right="0.7" top="0.75" bottom="0.75" header="0.3" footer="0.3"/>
    </customSheetView>
    <customSheetView guid="{889C3D82-0A24-4765-A688-A80A782F5056}" state="hidden">
      <pageMargins left="0.7" right="0.7" top="0.75" bottom="0.75" header="0.3" footer="0.3"/>
    </customSheetView>
    <customSheetView guid="{89CB4E6A-722E-4E39-885D-E2A6D0D08321}" state="hidden">
      <pageMargins left="0.7" right="0.7" top="0.75" bottom="0.75" header="0.3" footer="0.3"/>
    </customSheetView>
    <customSheetView guid="{915C64AD-BD67-44F0-9117-5B9D998BA799}" state="hidden">
      <pageMargins left="0.7" right="0.7" top="0.75" bottom="0.75" header="0.3" footer="0.3"/>
    </customSheetView>
    <customSheetView guid="{18EA11B4-BD82-47BF-99FA-7AB19BF74D0B}" state="hidden">
      <pageMargins left="0.7" right="0.7" top="0.75" bottom="0.75" header="0.3" footer="0.3"/>
    </customSheetView>
    <customSheetView guid="{CCA37BAE-906F-43D5-9FD9-B13563E4B9D7}" state="hidden">
      <pageMargins left="0.7" right="0.7" top="0.75" bottom="0.75" header="0.3" footer="0.3"/>
    </customSheetView>
    <customSheetView guid="{99CA2F10-F926-46DC-8609-4EAE5B9F3585}" state="hidden">
      <pageMargins left="0.7" right="0.7" top="0.75" bottom="0.75" header="0.3" footer="0.3"/>
    </customSheetView>
    <customSheetView guid="{63D51328-7CBC-4A1E-B96D-BAE91416501B}" state="hidden">
      <pageMargins left="0.7" right="0.7" top="0.75" bottom="0.75" header="0.3" footer="0.3"/>
    </customSheetView>
    <customSheetView guid="{3C00DDA0-7DDE-4169-A739-550DAF5DCF8D}" state="hidden">
      <pageMargins left="0.7" right="0.7" top="0.75" bottom="0.75" header="0.3" footer="0.3"/>
    </customSheetView>
    <customSheetView guid="{357C9841-BEC3-434B-AC63-C04FB4321BA3}" state="hidden">
      <pageMargins left="0.7" right="0.7" top="0.75" bottom="0.75" header="0.3" footer="0.3"/>
    </customSheetView>
    <customSheetView guid="{B96E710B-6DD7-4DE1-95AB-C9EE060CD030}" state="hidden">
      <pageMargins left="0.7" right="0.7" top="0.75" bottom="0.75" header="0.3" footer="0.3"/>
    </customSheetView>
    <customSheetView guid="{A58DB4DF-40C7-4BEB-B85E-6BD6F54941CF}" state="hidden">
      <pageMargins left="0.7" right="0.7" top="0.75" bottom="0.75" header="0.3" footer="0.3"/>
    </customSheetView>
    <customSheetView guid="{1211E1B9-FC37-4364-9CF0-0FFC01866726}" state="hidden">
      <pageMargins left="0.7" right="0.7" top="0.75" bottom="0.75" header="0.3" footer="0.3"/>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RowHeight="12.75"/>
  <cols>
    <col min="1" max="1" width="5.140625" style="527" hidden="1" customWidth="1"/>
    <col min="2" max="2" width="13.28515625" style="527" hidden="1" customWidth="1"/>
    <col min="3" max="3" width="0" style="527" hidden="1" customWidth="1"/>
    <col min="4" max="4" width="10.28515625" style="527" hidden="1" customWidth="1"/>
    <col min="5" max="5" width="3.42578125" style="527" hidden="1" customWidth="1"/>
    <col min="6" max="6" width="5.5703125" style="527" hidden="1" customWidth="1"/>
    <col min="7" max="7" width="11.42578125" style="527" hidden="1" customWidth="1"/>
    <col min="8" max="8" width="0" style="527" hidden="1" customWidth="1"/>
    <col min="9" max="9" width="10" style="527" hidden="1" customWidth="1"/>
    <col min="10" max="10" width="3.28515625" style="527" hidden="1" customWidth="1"/>
    <col min="11" max="11" width="5" style="527" hidden="1" customWidth="1"/>
    <col min="12" max="12" width="11.28515625" style="527" hidden="1" customWidth="1"/>
    <col min="13" max="13" width="0" style="527" hidden="1" customWidth="1"/>
    <col min="14" max="14" width="10.28515625" style="527" hidden="1" customWidth="1"/>
    <col min="15" max="15" width="3.7109375" style="527" hidden="1" customWidth="1"/>
    <col min="16" max="16" width="6.42578125" style="527" customWidth="1"/>
    <col min="17" max="17" width="14.85546875" style="527" customWidth="1"/>
    <col min="18" max="18" width="9.140625" style="527" customWidth="1"/>
    <col min="19" max="19" width="12" style="527" customWidth="1"/>
    <col min="20" max="20" width="3.28515625" style="527" hidden="1" customWidth="1"/>
    <col min="21" max="21" width="6.140625" style="527" hidden="1" customWidth="1"/>
    <col min="22" max="22" width="8.5703125" style="527" hidden="1" customWidth="1"/>
    <col min="23" max="23" width="8.42578125" style="527" hidden="1" customWidth="1"/>
    <col min="24" max="24" width="8.85546875" style="527" hidden="1" customWidth="1"/>
    <col min="25" max="116" width="0" style="527" hidden="1" customWidth="1"/>
    <col min="117" max="16384" width="9.140625" style="527"/>
  </cols>
  <sheetData>
    <row r="1" spans="1:27" ht="13.5" thickBot="1">
      <c r="A1" s="991" t="e">
        <v>#REF!</v>
      </c>
      <c r="B1" s="992"/>
      <c r="C1" s="508"/>
      <c r="D1" s="509"/>
      <c r="E1" s="508"/>
      <c r="F1" s="991">
        <v>0</v>
      </c>
      <c r="G1" s="992"/>
      <c r="H1" s="508"/>
      <c r="I1" s="509"/>
      <c r="K1" s="991" t="e">
        <v>#REF!</v>
      </c>
      <c r="L1" s="992"/>
      <c r="M1" s="508"/>
      <c r="N1" s="509"/>
      <c r="P1" s="991">
        <f>'Sch-6 (After Discount)'!D28</f>
        <v>0</v>
      </c>
      <c r="Q1" s="992"/>
      <c r="R1" s="508"/>
      <c r="S1" s="509"/>
      <c r="U1" s="530" t="e">
        <v>#REF!</v>
      </c>
    </row>
    <row r="2" spans="1:27">
      <c r="A2" s="993"/>
      <c r="B2" s="994"/>
      <c r="C2" s="508"/>
      <c r="D2" s="509"/>
      <c r="E2" s="508"/>
      <c r="F2" s="510"/>
      <c r="G2" s="508"/>
      <c r="H2" s="508"/>
      <c r="I2" s="509"/>
      <c r="K2" s="510"/>
      <c r="L2" s="508"/>
      <c r="M2" s="508"/>
      <c r="N2" s="509"/>
      <c r="P2" s="510"/>
      <c r="Q2" s="508"/>
      <c r="R2" s="508"/>
      <c r="S2" s="509"/>
      <c r="U2" s="530" t="e">
        <v>#REF!</v>
      </c>
    </row>
    <row r="3" spans="1:27">
      <c r="A3" s="510"/>
      <c r="B3" s="511"/>
      <c r="C3" s="511"/>
      <c r="D3" s="512"/>
      <c r="E3" s="511"/>
      <c r="F3" s="510"/>
      <c r="G3" s="511"/>
      <c r="H3" s="511"/>
      <c r="I3" s="512"/>
      <c r="K3" s="510"/>
      <c r="L3" s="511"/>
      <c r="M3" s="511"/>
      <c r="N3" s="512"/>
      <c r="P3" s="510"/>
      <c r="Q3" s="511"/>
      <c r="R3" s="511"/>
      <c r="S3" s="512"/>
      <c r="U3" s="530" t="s">
        <v>449</v>
      </c>
    </row>
    <row r="4" spans="1:27" ht="66.75" customHeight="1" thickBot="1">
      <c r="A4" s="1001" t="e">
        <f>IF(OR((A1&gt;9999999999),(A1&lt;0)),"Invalid Entry - More than 1000 crore OR -ve value",IF(A1=0, "",+CONCATENATE(#REF!,B11,D11,B10,D10,B9,D9,B8,D8,B7,D7,B6," Only")))</f>
        <v>#REF!</v>
      </c>
      <c r="B4" s="1002"/>
      <c r="C4" s="1002"/>
      <c r="D4" s="1003"/>
      <c r="E4" s="508"/>
      <c r="F4" s="1001" t="str">
        <f>IF(OR((F1&gt;9999999999),(F1&lt;0)),"Invalid Entry - More than 1000 crore OR -ve value",IF(F1=0, "",+CONCATENATE(U1, G11,I11,G10,I10,G9,I9,G8,I8,G7,I7,G6," Only")))</f>
        <v/>
      </c>
      <c r="G4" s="1002"/>
      <c r="H4" s="1002"/>
      <c r="I4" s="1003"/>
      <c r="J4" s="508"/>
      <c r="K4" s="1001" t="e">
        <f>IF(OR((K1&gt;9999999999),(K1&lt;0)),"Invalid Entry - More than 1000 crore OR -ve value",IF(K1=0, "",+CONCATENATE(U2, L11,N11,L10,N10,L9,N9,L8,N8,L7,N7,L6," Only")))</f>
        <v>#REF!</v>
      </c>
      <c r="L4" s="1002"/>
      <c r="M4" s="1002"/>
      <c r="N4" s="1003"/>
      <c r="P4" s="1001" t="str">
        <f>IF(OR((P1&gt;9999999999),(P1&lt;0)),"Invalid Entry - More than 1000 crore OR -ve value",IF(P1=0, "",+CONCATENATE(U3, Q11,S11,Q10,S10,Q9,S9,Q8,S8,Q7,S7,Q6," Only")))</f>
        <v/>
      </c>
      <c r="Q4" s="1002"/>
      <c r="R4" s="1002"/>
      <c r="S4" s="1003"/>
      <c r="U4" s="995" t="e">
        <f>VLOOKUP(1,T28:Y43,6,FALSE)</f>
        <v>#N/A</v>
      </c>
      <c r="V4" s="995"/>
      <c r="W4" s="995"/>
      <c r="X4" s="995"/>
      <c r="Y4" s="995"/>
      <c r="Z4" s="995"/>
      <c r="AA4" s="995"/>
    </row>
    <row r="5" spans="1:27" ht="18.75" customHeight="1" thickBot="1">
      <c r="A5" s="510"/>
      <c r="B5" s="511"/>
      <c r="C5" s="511"/>
      <c r="D5" s="512"/>
      <c r="E5" s="511"/>
      <c r="F5" s="510"/>
      <c r="G5" s="511"/>
      <c r="H5" s="511"/>
      <c r="I5" s="512"/>
      <c r="K5" s="510"/>
      <c r="L5" s="511"/>
      <c r="M5" s="511"/>
      <c r="N5" s="512"/>
      <c r="P5" s="510"/>
      <c r="Q5" s="511"/>
      <c r="R5" s="511"/>
      <c r="S5" s="512"/>
      <c r="U5" s="996" t="e">
        <f>VLOOKUP(1,T8:Y23,6,FALSE)</f>
        <v>#N/A</v>
      </c>
      <c r="V5" s="997"/>
      <c r="W5" s="997"/>
      <c r="X5" s="997"/>
      <c r="Y5" s="997"/>
      <c r="Z5" s="997"/>
      <c r="AA5" s="998"/>
    </row>
    <row r="6" spans="1:27">
      <c r="A6" s="513" t="e">
        <f>-INT(A1/100)*100+ROUND(A1,0)</f>
        <v>#REF!</v>
      </c>
      <c r="B6" s="511" t="e">
        <f t="shared" ref="B6:B11" si="0">IF(A6=0,"",LOOKUP(A6,$A$13:$A$112,$B$13:$B$112))</f>
        <v>#REF!</v>
      </c>
      <c r="C6" s="511"/>
      <c r="D6" s="514"/>
      <c r="E6" s="511"/>
      <c r="F6" s="513">
        <f>-INT(F1/100)*100+ROUND(F1,0)</f>
        <v>0</v>
      </c>
      <c r="G6" s="511" t="str">
        <f t="shared" ref="G6:G11" si="1">IF(F6=0,"",LOOKUP(F6,$A$13:$A$112,$B$13:$B$112))</f>
        <v/>
      </c>
      <c r="H6" s="511"/>
      <c r="I6" s="514"/>
      <c r="K6" s="513" t="e">
        <f>-INT(K1/100)*100+ROUND(K1,0)</f>
        <v>#REF!</v>
      </c>
      <c r="L6" s="511" t="e">
        <f t="shared" ref="L6:L11" si="2">IF(K6=0,"",LOOKUP(K6,$A$13:$A$112,$B$13:$B$112))</f>
        <v>#REF!</v>
      </c>
      <c r="M6" s="511"/>
      <c r="N6" s="514"/>
      <c r="P6" s="513">
        <f>-INT(P1/100)*100+ROUND(P1,0)</f>
        <v>0</v>
      </c>
      <c r="Q6" s="511" t="str">
        <f t="shared" ref="Q6:Q11" si="3">IF(P6=0,"",LOOKUP(P6,$A$13:$A$112,$B$13:$B$112))</f>
        <v/>
      </c>
      <c r="R6" s="511"/>
      <c r="S6" s="514"/>
    </row>
    <row r="7" spans="1:27">
      <c r="A7" s="513" t="e">
        <f>-INT(A1/1000)*10+INT(A1/100)</f>
        <v>#REF!</v>
      </c>
      <c r="B7" s="511" t="e">
        <f t="shared" si="0"/>
        <v>#REF!</v>
      </c>
      <c r="C7" s="511"/>
      <c r="D7" s="514" t="e">
        <f>+IF(B7="",""," Hundred ")</f>
        <v>#REF!</v>
      </c>
      <c r="E7" s="511"/>
      <c r="F7" s="513">
        <f>-INT(F1/1000)*10+INT(F1/100)</f>
        <v>0</v>
      </c>
      <c r="G7" s="511" t="str">
        <f t="shared" si="1"/>
        <v/>
      </c>
      <c r="H7" s="511"/>
      <c r="I7" s="514" t="str">
        <f>+IF(G7="",""," Hundred ")</f>
        <v/>
      </c>
      <c r="K7" s="513" t="e">
        <f>-INT(K1/1000)*10+INT(K1/100)</f>
        <v>#REF!</v>
      </c>
      <c r="L7" s="511" t="e">
        <f t="shared" si="2"/>
        <v>#REF!</v>
      </c>
      <c r="M7" s="511"/>
      <c r="N7" s="514" t="e">
        <f>+IF(L7="",""," Hundred ")</f>
        <v>#REF!</v>
      </c>
      <c r="P7" s="513">
        <f>-INT(P1/1000)*10+INT(P1/100)</f>
        <v>0</v>
      </c>
      <c r="Q7" s="511" t="str">
        <f t="shared" si="3"/>
        <v/>
      </c>
      <c r="R7" s="511"/>
      <c r="S7" s="514" t="str">
        <f>+IF(Q7="",""," Hundred ")</f>
        <v/>
      </c>
    </row>
    <row r="8" spans="1:27">
      <c r="A8" s="513" t="e">
        <f>-INT(A1/100000)*100+INT(A1/1000)</f>
        <v>#REF!</v>
      </c>
      <c r="B8" s="511" t="e">
        <f t="shared" si="0"/>
        <v>#REF!</v>
      </c>
      <c r="C8" s="511"/>
      <c r="D8" s="514" t="e">
        <f>IF((B8=""),IF(C8="",""," Thousand ")," Thousand ")</f>
        <v>#REF!</v>
      </c>
      <c r="E8" s="511"/>
      <c r="F8" s="513">
        <f>-INT(F1/100000)*100+INT(F1/1000)</f>
        <v>0</v>
      </c>
      <c r="G8" s="511" t="str">
        <f t="shared" si="1"/>
        <v/>
      </c>
      <c r="H8" s="511"/>
      <c r="I8" s="514" t="str">
        <f>IF((G8=""),IF(H8="",""," Thousand ")," Thousand ")</f>
        <v/>
      </c>
      <c r="K8" s="513" t="e">
        <f>-INT(K1/100000)*100+INT(K1/1000)</f>
        <v>#REF!</v>
      </c>
      <c r="L8" s="511" t="e">
        <f t="shared" si="2"/>
        <v>#REF!</v>
      </c>
      <c r="M8" s="511"/>
      <c r="N8" s="514" t="e">
        <f>IF((L8=""),IF(M8="",""," Thousand ")," Thousand ")</f>
        <v>#REF!</v>
      </c>
      <c r="P8" s="513">
        <f>-INT(P1/100000)*100+INT(P1/1000)</f>
        <v>0</v>
      </c>
      <c r="Q8" s="511" t="str">
        <f t="shared" si="3"/>
        <v/>
      </c>
      <c r="R8" s="511"/>
      <c r="S8" s="514" t="str">
        <f>IF((Q8=""),IF(R8="",""," Thousand ")," Thousand ")</f>
        <v/>
      </c>
      <c r="T8" s="531" t="e">
        <f>IF(Y8="",0, 1)</f>
        <v>#REF!</v>
      </c>
      <c r="U8" s="527">
        <v>0</v>
      </c>
      <c r="V8" s="527">
        <v>0</v>
      </c>
      <c r="W8" s="527">
        <v>0</v>
      </c>
      <c r="X8" s="527">
        <v>0</v>
      </c>
      <c r="Y8" s="532" t="e">
        <f>IF(AND($A$1=0,$F$1=0,$K$1=0,$P$1=0)," Zero only", "")</f>
        <v>#REF!</v>
      </c>
      <c r="AA8" s="527" t="s">
        <v>450</v>
      </c>
    </row>
    <row r="9" spans="1:27">
      <c r="A9" s="513" t="e">
        <f>-INT(A1/10000000)*100+INT(A1/100000)</f>
        <v>#REF!</v>
      </c>
      <c r="B9" s="511" t="e">
        <f t="shared" si="0"/>
        <v>#REF!</v>
      </c>
      <c r="C9" s="511"/>
      <c r="D9" s="514" t="e">
        <f>IF((B9=""),IF(C9="",""," Lac ")," Lac ")</f>
        <v>#REF!</v>
      </c>
      <c r="E9" s="511"/>
      <c r="F9" s="513">
        <f>-INT(F1/10000000)*100+INT(F1/100000)</f>
        <v>0</v>
      </c>
      <c r="G9" s="511" t="str">
        <f t="shared" si="1"/>
        <v/>
      </c>
      <c r="H9" s="511"/>
      <c r="I9" s="514" t="str">
        <f>IF((G9=""),IF(H9="",""," Lac ")," Lac ")</f>
        <v/>
      </c>
      <c r="K9" s="513" t="e">
        <f>-INT(K1/10000000)*100+INT(K1/100000)</f>
        <v>#REF!</v>
      </c>
      <c r="L9" s="511" t="e">
        <f t="shared" si="2"/>
        <v>#REF!</v>
      </c>
      <c r="M9" s="511"/>
      <c r="N9" s="514" t="e">
        <f>IF((L9=""),IF(M9="",""," Lac ")," Lac ")</f>
        <v>#REF!</v>
      </c>
      <c r="P9" s="513">
        <f>-INT(P1/10000000)*100+INT(P1/100000)</f>
        <v>0</v>
      </c>
      <c r="Q9" s="511" t="str">
        <f t="shared" si="3"/>
        <v/>
      </c>
      <c r="R9" s="511"/>
      <c r="S9" s="514" t="str">
        <f>IF((Q9=""),IF(R9="",""," Lac ")," Lac ")</f>
        <v/>
      </c>
      <c r="T9" s="531" t="e">
        <f t="shared" ref="T9:T23" si="4">IF(Y9="",0, 1)</f>
        <v>#REF!</v>
      </c>
      <c r="U9" s="527">
        <v>0</v>
      </c>
      <c r="V9" s="527">
        <v>0</v>
      </c>
      <c r="W9" s="527">
        <v>0</v>
      </c>
      <c r="X9" s="527">
        <v>1</v>
      </c>
      <c r="Y9" s="533" t="e">
        <f>IF(AND($A$1=0,$F$1=0,$K$1=0,$P$1&gt;0),$P$4, "")</f>
        <v>#REF!</v>
      </c>
    </row>
    <row r="10" spans="1:27">
      <c r="A10" s="513" t="e">
        <f>-INT(A1/1000000000)*100+INT(A1/10000000)</f>
        <v>#REF!</v>
      </c>
      <c r="B10" s="515" t="e">
        <f t="shared" si="0"/>
        <v>#REF!</v>
      </c>
      <c r="C10" s="511"/>
      <c r="D10" s="514" t="e">
        <f>IF((B10=""),IF(C10="",""," Crore ")," Crore ")</f>
        <v>#REF!</v>
      </c>
      <c r="E10" s="511"/>
      <c r="F10" s="513">
        <f>-INT(F1/1000000000)*100+INT(F1/10000000)</f>
        <v>0</v>
      </c>
      <c r="G10" s="515" t="str">
        <f t="shared" si="1"/>
        <v/>
      </c>
      <c r="H10" s="511"/>
      <c r="I10" s="514" t="str">
        <f>IF((G10=""),IF(H10="",""," Crore ")," Crore ")</f>
        <v/>
      </c>
      <c r="K10" s="513" t="e">
        <f>-INT(K1/1000000000)*100+INT(K1/10000000)</f>
        <v>#REF!</v>
      </c>
      <c r="L10" s="515" t="e">
        <f t="shared" si="2"/>
        <v>#REF!</v>
      </c>
      <c r="M10" s="511"/>
      <c r="N10" s="514" t="e">
        <f>IF((L10=""),IF(M10="",""," Crore ")," Crore ")</f>
        <v>#REF!</v>
      </c>
      <c r="P10" s="513">
        <f>-INT(P1/1000000000)*100+INT(P1/10000000)</f>
        <v>0</v>
      </c>
      <c r="Q10" s="515" t="str">
        <f t="shared" si="3"/>
        <v/>
      </c>
      <c r="R10" s="511"/>
      <c r="S10" s="514" t="str">
        <f>IF((Q10=""),IF(R10="",""," Crore ")," Crore ")</f>
        <v/>
      </c>
      <c r="T10" s="531" t="e">
        <f t="shared" si="4"/>
        <v>#REF!</v>
      </c>
      <c r="U10" s="527">
        <v>0</v>
      </c>
      <c r="V10" s="527">
        <v>0</v>
      </c>
      <c r="W10" s="527">
        <v>1</v>
      </c>
      <c r="X10" s="527">
        <v>0</v>
      </c>
      <c r="Y10" s="533" t="e">
        <f>IF(AND($A$1=0,$F$1=0,$K$1&gt;0,$P$1=0),$K$4, "")</f>
        <v>#REF!</v>
      </c>
    </row>
    <row r="11" spans="1:27">
      <c r="A11" s="516" t="e">
        <f>-INT(A1/10000000000)*1000+INT(A1/1000000000)</f>
        <v>#REF!</v>
      </c>
      <c r="B11" s="515" t="e">
        <f t="shared" si="0"/>
        <v>#REF!</v>
      </c>
      <c r="C11" s="511"/>
      <c r="D11" s="514" t="e">
        <f>IF((B11=""),IF(C11="",""," Hundred ")," Hundred ")</f>
        <v>#REF!</v>
      </c>
      <c r="E11" s="511"/>
      <c r="F11" s="516">
        <f>-INT(F1/10000000000)*1000+INT(F1/1000000000)</f>
        <v>0</v>
      </c>
      <c r="G11" s="515" t="str">
        <f t="shared" si="1"/>
        <v/>
      </c>
      <c r="H11" s="511"/>
      <c r="I11" s="514" t="str">
        <f>IF((G11=""),IF(H11="",""," Hundred ")," Hundred ")</f>
        <v/>
      </c>
      <c r="K11" s="516" t="e">
        <f>-INT(K1/10000000000)*1000+INT(K1/1000000000)</f>
        <v>#REF!</v>
      </c>
      <c r="L11" s="515" t="e">
        <f t="shared" si="2"/>
        <v>#REF!</v>
      </c>
      <c r="M11" s="511"/>
      <c r="N11" s="514" t="e">
        <f>IF((L11=""),IF(M11="",""," Hundred ")," Hundred ")</f>
        <v>#REF!</v>
      </c>
      <c r="P11" s="516">
        <f>-INT(P1/10000000000)*1000+INT(P1/1000000000)</f>
        <v>0</v>
      </c>
      <c r="Q11" s="515" t="str">
        <f t="shared" si="3"/>
        <v/>
      </c>
      <c r="R11" s="511"/>
      <c r="S11" s="514" t="str">
        <f>IF((Q11=""),IF(R11="",""," Hundred ")," Hundred ")</f>
        <v/>
      </c>
      <c r="T11" s="531" t="e">
        <f t="shared" si="4"/>
        <v>#REF!</v>
      </c>
      <c r="U11" s="527">
        <v>0</v>
      </c>
      <c r="V11" s="527">
        <v>0</v>
      </c>
      <c r="W11" s="527">
        <v>1</v>
      </c>
      <c r="X11" s="527">
        <v>1</v>
      </c>
      <c r="Y11" s="533" t="e">
        <f>IF(AND($A$1=0,$F$1=0,$K$1&gt;0,$P$1&gt;0),$K$4&amp;$AA$8&amp;$P$4, "")</f>
        <v>#REF!</v>
      </c>
    </row>
    <row r="12" spans="1:27">
      <c r="A12" s="517"/>
      <c r="B12" s="511"/>
      <c r="C12" s="511"/>
      <c r="D12" s="512"/>
      <c r="E12" s="511"/>
      <c r="F12" s="517"/>
      <c r="G12" s="511"/>
      <c r="H12" s="511"/>
      <c r="I12" s="512"/>
      <c r="K12" s="517"/>
      <c r="L12" s="511"/>
      <c r="M12" s="511"/>
      <c r="N12" s="512"/>
      <c r="P12" s="517"/>
      <c r="Q12" s="511"/>
      <c r="R12" s="511"/>
      <c r="S12" s="512"/>
      <c r="T12" s="531" t="e">
        <f t="shared" si="4"/>
        <v>#REF!</v>
      </c>
      <c r="U12" s="527">
        <v>0</v>
      </c>
      <c r="V12" s="527">
        <v>1</v>
      </c>
      <c r="W12" s="527">
        <v>0</v>
      </c>
      <c r="X12" s="527">
        <v>0</v>
      </c>
      <c r="Y12" s="533" t="e">
        <f>IF(AND($A$1=0,$F$1&gt;0,$K$1=0,$P$1=0),$F$4, "")</f>
        <v>#REF!</v>
      </c>
    </row>
    <row r="13" spans="1:27">
      <c r="A13" s="518">
        <v>1</v>
      </c>
      <c r="B13" s="519" t="s">
        <v>349</v>
      </c>
      <c r="C13" s="511"/>
      <c r="D13" s="512"/>
      <c r="E13" s="511"/>
      <c r="F13" s="518">
        <v>1</v>
      </c>
      <c r="G13" s="519" t="s">
        <v>349</v>
      </c>
      <c r="H13" s="511"/>
      <c r="I13" s="512"/>
      <c r="K13" s="518">
        <v>1</v>
      </c>
      <c r="L13" s="519" t="s">
        <v>349</v>
      </c>
      <c r="M13" s="511"/>
      <c r="N13" s="512"/>
      <c r="P13" s="518">
        <v>1</v>
      </c>
      <c r="Q13" s="519" t="s">
        <v>349</v>
      </c>
      <c r="R13" s="511"/>
      <c r="S13" s="512"/>
      <c r="T13" s="531" t="e">
        <f t="shared" si="4"/>
        <v>#REF!</v>
      </c>
      <c r="U13" s="527">
        <v>0</v>
      </c>
      <c r="V13" s="527">
        <v>1</v>
      </c>
      <c r="W13" s="527">
        <v>0</v>
      </c>
      <c r="X13" s="527">
        <v>1</v>
      </c>
      <c r="Y13" s="533" t="e">
        <f>IF(AND($A$1=0,$F$1&gt;0,$K$1=0,$P$1&gt;0),$F$4&amp;$AA$8&amp;$P$4, "")</f>
        <v>#REF!</v>
      </c>
    </row>
    <row r="14" spans="1:27">
      <c r="A14" s="518">
        <v>2</v>
      </c>
      <c r="B14" s="519" t="s">
        <v>350</v>
      </c>
      <c r="C14" s="511"/>
      <c r="D14" s="512"/>
      <c r="E14" s="511"/>
      <c r="F14" s="518">
        <v>2</v>
      </c>
      <c r="G14" s="519" t="s">
        <v>350</v>
      </c>
      <c r="H14" s="511"/>
      <c r="I14" s="512"/>
      <c r="K14" s="518">
        <v>2</v>
      </c>
      <c r="L14" s="519" t="s">
        <v>350</v>
      </c>
      <c r="M14" s="511"/>
      <c r="N14" s="512"/>
      <c r="P14" s="518">
        <v>2</v>
      </c>
      <c r="Q14" s="519" t="s">
        <v>350</v>
      </c>
      <c r="R14" s="511"/>
      <c r="S14" s="512"/>
      <c r="T14" s="531" t="e">
        <f t="shared" si="4"/>
        <v>#REF!</v>
      </c>
      <c r="U14" s="527">
        <v>0</v>
      </c>
      <c r="V14" s="527">
        <v>1</v>
      </c>
      <c r="W14" s="527">
        <v>1</v>
      </c>
      <c r="X14" s="527">
        <v>0</v>
      </c>
      <c r="Y14" s="533" t="e">
        <f>IF(AND($A$1=0,$F$1&gt;0,$K$1&gt;0,$P$1=0),$F$4&amp;$AA$8&amp;$K$4, "")</f>
        <v>#REF!</v>
      </c>
    </row>
    <row r="15" spans="1:27">
      <c r="A15" s="518">
        <v>3</v>
      </c>
      <c r="B15" s="519" t="s">
        <v>351</v>
      </c>
      <c r="C15" s="511"/>
      <c r="D15" s="512"/>
      <c r="E15" s="511"/>
      <c r="F15" s="518">
        <v>3</v>
      </c>
      <c r="G15" s="519" t="s">
        <v>351</v>
      </c>
      <c r="H15" s="511"/>
      <c r="I15" s="512"/>
      <c r="K15" s="518">
        <v>3</v>
      </c>
      <c r="L15" s="519" t="s">
        <v>351</v>
      </c>
      <c r="M15" s="511"/>
      <c r="N15" s="512"/>
      <c r="P15" s="518">
        <v>3</v>
      </c>
      <c r="Q15" s="519" t="s">
        <v>351</v>
      </c>
      <c r="R15" s="511"/>
      <c r="S15" s="512"/>
      <c r="T15" s="531" t="e">
        <f t="shared" si="4"/>
        <v>#REF!</v>
      </c>
      <c r="U15" s="527">
        <v>0</v>
      </c>
      <c r="V15" s="527">
        <v>1</v>
      </c>
      <c r="W15" s="527">
        <v>1</v>
      </c>
      <c r="X15" s="527">
        <v>1</v>
      </c>
      <c r="Y15" s="534" t="e">
        <f>IF(AND($A$1=0,$F$1&gt;0,$K$1&gt;0,$P$1&gt;0),$F$4&amp;$AA$8&amp;$K$4&amp;$AA$8&amp;$P$4, "")</f>
        <v>#REF!</v>
      </c>
    </row>
    <row r="16" spans="1:27">
      <c r="A16" s="518">
        <v>4</v>
      </c>
      <c r="B16" s="519" t="s">
        <v>352</v>
      </c>
      <c r="C16" s="511"/>
      <c r="D16" s="512"/>
      <c r="E16" s="511"/>
      <c r="F16" s="518">
        <v>4</v>
      </c>
      <c r="G16" s="519" t="s">
        <v>352</v>
      </c>
      <c r="H16" s="511"/>
      <c r="I16" s="512"/>
      <c r="K16" s="518">
        <v>4</v>
      </c>
      <c r="L16" s="519" t="s">
        <v>352</v>
      </c>
      <c r="M16" s="511"/>
      <c r="N16" s="512"/>
      <c r="P16" s="518">
        <v>4</v>
      </c>
      <c r="Q16" s="519" t="s">
        <v>352</v>
      </c>
      <c r="R16" s="511"/>
      <c r="S16" s="512"/>
      <c r="T16" s="531" t="e">
        <f t="shared" si="4"/>
        <v>#REF!</v>
      </c>
      <c r="U16" s="527">
        <v>1</v>
      </c>
      <c r="V16" s="527">
        <v>0</v>
      </c>
      <c r="W16" s="527">
        <v>0</v>
      </c>
      <c r="X16" s="527">
        <v>0</v>
      </c>
      <c r="Y16" s="532" t="e">
        <f>IF(AND($A$1&gt;0,$F$1=0,$K$1=0,$P$1=0), $A$4, "")</f>
        <v>#REF!</v>
      </c>
    </row>
    <row r="17" spans="1:27">
      <c r="A17" s="518">
        <v>5</v>
      </c>
      <c r="B17" s="519" t="s">
        <v>353</v>
      </c>
      <c r="C17" s="511"/>
      <c r="D17" s="512"/>
      <c r="E17" s="511"/>
      <c r="F17" s="518">
        <v>5</v>
      </c>
      <c r="G17" s="519" t="s">
        <v>353</v>
      </c>
      <c r="H17" s="511"/>
      <c r="I17" s="512"/>
      <c r="K17" s="518">
        <v>5</v>
      </c>
      <c r="L17" s="519" t="s">
        <v>353</v>
      </c>
      <c r="M17" s="511"/>
      <c r="N17" s="512"/>
      <c r="P17" s="518">
        <v>5</v>
      </c>
      <c r="Q17" s="519" t="s">
        <v>353</v>
      </c>
      <c r="R17" s="511"/>
      <c r="S17" s="512"/>
      <c r="T17" s="531" t="e">
        <f t="shared" si="4"/>
        <v>#REF!</v>
      </c>
      <c r="U17" s="527">
        <v>1</v>
      </c>
      <c r="V17" s="527">
        <v>0</v>
      </c>
      <c r="W17" s="527">
        <v>0</v>
      </c>
      <c r="X17" s="527">
        <v>1</v>
      </c>
      <c r="Y17" s="533" t="e">
        <f>IF(AND($A$1&gt;0,$F$1=0,$K$1=0,$P$1&gt;0),$A$4&amp;$AA$8&amp;$P$4, "")</f>
        <v>#REF!</v>
      </c>
    </row>
    <row r="18" spans="1:27">
      <c r="A18" s="518">
        <v>6</v>
      </c>
      <c r="B18" s="519" t="s">
        <v>354</v>
      </c>
      <c r="C18" s="511"/>
      <c r="D18" s="512"/>
      <c r="E18" s="511"/>
      <c r="F18" s="518">
        <v>6</v>
      </c>
      <c r="G18" s="519" t="s">
        <v>354</v>
      </c>
      <c r="H18" s="511"/>
      <c r="I18" s="512"/>
      <c r="K18" s="518">
        <v>6</v>
      </c>
      <c r="L18" s="519" t="s">
        <v>354</v>
      </c>
      <c r="M18" s="511"/>
      <c r="N18" s="512"/>
      <c r="P18" s="518">
        <v>6</v>
      </c>
      <c r="Q18" s="519" t="s">
        <v>354</v>
      </c>
      <c r="R18" s="511"/>
      <c r="S18" s="512"/>
      <c r="T18" s="531" t="e">
        <f t="shared" si="4"/>
        <v>#REF!</v>
      </c>
      <c r="U18" s="527">
        <v>1</v>
      </c>
      <c r="V18" s="527">
        <v>0</v>
      </c>
      <c r="W18" s="527">
        <v>1</v>
      </c>
      <c r="X18" s="527">
        <v>0</v>
      </c>
      <c r="Y18" s="533" t="e">
        <f>IF(AND($A$1&gt;0,$F$1=0,$K$1&gt;0,$P$1=0),$A$4&amp;$AA$8&amp;$K$4, "")</f>
        <v>#REF!</v>
      </c>
    </row>
    <row r="19" spans="1:27">
      <c r="A19" s="518">
        <v>7</v>
      </c>
      <c r="B19" s="519" t="s">
        <v>355</v>
      </c>
      <c r="C19" s="511"/>
      <c r="D19" s="512"/>
      <c r="E19" s="511"/>
      <c r="F19" s="518">
        <v>7</v>
      </c>
      <c r="G19" s="519" t="s">
        <v>355</v>
      </c>
      <c r="H19" s="511"/>
      <c r="I19" s="512"/>
      <c r="K19" s="518">
        <v>7</v>
      </c>
      <c r="L19" s="519" t="s">
        <v>355</v>
      </c>
      <c r="M19" s="511"/>
      <c r="N19" s="512"/>
      <c r="P19" s="518">
        <v>7</v>
      </c>
      <c r="Q19" s="519" t="s">
        <v>355</v>
      </c>
      <c r="R19" s="511"/>
      <c r="S19" s="512"/>
      <c r="T19" s="531" t="e">
        <f t="shared" si="4"/>
        <v>#REF!</v>
      </c>
      <c r="U19" s="527">
        <v>1</v>
      </c>
      <c r="V19" s="527">
        <v>0</v>
      </c>
      <c r="W19" s="527">
        <v>1</v>
      </c>
      <c r="X19" s="527">
        <v>1</v>
      </c>
      <c r="Y19" s="533" t="e">
        <f>IF(AND($A$1&gt;0,$F$1=0,$K$1&gt;0,$P$1&gt;0),$A$4&amp;$AA$8&amp;$K$4&amp;$AA$8&amp;$P$4, "")</f>
        <v>#REF!</v>
      </c>
    </row>
    <row r="20" spans="1:27">
      <c r="A20" s="518">
        <v>8</v>
      </c>
      <c r="B20" s="519" t="s">
        <v>356</v>
      </c>
      <c r="C20" s="511"/>
      <c r="D20" s="512"/>
      <c r="E20" s="511"/>
      <c r="F20" s="518">
        <v>8</v>
      </c>
      <c r="G20" s="519" t="s">
        <v>356</v>
      </c>
      <c r="H20" s="511"/>
      <c r="I20" s="512"/>
      <c r="K20" s="518">
        <v>8</v>
      </c>
      <c r="L20" s="519" t="s">
        <v>356</v>
      </c>
      <c r="M20" s="511"/>
      <c r="N20" s="512"/>
      <c r="P20" s="518">
        <v>8</v>
      </c>
      <c r="Q20" s="519" t="s">
        <v>356</v>
      </c>
      <c r="R20" s="511"/>
      <c r="S20" s="512"/>
      <c r="T20" s="531" t="e">
        <f t="shared" si="4"/>
        <v>#REF!</v>
      </c>
      <c r="U20" s="527">
        <v>1</v>
      </c>
      <c r="V20" s="527">
        <v>1</v>
      </c>
      <c r="W20" s="527">
        <v>0</v>
      </c>
      <c r="X20" s="527">
        <v>0</v>
      </c>
      <c r="Y20" s="533" t="e">
        <f>IF(AND($A$1&gt;0,$F$1&gt;0,$K$1=0,$P$1=0),$A$4&amp;$AA$8&amp;$F$4, "")</f>
        <v>#REF!</v>
      </c>
    </row>
    <row r="21" spans="1:27">
      <c r="A21" s="518">
        <v>9</v>
      </c>
      <c r="B21" s="519" t="s">
        <v>357</v>
      </c>
      <c r="C21" s="511"/>
      <c r="D21" s="512"/>
      <c r="E21" s="511"/>
      <c r="F21" s="518">
        <v>9</v>
      </c>
      <c r="G21" s="519" t="s">
        <v>357</v>
      </c>
      <c r="H21" s="511"/>
      <c r="I21" s="512"/>
      <c r="K21" s="518">
        <v>9</v>
      </c>
      <c r="L21" s="519" t="s">
        <v>357</v>
      </c>
      <c r="M21" s="511"/>
      <c r="N21" s="512"/>
      <c r="P21" s="518">
        <v>9</v>
      </c>
      <c r="Q21" s="519" t="s">
        <v>357</v>
      </c>
      <c r="R21" s="511"/>
      <c r="S21" s="512"/>
      <c r="T21" s="531" t="e">
        <f t="shared" si="4"/>
        <v>#REF!</v>
      </c>
      <c r="U21" s="527">
        <v>1</v>
      </c>
      <c r="V21" s="527">
        <v>1</v>
      </c>
      <c r="W21" s="527">
        <v>0</v>
      </c>
      <c r="X21" s="527">
        <v>1</v>
      </c>
      <c r="Y21" s="533" t="e">
        <f>IF(AND($A$1&gt;0,$F$1&gt;0,$K$1=0,$P$1&gt;0),$A$4&amp;$AA$8&amp;$F$4&amp;$AA$8&amp;$P$4, "")</f>
        <v>#REF!</v>
      </c>
    </row>
    <row r="22" spans="1:27">
      <c r="A22" s="518">
        <v>10</v>
      </c>
      <c r="B22" s="519" t="s">
        <v>358</v>
      </c>
      <c r="C22" s="511"/>
      <c r="D22" s="512"/>
      <c r="E22" s="511"/>
      <c r="F22" s="518">
        <v>10</v>
      </c>
      <c r="G22" s="519" t="s">
        <v>358</v>
      </c>
      <c r="H22" s="511"/>
      <c r="I22" s="512"/>
      <c r="K22" s="518">
        <v>10</v>
      </c>
      <c r="L22" s="519" t="s">
        <v>358</v>
      </c>
      <c r="M22" s="511"/>
      <c r="N22" s="512"/>
      <c r="P22" s="518">
        <v>10</v>
      </c>
      <c r="Q22" s="519" t="s">
        <v>358</v>
      </c>
      <c r="R22" s="511"/>
      <c r="S22" s="512"/>
      <c r="T22" s="531" t="e">
        <f t="shared" si="4"/>
        <v>#REF!</v>
      </c>
      <c r="U22" s="527">
        <v>1</v>
      </c>
      <c r="V22" s="527">
        <v>1</v>
      </c>
      <c r="W22" s="527">
        <v>1</v>
      </c>
      <c r="X22" s="527">
        <v>0</v>
      </c>
      <c r="Y22" s="533" t="e">
        <f>IF(AND($A$1&gt;0,$F$1&gt;0,$K$1&gt;0,$P$1=0),$A$4&amp;$AA$8&amp;$F$4&amp;$AA$8&amp;$K$4, "")</f>
        <v>#REF!</v>
      </c>
    </row>
    <row r="23" spans="1:27">
      <c r="A23" s="518">
        <v>11</v>
      </c>
      <c r="B23" s="519" t="s">
        <v>359</v>
      </c>
      <c r="C23" s="511"/>
      <c r="D23" s="512"/>
      <c r="E23" s="511"/>
      <c r="F23" s="518">
        <v>11</v>
      </c>
      <c r="G23" s="519" t="s">
        <v>359</v>
      </c>
      <c r="H23" s="511"/>
      <c r="I23" s="512"/>
      <c r="K23" s="518">
        <v>11</v>
      </c>
      <c r="L23" s="519" t="s">
        <v>359</v>
      </c>
      <c r="M23" s="511"/>
      <c r="N23" s="512"/>
      <c r="P23" s="518">
        <v>11</v>
      </c>
      <c r="Q23" s="519" t="s">
        <v>359</v>
      </c>
      <c r="R23" s="511"/>
      <c r="S23" s="512"/>
      <c r="T23" s="531" t="e">
        <f t="shared" si="4"/>
        <v>#REF!</v>
      </c>
      <c r="U23" s="527">
        <v>1</v>
      </c>
      <c r="V23" s="527">
        <v>1</v>
      </c>
      <c r="W23" s="527">
        <v>1</v>
      </c>
      <c r="X23" s="527">
        <v>1</v>
      </c>
      <c r="Y23" s="534" t="e">
        <f>IF(AND($A$1&gt;0,$F$1&gt;0,$K$1&gt;0,$P$1&gt;0),$A$4&amp;$AA$8&amp;$F$4&amp;$AA$8&amp;$K$4&amp;$AA$8&amp;$P$4, "")</f>
        <v>#REF!</v>
      </c>
    </row>
    <row r="24" spans="1:27">
      <c r="A24" s="518">
        <v>12</v>
      </c>
      <c r="B24" s="519" t="s">
        <v>360</v>
      </c>
      <c r="C24" s="511"/>
      <c r="D24" s="512"/>
      <c r="E24" s="511"/>
      <c r="F24" s="518">
        <v>12</v>
      </c>
      <c r="G24" s="519" t="s">
        <v>360</v>
      </c>
      <c r="H24" s="511"/>
      <c r="I24" s="512"/>
      <c r="K24" s="518">
        <v>12</v>
      </c>
      <c r="L24" s="519" t="s">
        <v>360</v>
      </c>
      <c r="M24" s="511"/>
      <c r="N24" s="512"/>
      <c r="P24" s="518">
        <v>12</v>
      </c>
      <c r="Q24" s="519" t="s">
        <v>360</v>
      </c>
      <c r="R24" s="511"/>
      <c r="S24" s="512"/>
    </row>
    <row r="25" spans="1:27">
      <c r="A25" s="518">
        <v>13</v>
      </c>
      <c r="B25" s="519" t="s">
        <v>361</v>
      </c>
      <c r="C25" s="511"/>
      <c r="D25" s="512"/>
      <c r="E25" s="511"/>
      <c r="F25" s="518">
        <v>13</v>
      </c>
      <c r="G25" s="519" t="s">
        <v>361</v>
      </c>
      <c r="H25" s="511"/>
      <c r="I25" s="512"/>
      <c r="K25" s="518">
        <v>13</v>
      </c>
      <c r="L25" s="519" t="s">
        <v>361</v>
      </c>
      <c r="M25" s="511"/>
      <c r="N25" s="512"/>
      <c r="P25" s="518">
        <v>13</v>
      </c>
      <c r="Q25" s="519" t="s">
        <v>361</v>
      </c>
      <c r="R25" s="511"/>
      <c r="S25" s="512"/>
    </row>
    <row r="26" spans="1:27">
      <c r="A26" s="518">
        <v>14</v>
      </c>
      <c r="B26" s="519" t="s">
        <v>362</v>
      </c>
      <c r="C26" s="511"/>
      <c r="D26" s="512"/>
      <c r="E26" s="511"/>
      <c r="F26" s="518">
        <v>14</v>
      </c>
      <c r="G26" s="519" t="s">
        <v>362</v>
      </c>
      <c r="H26" s="511"/>
      <c r="I26" s="512"/>
      <c r="K26" s="518">
        <v>14</v>
      </c>
      <c r="L26" s="519" t="s">
        <v>362</v>
      </c>
      <c r="M26" s="511"/>
      <c r="N26" s="512"/>
      <c r="P26" s="518">
        <v>14</v>
      </c>
      <c r="Q26" s="519" t="s">
        <v>362</v>
      </c>
      <c r="R26" s="511"/>
      <c r="S26" s="512"/>
    </row>
    <row r="27" spans="1:27">
      <c r="A27" s="518">
        <v>15</v>
      </c>
      <c r="B27" s="519" t="s">
        <v>363</v>
      </c>
      <c r="C27" s="511"/>
      <c r="D27" s="512"/>
      <c r="E27" s="511"/>
      <c r="F27" s="518">
        <v>15</v>
      </c>
      <c r="G27" s="519" t="s">
        <v>363</v>
      </c>
      <c r="H27" s="511"/>
      <c r="I27" s="512"/>
      <c r="K27" s="518">
        <v>15</v>
      </c>
      <c r="L27" s="519" t="s">
        <v>363</v>
      </c>
      <c r="M27" s="511"/>
      <c r="N27" s="512"/>
      <c r="P27" s="518">
        <v>15</v>
      </c>
      <c r="Q27" s="519" t="s">
        <v>363</v>
      </c>
      <c r="R27" s="511"/>
      <c r="S27" s="512"/>
    </row>
    <row r="28" spans="1:27">
      <c r="A28" s="518">
        <v>16</v>
      </c>
      <c r="B28" s="519" t="s">
        <v>364</v>
      </c>
      <c r="C28" s="511"/>
      <c r="D28" s="512"/>
      <c r="E28" s="511"/>
      <c r="F28" s="518">
        <v>16</v>
      </c>
      <c r="G28" s="519" t="s">
        <v>364</v>
      </c>
      <c r="H28" s="511"/>
      <c r="I28" s="512"/>
      <c r="K28" s="518">
        <v>16</v>
      </c>
      <c r="L28" s="519" t="s">
        <v>364</v>
      </c>
      <c r="M28" s="511"/>
      <c r="N28" s="512"/>
      <c r="P28" s="518">
        <v>16</v>
      </c>
      <c r="Q28" s="519" t="s">
        <v>364</v>
      </c>
      <c r="R28" s="511"/>
      <c r="S28" s="512"/>
      <c r="T28" s="531" t="e">
        <f>IF(Y28="",0, 1)</f>
        <v>#REF!</v>
      </c>
      <c r="U28" s="527">
        <v>0</v>
      </c>
      <c r="V28" s="527">
        <v>0</v>
      </c>
      <c r="W28" s="527">
        <v>0</v>
      </c>
      <c r="X28" s="527">
        <v>0</v>
      </c>
      <c r="Y28" s="532" t="e">
        <f>IF(AND($A$1=0,$F$1=0,$K$1=0,$P$1=0)," 0/-", "")</f>
        <v>#REF!</v>
      </c>
      <c r="AA28" s="527" t="s">
        <v>451</v>
      </c>
    </row>
    <row r="29" spans="1:27">
      <c r="A29" s="518">
        <v>17</v>
      </c>
      <c r="B29" s="519" t="s">
        <v>365</v>
      </c>
      <c r="C29" s="511"/>
      <c r="D29" s="512"/>
      <c r="E29" s="511"/>
      <c r="F29" s="518">
        <v>17</v>
      </c>
      <c r="G29" s="519" t="s">
        <v>365</v>
      </c>
      <c r="H29" s="511"/>
      <c r="I29" s="512"/>
      <c r="K29" s="518">
        <v>17</v>
      </c>
      <c r="L29" s="519" t="s">
        <v>365</v>
      </c>
      <c r="M29" s="511"/>
      <c r="N29" s="512"/>
      <c r="P29" s="518">
        <v>17</v>
      </c>
      <c r="Q29" s="519" t="s">
        <v>365</v>
      </c>
      <c r="R29" s="511"/>
      <c r="S29" s="512"/>
      <c r="T29" s="531" t="e">
        <f t="shared" ref="T29:T43" si="5">IF(Y29="",0, 1)</f>
        <v>#REF!</v>
      </c>
      <c r="U29" s="527">
        <v>0</v>
      </c>
      <c r="V29" s="527">
        <v>0</v>
      </c>
      <c r="W29" s="527">
        <v>0</v>
      </c>
      <c r="X29" s="527">
        <v>1</v>
      </c>
      <c r="Y29" s="533" t="e">
        <f>IF(AND($A$1=0,$F$1=0,$K$1=0,$P$1&gt;0),$U$3&amp;$P$1&amp;$AA$30, "")</f>
        <v>#REF!</v>
      </c>
      <c r="AA29" s="527" t="s">
        <v>452</v>
      </c>
    </row>
    <row r="30" spans="1:27">
      <c r="A30" s="518">
        <v>18</v>
      </c>
      <c r="B30" s="519" t="s">
        <v>366</v>
      </c>
      <c r="C30" s="511"/>
      <c r="D30" s="512"/>
      <c r="E30" s="511"/>
      <c r="F30" s="518">
        <v>18</v>
      </c>
      <c r="G30" s="519" t="s">
        <v>366</v>
      </c>
      <c r="H30" s="511"/>
      <c r="I30" s="512"/>
      <c r="K30" s="518">
        <v>18</v>
      </c>
      <c r="L30" s="519" t="s">
        <v>366</v>
      </c>
      <c r="M30" s="511"/>
      <c r="N30" s="512"/>
      <c r="P30" s="518">
        <v>18</v>
      </c>
      <c r="Q30" s="519" t="s">
        <v>366</v>
      </c>
      <c r="R30" s="511"/>
      <c r="S30" s="512"/>
      <c r="T30" s="531" t="e">
        <f t="shared" si="5"/>
        <v>#REF!</v>
      </c>
      <c r="U30" s="527">
        <v>0</v>
      </c>
      <c r="V30" s="527">
        <v>0</v>
      </c>
      <c r="W30" s="527">
        <v>1</v>
      </c>
      <c r="X30" s="527">
        <v>0</v>
      </c>
      <c r="Y30" s="533" t="e">
        <f>IF(AND($A$1=0,$F$1=0,$K$1&gt;0,$P$1=0),$U$2&amp;$K$1&amp;$AA$30, "")</f>
        <v>#REF!</v>
      </c>
      <c r="AA30" s="527" t="s">
        <v>453</v>
      </c>
    </row>
    <row r="31" spans="1:27">
      <c r="A31" s="518">
        <v>19</v>
      </c>
      <c r="B31" s="519" t="s">
        <v>367</v>
      </c>
      <c r="C31" s="511"/>
      <c r="D31" s="512"/>
      <c r="E31" s="511"/>
      <c r="F31" s="518">
        <v>19</v>
      </c>
      <c r="G31" s="519" t="s">
        <v>367</v>
      </c>
      <c r="H31" s="511"/>
      <c r="I31" s="512"/>
      <c r="K31" s="518">
        <v>19</v>
      </c>
      <c r="L31" s="519" t="s">
        <v>367</v>
      </c>
      <c r="M31" s="511"/>
      <c r="N31" s="512"/>
      <c r="P31" s="518">
        <v>19</v>
      </c>
      <c r="Q31" s="519" t="s">
        <v>367</v>
      </c>
      <c r="R31" s="511"/>
      <c r="S31" s="512"/>
      <c r="T31" s="531" t="e">
        <f t="shared" si="5"/>
        <v>#REF!</v>
      </c>
      <c r="U31" s="527">
        <v>0</v>
      </c>
      <c r="V31" s="527">
        <v>0</v>
      </c>
      <c r="W31" s="527">
        <v>1</v>
      </c>
      <c r="X31" s="527">
        <v>1</v>
      </c>
      <c r="Y31" s="533" t="e">
        <f>IF(AND($A$1=0,$F$1=0,$K$1&gt;0,$P$1&gt;0),$U$2&amp;$K$1&amp;$AA$29&amp;$U$3&amp;$P$1&amp;$AA$30, "")</f>
        <v>#REF!</v>
      </c>
    </row>
    <row r="32" spans="1:27">
      <c r="A32" s="518">
        <v>20</v>
      </c>
      <c r="B32" s="519" t="s">
        <v>368</v>
      </c>
      <c r="C32" s="511"/>
      <c r="D32" s="512"/>
      <c r="E32" s="511"/>
      <c r="F32" s="518">
        <v>20</v>
      </c>
      <c r="G32" s="519" t="s">
        <v>368</v>
      </c>
      <c r="H32" s="511"/>
      <c r="I32" s="512"/>
      <c r="K32" s="518">
        <v>20</v>
      </c>
      <c r="L32" s="519" t="s">
        <v>368</v>
      </c>
      <c r="M32" s="511"/>
      <c r="N32" s="512"/>
      <c r="P32" s="518">
        <v>20</v>
      </c>
      <c r="Q32" s="519" t="s">
        <v>368</v>
      </c>
      <c r="R32" s="511"/>
      <c r="S32" s="512"/>
      <c r="T32" s="531" t="e">
        <f t="shared" si="5"/>
        <v>#REF!</v>
      </c>
      <c r="U32" s="527">
        <v>0</v>
      </c>
      <c r="V32" s="527">
        <v>1</v>
      </c>
      <c r="W32" s="527">
        <v>0</v>
      </c>
      <c r="X32" s="527">
        <v>0</v>
      </c>
      <c r="Y32" s="533" t="e">
        <f>IF(AND($A$1=0,$F$1&gt;0,$K$1=0,$P$1=0),$U$1&amp;$F$1&amp;$AA$30, "")</f>
        <v>#REF!</v>
      </c>
    </row>
    <row r="33" spans="1:25">
      <c r="A33" s="518">
        <v>21</v>
      </c>
      <c r="B33" s="519" t="s">
        <v>369</v>
      </c>
      <c r="C33" s="511"/>
      <c r="D33" s="512"/>
      <c r="E33" s="511"/>
      <c r="F33" s="518">
        <v>21</v>
      </c>
      <c r="G33" s="519" t="s">
        <v>369</v>
      </c>
      <c r="H33" s="511"/>
      <c r="I33" s="512"/>
      <c r="K33" s="518">
        <v>21</v>
      </c>
      <c r="L33" s="519" t="s">
        <v>369</v>
      </c>
      <c r="M33" s="511"/>
      <c r="N33" s="512"/>
      <c r="P33" s="518">
        <v>21</v>
      </c>
      <c r="Q33" s="519" t="s">
        <v>369</v>
      </c>
      <c r="R33" s="511"/>
      <c r="S33" s="512"/>
      <c r="T33" s="531" t="e">
        <f t="shared" si="5"/>
        <v>#REF!</v>
      </c>
      <c r="U33" s="527">
        <v>0</v>
      </c>
      <c r="V33" s="527">
        <v>1</v>
      </c>
      <c r="W33" s="527">
        <v>0</v>
      </c>
      <c r="X33" s="527">
        <v>1</v>
      </c>
      <c r="Y33" s="533" t="e">
        <f>IF(AND($A$1=0,$F$1&gt;0,$K$1=0,$P$1&gt;0),$U$1&amp;$F$1&amp;$AA$29&amp;$U$3&amp;$P$1&amp;$AA$30, "")</f>
        <v>#REF!</v>
      </c>
    </row>
    <row r="34" spans="1:25">
      <c r="A34" s="518">
        <v>22</v>
      </c>
      <c r="B34" s="519" t="s">
        <v>370</v>
      </c>
      <c r="C34" s="511"/>
      <c r="D34" s="512"/>
      <c r="E34" s="511"/>
      <c r="F34" s="518">
        <v>22</v>
      </c>
      <c r="G34" s="519" t="s">
        <v>370</v>
      </c>
      <c r="H34" s="511"/>
      <c r="I34" s="512"/>
      <c r="K34" s="518">
        <v>22</v>
      </c>
      <c r="L34" s="519" t="s">
        <v>370</v>
      </c>
      <c r="M34" s="511"/>
      <c r="N34" s="512"/>
      <c r="P34" s="518">
        <v>22</v>
      </c>
      <c r="Q34" s="519" t="s">
        <v>370</v>
      </c>
      <c r="R34" s="511"/>
      <c r="S34" s="512"/>
      <c r="T34" s="531" t="e">
        <f t="shared" si="5"/>
        <v>#REF!</v>
      </c>
      <c r="U34" s="527">
        <v>0</v>
      </c>
      <c r="V34" s="527">
        <v>1</v>
      </c>
      <c r="W34" s="527">
        <v>1</v>
      </c>
      <c r="X34" s="527">
        <v>0</v>
      </c>
      <c r="Y34" s="533" t="e">
        <f>IF(AND($A$1=0,$F$1&gt;0,$K$1&gt;0,$P$1=0),$U$1&amp;$F$1&amp;$AA$29&amp;$U$2&amp;$K$1, "")</f>
        <v>#REF!</v>
      </c>
    </row>
    <row r="35" spans="1:25">
      <c r="A35" s="518">
        <v>23</v>
      </c>
      <c r="B35" s="519" t="s">
        <v>371</v>
      </c>
      <c r="C35" s="511"/>
      <c r="D35" s="512"/>
      <c r="E35" s="511"/>
      <c r="F35" s="518">
        <v>23</v>
      </c>
      <c r="G35" s="519" t="s">
        <v>371</v>
      </c>
      <c r="H35" s="511"/>
      <c r="I35" s="512"/>
      <c r="K35" s="518">
        <v>23</v>
      </c>
      <c r="L35" s="519" t="s">
        <v>371</v>
      </c>
      <c r="M35" s="511"/>
      <c r="N35" s="512"/>
      <c r="P35" s="518">
        <v>23</v>
      </c>
      <c r="Q35" s="519" t="s">
        <v>371</v>
      </c>
      <c r="R35" s="511"/>
      <c r="S35" s="512"/>
      <c r="T35" s="531" t="e">
        <f t="shared" si="5"/>
        <v>#REF!</v>
      </c>
      <c r="U35" s="527">
        <v>0</v>
      </c>
      <c r="V35" s="527">
        <v>1</v>
      </c>
      <c r="W35" s="527">
        <v>1</v>
      </c>
      <c r="X35" s="527">
        <v>1</v>
      </c>
      <c r="Y35" s="534" t="e">
        <f>IF(AND($A$1=0,$F$1&gt;0,$K$1&gt;0,$P$1&gt;0),$U$1&amp;$F$1&amp;$AA$29&amp;$U$2&amp;$K$1&amp;$AA$29&amp;$U$3&amp;$P$1&amp;$AA$30, "")</f>
        <v>#REF!</v>
      </c>
    </row>
    <row r="36" spans="1:25">
      <c r="A36" s="518">
        <v>24</v>
      </c>
      <c r="B36" s="519" t="s">
        <v>372</v>
      </c>
      <c r="C36" s="511"/>
      <c r="D36" s="512"/>
      <c r="E36" s="511"/>
      <c r="F36" s="518">
        <v>24</v>
      </c>
      <c r="G36" s="519" t="s">
        <v>372</v>
      </c>
      <c r="H36" s="511"/>
      <c r="I36" s="512"/>
      <c r="K36" s="518">
        <v>24</v>
      </c>
      <c r="L36" s="519" t="s">
        <v>372</v>
      </c>
      <c r="M36" s="511"/>
      <c r="N36" s="512"/>
      <c r="P36" s="518">
        <v>24</v>
      </c>
      <c r="Q36" s="519" t="s">
        <v>372</v>
      </c>
      <c r="R36" s="511"/>
      <c r="S36" s="512"/>
      <c r="T36" s="531" t="e">
        <f t="shared" si="5"/>
        <v>#REF!</v>
      </c>
      <c r="U36" s="527">
        <v>1</v>
      </c>
      <c r="V36" s="527">
        <v>0</v>
      </c>
      <c r="W36" s="527">
        <v>0</v>
      </c>
      <c r="X36" s="527">
        <v>0</v>
      </c>
      <c r="Y36" s="532" t="e">
        <f>IF(AND($A$1&gt;0,$F$1=0,$K$1=0,$P$1=0),#REF!&amp; $A$1&amp;$AA$30, "")</f>
        <v>#REF!</v>
      </c>
    </row>
    <row r="37" spans="1:25">
      <c r="A37" s="518">
        <v>25</v>
      </c>
      <c r="B37" s="519" t="s">
        <v>373</v>
      </c>
      <c r="C37" s="511"/>
      <c r="D37" s="512"/>
      <c r="E37" s="511"/>
      <c r="F37" s="518">
        <v>25</v>
      </c>
      <c r="G37" s="519" t="s">
        <v>373</v>
      </c>
      <c r="H37" s="511"/>
      <c r="I37" s="512"/>
      <c r="K37" s="518">
        <v>25</v>
      </c>
      <c r="L37" s="519" t="s">
        <v>373</v>
      </c>
      <c r="M37" s="511"/>
      <c r="N37" s="512"/>
      <c r="P37" s="518">
        <v>25</v>
      </c>
      <c r="Q37" s="519" t="s">
        <v>373</v>
      </c>
      <c r="R37" s="511"/>
      <c r="S37" s="512"/>
      <c r="T37" s="531" t="e">
        <f t="shared" si="5"/>
        <v>#REF!</v>
      </c>
      <c r="U37" s="527">
        <v>1</v>
      </c>
      <c r="V37" s="527">
        <v>0</v>
      </c>
      <c r="W37" s="527">
        <v>0</v>
      </c>
      <c r="X37" s="527">
        <v>1</v>
      </c>
      <c r="Y37" s="533" t="e">
        <f>IF(AND($A$1&gt;0,$F$1=0,$K$1=0,$P$1&gt;0),#REF!&amp;$A$1&amp;$AA$29&amp;$U$3&amp;$P$1&amp;$AA$30, "")</f>
        <v>#REF!</v>
      </c>
    </row>
    <row r="38" spans="1:25">
      <c r="A38" s="518">
        <v>26</v>
      </c>
      <c r="B38" s="519" t="s">
        <v>374</v>
      </c>
      <c r="C38" s="511"/>
      <c r="D38" s="512"/>
      <c r="E38" s="511"/>
      <c r="F38" s="518">
        <v>26</v>
      </c>
      <c r="G38" s="519" t="s">
        <v>374</v>
      </c>
      <c r="H38" s="511"/>
      <c r="I38" s="512"/>
      <c r="K38" s="518">
        <v>26</v>
      </c>
      <c r="L38" s="519" t="s">
        <v>374</v>
      </c>
      <c r="M38" s="511"/>
      <c r="N38" s="512"/>
      <c r="P38" s="518">
        <v>26</v>
      </c>
      <c r="Q38" s="519" t="s">
        <v>374</v>
      </c>
      <c r="R38" s="511"/>
      <c r="S38" s="512"/>
      <c r="T38" s="531" t="e">
        <f t="shared" si="5"/>
        <v>#REF!</v>
      </c>
      <c r="U38" s="527">
        <v>1</v>
      </c>
      <c r="V38" s="527">
        <v>0</v>
      </c>
      <c r="W38" s="527">
        <v>1</v>
      </c>
      <c r="X38" s="527">
        <v>0</v>
      </c>
      <c r="Y38" s="533" t="e">
        <f>IF(AND($A$1&gt;0,$F$1=0,$K$1&gt;0,$P$1=0),#REF!&amp;$A$1&amp;$AA$29&amp;$U$2&amp;$K$1, "")</f>
        <v>#REF!</v>
      </c>
    </row>
    <row r="39" spans="1:25">
      <c r="A39" s="518">
        <v>27</v>
      </c>
      <c r="B39" s="519" t="s">
        <v>375</v>
      </c>
      <c r="C39" s="511"/>
      <c r="D39" s="512"/>
      <c r="E39" s="511"/>
      <c r="F39" s="518">
        <v>27</v>
      </c>
      <c r="G39" s="519" t="s">
        <v>375</v>
      </c>
      <c r="H39" s="511"/>
      <c r="I39" s="512"/>
      <c r="K39" s="518">
        <v>27</v>
      </c>
      <c r="L39" s="519" t="s">
        <v>375</v>
      </c>
      <c r="M39" s="511"/>
      <c r="N39" s="512"/>
      <c r="P39" s="518">
        <v>27</v>
      </c>
      <c r="Q39" s="519" t="s">
        <v>375</v>
      </c>
      <c r="R39" s="511"/>
      <c r="S39" s="512"/>
      <c r="T39" s="531" t="e">
        <f t="shared" si="5"/>
        <v>#REF!</v>
      </c>
      <c r="U39" s="527">
        <v>1</v>
      </c>
      <c r="V39" s="527">
        <v>0</v>
      </c>
      <c r="W39" s="527">
        <v>1</v>
      </c>
      <c r="X39" s="527">
        <v>1</v>
      </c>
      <c r="Y39" s="533" t="e">
        <f>IF(AND($A$1&gt;0,$F$1=0,$K$1&gt;0,$P$1&gt;0),#REF!&amp;$A$1&amp;$AA$29&amp;$U$2&amp;$K$1&amp;$AA$29&amp;$U$3&amp;$P$1&amp;$AA$30, "")</f>
        <v>#REF!</v>
      </c>
    </row>
    <row r="40" spans="1:25">
      <c r="A40" s="518">
        <v>28</v>
      </c>
      <c r="B40" s="519" t="s">
        <v>376</v>
      </c>
      <c r="C40" s="511"/>
      <c r="D40" s="512"/>
      <c r="E40" s="511"/>
      <c r="F40" s="518">
        <v>28</v>
      </c>
      <c r="G40" s="519" t="s">
        <v>376</v>
      </c>
      <c r="H40" s="511"/>
      <c r="I40" s="512"/>
      <c r="K40" s="518">
        <v>28</v>
      </c>
      <c r="L40" s="519" t="s">
        <v>376</v>
      </c>
      <c r="M40" s="511"/>
      <c r="N40" s="512"/>
      <c r="P40" s="518">
        <v>28</v>
      </c>
      <c r="Q40" s="519" t="s">
        <v>376</v>
      </c>
      <c r="R40" s="511"/>
      <c r="S40" s="512"/>
      <c r="T40" s="531" t="e">
        <f t="shared" si="5"/>
        <v>#REF!</v>
      </c>
      <c r="U40" s="527">
        <v>1</v>
      </c>
      <c r="V40" s="527">
        <v>1</v>
      </c>
      <c r="W40" s="527">
        <v>0</v>
      </c>
      <c r="X40" s="527">
        <v>0</v>
      </c>
      <c r="Y40" s="533" t="e">
        <f>IF(AND($A$1&gt;0,$F$1&gt;0,$K$1=0,$P$1=0),#REF!&amp;$A$1&amp;$AA$29&amp;$U$1&amp;$F$1, "")</f>
        <v>#REF!</v>
      </c>
    </row>
    <row r="41" spans="1:25">
      <c r="A41" s="518">
        <v>29</v>
      </c>
      <c r="B41" s="519" t="s">
        <v>377</v>
      </c>
      <c r="C41" s="511"/>
      <c r="D41" s="512"/>
      <c r="E41" s="511"/>
      <c r="F41" s="518">
        <v>29</v>
      </c>
      <c r="G41" s="519" t="s">
        <v>377</v>
      </c>
      <c r="H41" s="511"/>
      <c r="I41" s="512"/>
      <c r="K41" s="518">
        <v>29</v>
      </c>
      <c r="L41" s="519" t="s">
        <v>377</v>
      </c>
      <c r="M41" s="511"/>
      <c r="N41" s="512"/>
      <c r="P41" s="518">
        <v>29</v>
      </c>
      <c r="Q41" s="519" t="s">
        <v>377</v>
      </c>
      <c r="R41" s="511"/>
      <c r="S41" s="512"/>
      <c r="T41" s="531" t="e">
        <f t="shared" si="5"/>
        <v>#REF!</v>
      </c>
      <c r="U41" s="527">
        <v>1</v>
      </c>
      <c r="V41" s="527">
        <v>1</v>
      </c>
      <c r="W41" s="527">
        <v>0</v>
      </c>
      <c r="X41" s="527">
        <v>1</v>
      </c>
      <c r="Y41" s="533" t="e">
        <f>IF(AND($A$1&gt;0,$F$1&gt;0,$K$1=0,$P$1&gt;0),#REF!&amp;$A$1&amp;$AA$29&amp;$U$1&amp;$F$1&amp;$AA$29&amp;$U$3&amp;$P$1&amp;$AA$30, "")</f>
        <v>#REF!</v>
      </c>
    </row>
    <row r="42" spans="1:25">
      <c r="A42" s="518">
        <v>30</v>
      </c>
      <c r="B42" s="519" t="s">
        <v>378</v>
      </c>
      <c r="C42" s="511"/>
      <c r="D42" s="512"/>
      <c r="E42" s="511"/>
      <c r="F42" s="518">
        <v>30</v>
      </c>
      <c r="G42" s="519" t="s">
        <v>378</v>
      </c>
      <c r="H42" s="511"/>
      <c r="I42" s="512"/>
      <c r="K42" s="518">
        <v>30</v>
      </c>
      <c r="L42" s="519" t="s">
        <v>378</v>
      </c>
      <c r="M42" s="511"/>
      <c r="N42" s="512"/>
      <c r="P42" s="518">
        <v>30</v>
      </c>
      <c r="Q42" s="519" t="s">
        <v>378</v>
      </c>
      <c r="R42" s="511"/>
      <c r="S42" s="512"/>
      <c r="T42" s="531" t="e">
        <f t="shared" si="5"/>
        <v>#REF!</v>
      </c>
      <c r="U42" s="527">
        <v>1</v>
      </c>
      <c r="V42" s="527">
        <v>1</v>
      </c>
      <c r="W42" s="527">
        <v>1</v>
      </c>
      <c r="X42" s="527">
        <v>0</v>
      </c>
      <c r="Y42" s="533" t="e">
        <f>IF(AND($A$1&gt;0,$F$1&gt;0,$K$1&gt;0,$P$1=0),#REF!&amp;$A$1&amp;$AA$29&amp;$U$1&amp;$F$1&amp;$AA$29&amp;$U$2&amp;$K$1, "")</f>
        <v>#REF!</v>
      </c>
    </row>
    <row r="43" spans="1:25">
      <c r="A43" s="518">
        <v>31</v>
      </c>
      <c r="B43" s="519" t="s">
        <v>379</v>
      </c>
      <c r="C43" s="511"/>
      <c r="D43" s="512"/>
      <c r="E43" s="511"/>
      <c r="F43" s="518">
        <v>31</v>
      </c>
      <c r="G43" s="519" t="s">
        <v>379</v>
      </c>
      <c r="H43" s="511"/>
      <c r="I43" s="512"/>
      <c r="K43" s="518">
        <v>31</v>
      </c>
      <c r="L43" s="519" t="s">
        <v>379</v>
      </c>
      <c r="M43" s="511"/>
      <c r="N43" s="512"/>
      <c r="P43" s="518">
        <v>31</v>
      </c>
      <c r="Q43" s="519" t="s">
        <v>379</v>
      </c>
      <c r="R43" s="511"/>
      <c r="S43" s="512"/>
      <c r="T43" s="531" t="e">
        <f t="shared" si="5"/>
        <v>#REF!</v>
      </c>
      <c r="U43" s="527">
        <v>1</v>
      </c>
      <c r="V43" s="527">
        <v>1</v>
      </c>
      <c r="W43" s="527">
        <v>1</v>
      </c>
      <c r="X43" s="527">
        <v>1</v>
      </c>
      <c r="Y43" s="534" t="e">
        <f>IF(AND($A$1&gt;0,$F$1&gt;0,$K$1&gt;0,$P$1&gt;0),#REF!&amp;$A$1&amp;$AA$29&amp;$U$1&amp;$F$1&amp;$AA$29&amp;$U$2&amp;$K$1&amp;$AA$29&amp;$U$3&amp;$P$1&amp;$AA$30, "")</f>
        <v>#REF!</v>
      </c>
    </row>
    <row r="44" spans="1:25">
      <c r="A44" s="518">
        <v>32</v>
      </c>
      <c r="B44" s="519" t="s">
        <v>380</v>
      </c>
      <c r="C44" s="511"/>
      <c r="D44" s="512"/>
      <c r="E44" s="511"/>
      <c r="F44" s="518">
        <v>32</v>
      </c>
      <c r="G44" s="519" t="s">
        <v>380</v>
      </c>
      <c r="H44" s="511"/>
      <c r="I44" s="512"/>
      <c r="K44" s="518">
        <v>32</v>
      </c>
      <c r="L44" s="519" t="s">
        <v>380</v>
      </c>
      <c r="M44" s="511"/>
      <c r="N44" s="512"/>
      <c r="P44" s="518">
        <v>32</v>
      </c>
      <c r="Q44" s="519" t="s">
        <v>380</v>
      </c>
      <c r="R44" s="511"/>
      <c r="S44" s="512"/>
    </row>
    <row r="45" spans="1:25">
      <c r="A45" s="518">
        <v>33</v>
      </c>
      <c r="B45" s="519" t="s">
        <v>381</v>
      </c>
      <c r="C45" s="511"/>
      <c r="D45" s="512"/>
      <c r="E45" s="511"/>
      <c r="F45" s="518">
        <v>33</v>
      </c>
      <c r="G45" s="519" t="s">
        <v>381</v>
      </c>
      <c r="H45" s="511"/>
      <c r="I45" s="512"/>
      <c r="K45" s="518">
        <v>33</v>
      </c>
      <c r="L45" s="519" t="s">
        <v>381</v>
      </c>
      <c r="M45" s="511"/>
      <c r="N45" s="512"/>
      <c r="P45" s="518">
        <v>33</v>
      </c>
      <c r="Q45" s="519" t="s">
        <v>381</v>
      </c>
      <c r="R45" s="511"/>
      <c r="S45" s="512"/>
    </row>
    <row r="46" spans="1:25">
      <c r="A46" s="518">
        <v>34</v>
      </c>
      <c r="B46" s="519" t="s">
        <v>382</v>
      </c>
      <c r="C46" s="511"/>
      <c r="D46" s="512"/>
      <c r="E46" s="511"/>
      <c r="F46" s="518">
        <v>34</v>
      </c>
      <c r="G46" s="519" t="s">
        <v>382</v>
      </c>
      <c r="H46" s="511"/>
      <c r="I46" s="512"/>
      <c r="K46" s="518">
        <v>34</v>
      </c>
      <c r="L46" s="519" t="s">
        <v>382</v>
      </c>
      <c r="M46" s="511"/>
      <c r="N46" s="512"/>
      <c r="P46" s="518">
        <v>34</v>
      </c>
      <c r="Q46" s="519" t="s">
        <v>382</v>
      </c>
      <c r="R46" s="511"/>
      <c r="S46" s="512"/>
    </row>
    <row r="47" spans="1:25">
      <c r="A47" s="518">
        <v>35</v>
      </c>
      <c r="B47" s="519" t="s">
        <v>383</v>
      </c>
      <c r="C47" s="511"/>
      <c r="D47" s="512"/>
      <c r="E47" s="511"/>
      <c r="F47" s="518">
        <v>35</v>
      </c>
      <c r="G47" s="519" t="s">
        <v>383</v>
      </c>
      <c r="H47" s="511"/>
      <c r="I47" s="512"/>
      <c r="K47" s="518">
        <v>35</v>
      </c>
      <c r="L47" s="519" t="s">
        <v>383</v>
      </c>
      <c r="M47" s="511"/>
      <c r="N47" s="512"/>
      <c r="P47" s="518">
        <v>35</v>
      </c>
      <c r="Q47" s="519" t="s">
        <v>383</v>
      </c>
      <c r="R47" s="511"/>
      <c r="S47" s="512"/>
    </row>
    <row r="48" spans="1:25">
      <c r="A48" s="518">
        <v>36</v>
      </c>
      <c r="B48" s="519" t="s">
        <v>384</v>
      </c>
      <c r="C48" s="511"/>
      <c r="D48" s="512"/>
      <c r="E48" s="511"/>
      <c r="F48" s="518">
        <v>36</v>
      </c>
      <c r="G48" s="519" t="s">
        <v>384</v>
      </c>
      <c r="H48" s="511"/>
      <c r="I48" s="512"/>
      <c r="K48" s="518">
        <v>36</v>
      </c>
      <c r="L48" s="519" t="s">
        <v>384</v>
      </c>
      <c r="M48" s="511"/>
      <c r="N48" s="512"/>
      <c r="P48" s="518">
        <v>36</v>
      </c>
      <c r="Q48" s="519" t="s">
        <v>384</v>
      </c>
      <c r="R48" s="511"/>
      <c r="S48" s="512"/>
    </row>
    <row r="49" spans="1:19">
      <c r="A49" s="518">
        <v>37</v>
      </c>
      <c r="B49" s="519" t="s">
        <v>385</v>
      </c>
      <c r="C49" s="511"/>
      <c r="D49" s="512"/>
      <c r="E49" s="511"/>
      <c r="F49" s="518">
        <v>37</v>
      </c>
      <c r="G49" s="519" t="s">
        <v>385</v>
      </c>
      <c r="H49" s="511"/>
      <c r="I49" s="512"/>
      <c r="K49" s="518">
        <v>37</v>
      </c>
      <c r="L49" s="519" t="s">
        <v>385</v>
      </c>
      <c r="M49" s="511"/>
      <c r="N49" s="512"/>
      <c r="P49" s="518">
        <v>37</v>
      </c>
      <c r="Q49" s="519" t="s">
        <v>385</v>
      </c>
      <c r="R49" s="511"/>
      <c r="S49" s="512"/>
    </row>
    <row r="50" spans="1:19">
      <c r="A50" s="518">
        <v>38</v>
      </c>
      <c r="B50" s="519" t="s">
        <v>386</v>
      </c>
      <c r="C50" s="511"/>
      <c r="D50" s="512"/>
      <c r="E50" s="511"/>
      <c r="F50" s="518">
        <v>38</v>
      </c>
      <c r="G50" s="519" t="s">
        <v>386</v>
      </c>
      <c r="H50" s="511"/>
      <c r="I50" s="512"/>
      <c r="K50" s="518">
        <v>38</v>
      </c>
      <c r="L50" s="519" t="s">
        <v>386</v>
      </c>
      <c r="M50" s="511"/>
      <c r="N50" s="512"/>
      <c r="P50" s="518">
        <v>38</v>
      </c>
      <c r="Q50" s="519" t="s">
        <v>386</v>
      </c>
      <c r="R50" s="511"/>
      <c r="S50" s="512"/>
    </row>
    <row r="51" spans="1:19">
      <c r="A51" s="518">
        <v>39</v>
      </c>
      <c r="B51" s="519" t="s">
        <v>387</v>
      </c>
      <c r="C51" s="511"/>
      <c r="D51" s="512"/>
      <c r="E51" s="511"/>
      <c r="F51" s="518">
        <v>39</v>
      </c>
      <c r="G51" s="519" t="s">
        <v>387</v>
      </c>
      <c r="H51" s="511"/>
      <c r="I51" s="512"/>
      <c r="K51" s="518">
        <v>39</v>
      </c>
      <c r="L51" s="519" t="s">
        <v>387</v>
      </c>
      <c r="M51" s="511"/>
      <c r="N51" s="512"/>
      <c r="P51" s="518">
        <v>39</v>
      </c>
      <c r="Q51" s="519" t="s">
        <v>387</v>
      </c>
      <c r="R51" s="511"/>
      <c r="S51" s="512"/>
    </row>
    <row r="52" spans="1:19">
      <c r="A52" s="518">
        <v>40</v>
      </c>
      <c r="B52" s="519" t="s">
        <v>388</v>
      </c>
      <c r="C52" s="511"/>
      <c r="D52" s="512"/>
      <c r="E52" s="511"/>
      <c r="F52" s="518">
        <v>40</v>
      </c>
      <c r="G52" s="519" t="s">
        <v>388</v>
      </c>
      <c r="H52" s="511"/>
      <c r="I52" s="512"/>
      <c r="K52" s="518">
        <v>40</v>
      </c>
      <c r="L52" s="519" t="s">
        <v>388</v>
      </c>
      <c r="M52" s="511"/>
      <c r="N52" s="512"/>
      <c r="P52" s="518">
        <v>40</v>
      </c>
      <c r="Q52" s="519" t="s">
        <v>388</v>
      </c>
      <c r="R52" s="511"/>
      <c r="S52" s="512"/>
    </row>
    <row r="53" spans="1:19">
      <c r="A53" s="518">
        <v>41</v>
      </c>
      <c r="B53" s="519" t="s">
        <v>389</v>
      </c>
      <c r="C53" s="511"/>
      <c r="D53" s="512"/>
      <c r="E53" s="511"/>
      <c r="F53" s="518">
        <v>41</v>
      </c>
      <c r="G53" s="519" t="s">
        <v>389</v>
      </c>
      <c r="H53" s="511"/>
      <c r="I53" s="512"/>
      <c r="K53" s="518">
        <v>41</v>
      </c>
      <c r="L53" s="519" t="s">
        <v>389</v>
      </c>
      <c r="M53" s="511"/>
      <c r="N53" s="512"/>
      <c r="P53" s="518">
        <v>41</v>
      </c>
      <c r="Q53" s="519" t="s">
        <v>389</v>
      </c>
      <c r="R53" s="511"/>
      <c r="S53" s="512"/>
    </row>
    <row r="54" spans="1:19">
      <c r="A54" s="518">
        <v>42</v>
      </c>
      <c r="B54" s="519" t="s">
        <v>390</v>
      </c>
      <c r="C54" s="511"/>
      <c r="D54" s="512"/>
      <c r="E54" s="511"/>
      <c r="F54" s="518">
        <v>42</v>
      </c>
      <c r="G54" s="519" t="s">
        <v>390</v>
      </c>
      <c r="H54" s="511"/>
      <c r="I54" s="512"/>
      <c r="K54" s="518">
        <v>42</v>
      </c>
      <c r="L54" s="519" t="s">
        <v>390</v>
      </c>
      <c r="M54" s="511"/>
      <c r="N54" s="512"/>
      <c r="P54" s="518">
        <v>42</v>
      </c>
      <c r="Q54" s="519" t="s">
        <v>390</v>
      </c>
      <c r="R54" s="511"/>
      <c r="S54" s="512"/>
    </row>
    <row r="55" spans="1:19">
      <c r="A55" s="518">
        <v>43</v>
      </c>
      <c r="B55" s="519" t="s">
        <v>391</v>
      </c>
      <c r="C55" s="511"/>
      <c r="D55" s="512"/>
      <c r="E55" s="511"/>
      <c r="F55" s="518">
        <v>43</v>
      </c>
      <c r="G55" s="519" t="s">
        <v>391</v>
      </c>
      <c r="H55" s="511"/>
      <c r="I55" s="512"/>
      <c r="K55" s="518">
        <v>43</v>
      </c>
      <c r="L55" s="519" t="s">
        <v>391</v>
      </c>
      <c r="M55" s="511"/>
      <c r="N55" s="512"/>
      <c r="P55" s="518">
        <v>43</v>
      </c>
      <c r="Q55" s="519" t="s">
        <v>391</v>
      </c>
      <c r="R55" s="511"/>
      <c r="S55" s="512"/>
    </row>
    <row r="56" spans="1:19">
      <c r="A56" s="518">
        <v>44</v>
      </c>
      <c r="B56" s="519" t="s">
        <v>392</v>
      </c>
      <c r="C56" s="511"/>
      <c r="D56" s="512"/>
      <c r="E56" s="511"/>
      <c r="F56" s="518">
        <v>44</v>
      </c>
      <c r="G56" s="519" t="s">
        <v>392</v>
      </c>
      <c r="H56" s="511"/>
      <c r="I56" s="512"/>
      <c r="K56" s="518">
        <v>44</v>
      </c>
      <c r="L56" s="519" t="s">
        <v>392</v>
      </c>
      <c r="M56" s="511"/>
      <c r="N56" s="512"/>
      <c r="P56" s="518">
        <v>44</v>
      </c>
      <c r="Q56" s="519" t="s">
        <v>392</v>
      </c>
      <c r="R56" s="511"/>
      <c r="S56" s="512"/>
    </row>
    <row r="57" spans="1:19">
      <c r="A57" s="518">
        <v>45</v>
      </c>
      <c r="B57" s="519" t="s">
        <v>393</v>
      </c>
      <c r="C57" s="511"/>
      <c r="D57" s="512"/>
      <c r="E57" s="511"/>
      <c r="F57" s="518">
        <v>45</v>
      </c>
      <c r="G57" s="519" t="s">
        <v>393</v>
      </c>
      <c r="H57" s="511"/>
      <c r="I57" s="512"/>
      <c r="K57" s="518">
        <v>45</v>
      </c>
      <c r="L57" s="519" t="s">
        <v>393</v>
      </c>
      <c r="M57" s="511"/>
      <c r="N57" s="512"/>
      <c r="P57" s="518">
        <v>45</v>
      </c>
      <c r="Q57" s="519" t="s">
        <v>393</v>
      </c>
      <c r="R57" s="511"/>
      <c r="S57" s="512"/>
    </row>
    <row r="58" spans="1:19">
      <c r="A58" s="518">
        <v>46</v>
      </c>
      <c r="B58" s="519" t="s">
        <v>394</v>
      </c>
      <c r="C58" s="511"/>
      <c r="D58" s="512"/>
      <c r="E58" s="511"/>
      <c r="F58" s="518">
        <v>46</v>
      </c>
      <c r="G58" s="519" t="s">
        <v>394</v>
      </c>
      <c r="H58" s="511"/>
      <c r="I58" s="512"/>
      <c r="K58" s="518">
        <v>46</v>
      </c>
      <c r="L58" s="519" t="s">
        <v>394</v>
      </c>
      <c r="M58" s="511"/>
      <c r="N58" s="512"/>
      <c r="P58" s="518">
        <v>46</v>
      </c>
      <c r="Q58" s="519" t="s">
        <v>394</v>
      </c>
      <c r="R58" s="511"/>
      <c r="S58" s="512"/>
    </row>
    <row r="59" spans="1:19">
      <c r="A59" s="518">
        <v>47</v>
      </c>
      <c r="B59" s="519" t="s">
        <v>395</v>
      </c>
      <c r="C59" s="511"/>
      <c r="D59" s="512"/>
      <c r="E59" s="511"/>
      <c r="F59" s="518">
        <v>47</v>
      </c>
      <c r="G59" s="519" t="s">
        <v>395</v>
      </c>
      <c r="H59" s="511"/>
      <c r="I59" s="512"/>
      <c r="K59" s="518">
        <v>47</v>
      </c>
      <c r="L59" s="519" t="s">
        <v>395</v>
      </c>
      <c r="M59" s="511"/>
      <c r="N59" s="512"/>
      <c r="P59" s="518">
        <v>47</v>
      </c>
      <c r="Q59" s="519" t="s">
        <v>395</v>
      </c>
      <c r="R59" s="511"/>
      <c r="S59" s="512"/>
    </row>
    <row r="60" spans="1:19">
      <c r="A60" s="518">
        <v>48</v>
      </c>
      <c r="B60" s="519" t="s">
        <v>396</v>
      </c>
      <c r="C60" s="511"/>
      <c r="D60" s="512"/>
      <c r="E60" s="511"/>
      <c r="F60" s="518">
        <v>48</v>
      </c>
      <c r="G60" s="519" t="s">
        <v>396</v>
      </c>
      <c r="H60" s="511"/>
      <c r="I60" s="512"/>
      <c r="K60" s="518">
        <v>48</v>
      </c>
      <c r="L60" s="519" t="s">
        <v>396</v>
      </c>
      <c r="M60" s="511"/>
      <c r="N60" s="512"/>
      <c r="P60" s="518">
        <v>48</v>
      </c>
      <c r="Q60" s="519" t="s">
        <v>396</v>
      </c>
      <c r="R60" s="511"/>
      <c r="S60" s="512"/>
    </row>
    <row r="61" spans="1:19">
      <c r="A61" s="518">
        <v>49</v>
      </c>
      <c r="B61" s="519" t="s">
        <v>397</v>
      </c>
      <c r="C61" s="511"/>
      <c r="D61" s="512"/>
      <c r="E61" s="511"/>
      <c r="F61" s="518">
        <v>49</v>
      </c>
      <c r="G61" s="519" t="s">
        <v>397</v>
      </c>
      <c r="H61" s="511"/>
      <c r="I61" s="512"/>
      <c r="K61" s="518">
        <v>49</v>
      </c>
      <c r="L61" s="519" t="s">
        <v>397</v>
      </c>
      <c r="M61" s="511"/>
      <c r="N61" s="512"/>
      <c r="P61" s="518">
        <v>49</v>
      </c>
      <c r="Q61" s="519" t="s">
        <v>397</v>
      </c>
      <c r="R61" s="511"/>
      <c r="S61" s="512"/>
    </row>
    <row r="62" spans="1:19">
      <c r="A62" s="518">
        <v>50</v>
      </c>
      <c r="B62" s="519" t="s">
        <v>398</v>
      </c>
      <c r="C62" s="511"/>
      <c r="D62" s="512"/>
      <c r="E62" s="511"/>
      <c r="F62" s="518">
        <v>50</v>
      </c>
      <c r="G62" s="519" t="s">
        <v>398</v>
      </c>
      <c r="H62" s="511"/>
      <c r="I62" s="512"/>
      <c r="K62" s="518">
        <v>50</v>
      </c>
      <c r="L62" s="519" t="s">
        <v>398</v>
      </c>
      <c r="M62" s="511"/>
      <c r="N62" s="512"/>
      <c r="P62" s="518">
        <v>50</v>
      </c>
      <c r="Q62" s="519" t="s">
        <v>398</v>
      </c>
      <c r="R62" s="511"/>
      <c r="S62" s="512"/>
    </row>
    <row r="63" spans="1:19">
      <c r="A63" s="518">
        <v>51</v>
      </c>
      <c r="B63" s="519" t="s">
        <v>399</v>
      </c>
      <c r="C63" s="511"/>
      <c r="D63" s="512"/>
      <c r="E63" s="511"/>
      <c r="F63" s="518">
        <v>51</v>
      </c>
      <c r="G63" s="519" t="s">
        <v>399</v>
      </c>
      <c r="H63" s="511"/>
      <c r="I63" s="512"/>
      <c r="K63" s="518">
        <v>51</v>
      </c>
      <c r="L63" s="519" t="s">
        <v>399</v>
      </c>
      <c r="M63" s="511"/>
      <c r="N63" s="512"/>
      <c r="P63" s="518">
        <v>51</v>
      </c>
      <c r="Q63" s="519" t="s">
        <v>399</v>
      </c>
      <c r="R63" s="511"/>
      <c r="S63" s="512"/>
    </row>
    <row r="64" spans="1:19">
      <c r="A64" s="518">
        <v>52</v>
      </c>
      <c r="B64" s="519" t="s">
        <v>400</v>
      </c>
      <c r="C64" s="511"/>
      <c r="D64" s="512"/>
      <c r="E64" s="511"/>
      <c r="F64" s="518">
        <v>52</v>
      </c>
      <c r="G64" s="519" t="s">
        <v>400</v>
      </c>
      <c r="H64" s="511"/>
      <c r="I64" s="512"/>
      <c r="K64" s="518">
        <v>52</v>
      </c>
      <c r="L64" s="519" t="s">
        <v>400</v>
      </c>
      <c r="M64" s="511"/>
      <c r="N64" s="512"/>
      <c r="P64" s="518">
        <v>52</v>
      </c>
      <c r="Q64" s="519" t="s">
        <v>400</v>
      </c>
      <c r="R64" s="511"/>
      <c r="S64" s="512"/>
    </row>
    <row r="65" spans="1:19">
      <c r="A65" s="518">
        <v>53</v>
      </c>
      <c r="B65" s="519" t="s">
        <v>401</v>
      </c>
      <c r="C65" s="511"/>
      <c r="D65" s="512"/>
      <c r="E65" s="511"/>
      <c r="F65" s="518">
        <v>53</v>
      </c>
      <c r="G65" s="519" t="s">
        <v>401</v>
      </c>
      <c r="H65" s="511"/>
      <c r="I65" s="512"/>
      <c r="K65" s="518">
        <v>53</v>
      </c>
      <c r="L65" s="519" t="s">
        <v>401</v>
      </c>
      <c r="M65" s="511"/>
      <c r="N65" s="512"/>
      <c r="P65" s="518">
        <v>53</v>
      </c>
      <c r="Q65" s="519" t="s">
        <v>401</v>
      </c>
      <c r="R65" s="511"/>
      <c r="S65" s="512"/>
    </row>
    <row r="66" spans="1:19">
      <c r="A66" s="518">
        <v>54</v>
      </c>
      <c r="B66" s="519" t="s">
        <v>402</v>
      </c>
      <c r="C66" s="511"/>
      <c r="D66" s="512"/>
      <c r="E66" s="511"/>
      <c r="F66" s="518">
        <v>54</v>
      </c>
      <c r="G66" s="519" t="s">
        <v>402</v>
      </c>
      <c r="H66" s="511"/>
      <c r="I66" s="512"/>
      <c r="K66" s="518">
        <v>54</v>
      </c>
      <c r="L66" s="519" t="s">
        <v>402</v>
      </c>
      <c r="M66" s="511"/>
      <c r="N66" s="512"/>
      <c r="P66" s="518">
        <v>54</v>
      </c>
      <c r="Q66" s="519" t="s">
        <v>402</v>
      </c>
      <c r="R66" s="511"/>
      <c r="S66" s="512"/>
    </row>
    <row r="67" spans="1:19">
      <c r="A67" s="518">
        <v>55</v>
      </c>
      <c r="B67" s="519" t="s">
        <v>403</v>
      </c>
      <c r="C67" s="511"/>
      <c r="D67" s="512"/>
      <c r="E67" s="511"/>
      <c r="F67" s="518">
        <v>55</v>
      </c>
      <c r="G67" s="519" t="s">
        <v>403</v>
      </c>
      <c r="H67" s="511"/>
      <c r="I67" s="512"/>
      <c r="K67" s="518">
        <v>55</v>
      </c>
      <c r="L67" s="519" t="s">
        <v>403</v>
      </c>
      <c r="M67" s="511"/>
      <c r="N67" s="512"/>
      <c r="P67" s="518">
        <v>55</v>
      </c>
      <c r="Q67" s="519" t="s">
        <v>403</v>
      </c>
      <c r="R67" s="511"/>
      <c r="S67" s="512"/>
    </row>
    <row r="68" spans="1:19">
      <c r="A68" s="518">
        <v>56</v>
      </c>
      <c r="B68" s="519" t="s">
        <v>404</v>
      </c>
      <c r="C68" s="511"/>
      <c r="D68" s="512"/>
      <c r="E68" s="511"/>
      <c r="F68" s="518">
        <v>56</v>
      </c>
      <c r="G68" s="519" t="s">
        <v>404</v>
      </c>
      <c r="H68" s="511"/>
      <c r="I68" s="512"/>
      <c r="K68" s="518">
        <v>56</v>
      </c>
      <c r="L68" s="519" t="s">
        <v>404</v>
      </c>
      <c r="M68" s="511"/>
      <c r="N68" s="512"/>
      <c r="P68" s="518">
        <v>56</v>
      </c>
      <c r="Q68" s="519" t="s">
        <v>404</v>
      </c>
      <c r="R68" s="511"/>
      <c r="S68" s="512"/>
    </row>
    <row r="69" spans="1:19">
      <c r="A69" s="518">
        <v>57</v>
      </c>
      <c r="B69" s="519" t="s">
        <v>405</v>
      </c>
      <c r="C69" s="511"/>
      <c r="D69" s="512"/>
      <c r="E69" s="511"/>
      <c r="F69" s="518">
        <v>57</v>
      </c>
      <c r="G69" s="519" t="s">
        <v>405</v>
      </c>
      <c r="H69" s="511"/>
      <c r="I69" s="512"/>
      <c r="K69" s="518">
        <v>57</v>
      </c>
      <c r="L69" s="519" t="s">
        <v>405</v>
      </c>
      <c r="M69" s="511"/>
      <c r="N69" s="512"/>
      <c r="P69" s="518">
        <v>57</v>
      </c>
      <c r="Q69" s="519" t="s">
        <v>405</v>
      </c>
      <c r="R69" s="511"/>
      <c r="S69" s="512"/>
    </row>
    <row r="70" spans="1:19">
      <c r="A70" s="518">
        <v>58</v>
      </c>
      <c r="B70" s="519" t="s">
        <v>406</v>
      </c>
      <c r="C70" s="511"/>
      <c r="D70" s="512"/>
      <c r="E70" s="511"/>
      <c r="F70" s="518">
        <v>58</v>
      </c>
      <c r="G70" s="519" t="s">
        <v>406</v>
      </c>
      <c r="H70" s="511"/>
      <c r="I70" s="512"/>
      <c r="K70" s="518">
        <v>58</v>
      </c>
      <c r="L70" s="519" t="s">
        <v>406</v>
      </c>
      <c r="M70" s="511"/>
      <c r="N70" s="512"/>
      <c r="P70" s="518">
        <v>58</v>
      </c>
      <c r="Q70" s="519" t="s">
        <v>406</v>
      </c>
      <c r="R70" s="511"/>
      <c r="S70" s="512"/>
    </row>
    <row r="71" spans="1:19">
      <c r="A71" s="518">
        <v>59</v>
      </c>
      <c r="B71" s="519" t="s">
        <v>407</v>
      </c>
      <c r="C71" s="511"/>
      <c r="D71" s="512"/>
      <c r="E71" s="511"/>
      <c r="F71" s="518">
        <v>59</v>
      </c>
      <c r="G71" s="519" t="s">
        <v>407</v>
      </c>
      <c r="H71" s="511"/>
      <c r="I71" s="512"/>
      <c r="K71" s="518">
        <v>59</v>
      </c>
      <c r="L71" s="519" t="s">
        <v>407</v>
      </c>
      <c r="M71" s="511"/>
      <c r="N71" s="512"/>
      <c r="P71" s="518">
        <v>59</v>
      </c>
      <c r="Q71" s="519" t="s">
        <v>407</v>
      </c>
      <c r="R71" s="511"/>
      <c r="S71" s="512"/>
    </row>
    <row r="72" spans="1:19">
      <c r="A72" s="518">
        <v>60</v>
      </c>
      <c r="B72" s="519" t="s">
        <v>408</v>
      </c>
      <c r="C72" s="511"/>
      <c r="D72" s="512"/>
      <c r="E72" s="511"/>
      <c r="F72" s="518">
        <v>60</v>
      </c>
      <c r="G72" s="519" t="s">
        <v>408</v>
      </c>
      <c r="H72" s="511"/>
      <c r="I72" s="512"/>
      <c r="K72" s="518">
        <v>60</v>
      </c>
      <c r="L72" s="519" t="s">
        <v>408</v>
      </c>
      <c r="M72" s="511"/>
      <c r="N72" s="512"/>
      <c r="P72" s="518">
        <v>60</v>
      </c>
      <c r="Q72" s="519" t="s">
        <v>408</v>
      </c>
      <c r="R72" s="511"/>
      <c r="S72" s="512"/>
    </row>
    <row r="73" spans="1:19">
      <c r="A73" s="518">
        <v>61</v>
      </c>
      <c r="B73" s="519" t="s">
        <v>409</v>
      </c>
      <c r="C73" s="511"/>
      <c r="D73" s="512"/>
      <c r="E73" s="511"/>
      <c r="F73" s="518">
        <v>61</v>
      </c>
      <c r="G73" s="519" t="s">
        <v>409</v>
      </c>
      <c r="H73" s="511"/>
      <c r="I73" s="512"/>
      <c r="K73" s="518">
        <v>61</v>
      </c>
      <c r="L73" s="519" t="s">
        <v>409</v>
      </c>
      <c r="M73" s="511"/>
      <c r="N73" s="512"/>
      <c r="P73" s="518">
        <v>61</v>
      </c>
      <c r="Q73" s="519" t="s">
        <v>409</v>
      </c>
      <c r="R73" s="511"/>
      <c r="S73" s="512"/>
    </row>
    <row r="74" spans="1:19">
      <c r="A74" s="518">
        <v>62</v>
      </c>
      <c r="B74" s="519" t="s">
        <v>410</v>
      </c>
      <c r="C74" s="511"/>
      <c r="D74" s="512"/>
      <c r="E74" s="511"/>
      <c r="F74" s="518">
        <v>62</v>
      </c>
      <c r="G74" s="519" t="s">
        <v>410</v>
      </c>
      <c r="H74" s="511"/>
      <c r="I74" s="512"/>
      <c r="K74" s="518">
        <v>62</v>
      </c>
      <c r="L74" s="519" t="s">
        <v>410</v>
      </c>
      <c r="M74" s="511"/>
      <c r="N74" s="512"/>
      <c r="P74" s="518">
        <v>62</v>
      </c>
      <c r="Q74" s="519" t="s">
        <v>410</v>
      </c>
      <c r="R74" s="511"/>
      <c r="S74" s="512"/>
    </row>
    <row r="75" spans="1:19">
      <c r="A75" s="518">
        <v>63</v>
      </c>
      <c r="B75" s="519" t="s">
        <v>411</v>
      </c>
      <c r="C75" s="511"/>
      <c r="D75" s="512"/>
      <c r="E75" s="511"/>
      <c r="F75" s="518">
        <v>63</v>
      </c>
      <c r="G75" s="519" t="s">
        <v>411</v>
      </c>
      <c r="H75" s="511"/>
      <c r="I75" s="512"/>
      <c r="K75" s="518">
        <v>63</v>
      </c>
      <c r="L75" s="519" t="s">
        <v>411</v>
      </c>
      <c r="M75" s="511"/>
      <c r="N75" s="512"/>
      <c r="P75" s="518">
        <v>63</v>
      </c>
      <c r="Q75" s="519" t="s">
        <v>411</v>
      </c>
      <c r="R75" s="511"/>
      <c r="S75" s="512"/>
    </row>
    <row r="76" spans="1:19">
      <c r="A76" s="518">
        <v>64</v>
      </c>
      <c r="B76" s="519" t="s">
        <v>412</v>
      </c>
      <c r="C76" s="511"/>
      <c r="D76" s="512"/>
      <c r="E76" s="511"/>
      <c r="F76" s="518">
        <v>64</v>
      </c>
      <c r="G76" s="519" t="s">
        <v>412</v>
      </c>
      <c r="H76" s="511"/>
      <c r="I76" s="512"/>
      <c r="K76" s="518">
        <v>64</v>
      </c>
      <c r="L76" s="519" t="s">
        <v>412</v>
      </c>
      <c r="M76" s="511"/>
      <c r="N76" s="512"/>
      <c r="P76" s="518">
        <v>64</v>
      </c>
      <c r="Q76" s="519" t="s">
        <v>412</v>
      </c>
      <c r="R76" s="511"/>
      <c r="S76" s="512"/>
    </row>
    <row r="77" spans="1:19">
      <c r="A77" s="518">
        <v>65</v>
      </c>
      <c r="B77" s="519" t="s">
        <v>413</v>
      </c>
      <c r="C77" s="511"/>
      <c r="D77" s="512"/>
      <c r="E77" s="511"/>
      <c r="F77" s="518">
        <v>65</v>
      </c>
      <c r="G77" s="519" t="s">
        <v>413</v>
      </c>
      <c r="H77" s="511"/>
      <c r="I77" s="512"/>
      <c r="K77" s="518">
        <v>65</v>
      </c>
      <c r="L77" s="519" t="s">
        <v>413</v>
      </c>
      <c r="M77" s="511"/>
      <c r="N77" s="512"/>
      <c r="P77" s="518">
        <v>65</v>
      </c>
      <c r="Q77" s="519" t="s">
        <v>413</v>
      </c>
      <c r="R77" s="511"/>
      <c r="S77" s="512"/>
    </row>
    <row r="78" spans="1:19">
      <c r="A78" s="518">
        <v>66</v>
      </c>
      <c r="B78" s="519" t="s">
        <v>414</v>
      </c>
      <c r="C78" s="511"/>
      <c r="D78" s="512"/>
      <c r="E78" s="511"/>
      <c r="F78" s="518">
        <v>66</v>
      </c>
      <c r="G78" s="519" t="s">
        <v>414</v>
      </c>
      <c r="H78" s="511"/>
      <c r="I78" s="512"/>
      <c r="K78" s="518">
        <v>66</v>
      </c>
      <c r="L78" s="519" t="s">
        <v>414</v>
      </c>
      <c r="M78" s="511"/>
      <c r="N78" s="512"/>
      <c r="P78" s="518">
        <v>66</v>
      </c>
      <c r="Q78" s="519" t="s">
        <v>414</v>
      </c>
      <c r="R78" s="511"/>
      <c r="S78" s="512"/>
    </row>
    <row r="79" spans="1:19">
      <c r="A79" s="518">
        <v>67</v>
      </c>
      <c r="B79" s="519" t="s">
        <v>415</v>
      </c>
      <c r="C79" s="511"/>
      <c r="D79" s="512"/>
      <c r="E79" s="511"/>
      <c r="F79" s="518">
        <v>67</v>
      </c>
      <c r="G79" s="519" t="s">
        <v>415</v>
      </c>
      <c r="H79" s="511"/>
      <c r="I79" s="512"/>
      <c r="K79" s="518">
        <v>67</v>
      </c>
      <c r="L79" s="519" t="s">
        <v>415</v>
      </c>
      <c r="M79" s="511"/>
      <c r="N79" s="512"/>
      <c r="P79" s="518">
        <v>67</v>
      </c>
      <c r="Q79" s="519" t="s">
        <v>415</v>
      </c>
      <c r="R79" s="511"/>
      <c r="S79" s="512"/>
    </row>
    <row r="80" spans="1:19">
      <c r="A80" s="518">
        <v>68</v>
      </c>
      <c r="B80" s="519" t="s">
        <v>416</v>
      </c>
      <c r="C80" s="511"/>
      <c r="D80" s="512"/>
      <c r="E80" s="511"/>
      <c r="F80" s="518">
        <v>68</v>
      </c>
      <c r="G80" s="519" t="s">
        <v>416</v>
      </c>
      <c r="H80" s="511"/>
      <c r="I80" s="512"/>
      <c r="K80" s="518">
        <v>68</v>
      </c>
      <c r="L80" s="519" t="s">
        <v>416</v>
      </c>
      <c r="M80" s="511"/>
      <c r="N80" s="512"/>
      <c r="P80" s="518">
        <v>68</v>
      </c>
      <c r="Q80" s="519" t="s">
        <v>416</v>
      </c>
      <c r="R80" s="511"/>
      <c r="S80" s="512"/>
    </row>
    <row r="81" spans="1:19">
      <c r="A81" s="518">
        <v>69</v>
      </c>
      <c r="B81" s="519" t="s">
        <v>417</v>
      </c>
      <c r="C81" s="511"/>
      <c r="D81" s="512"/>
      <c r="E81" s="511"/>
      <c r="F81" s="518">
        <v>69</v>
      </c>
      <c r="G81" s="519" t="s">
        <v>417</v>
      </c>
      <c r="H81" s="511"/>
      <c r="I81" s="512"/>
      <c r="K81" s="518">
        <v>69</v>
      </c>
      <c r="L81" s="519" t="s">
        <v>417</v>
      </c>
      <c r="M81" s="511"/>
      <c r="N81" s="512"/>
      <c r="P81" s="518">
        <v>69</v>
      </c>
      <c r="Q81" s="519" t="s">
        <v>417</v>
      </c>
      <c r="R81" s="511"/>
      <c r="S81" s="512"/>
    </row>
    <row r="82" spans="1:19">
      <c r="A82" s="518">
        <v>70</v>
      </c>
      <c r="B82" s="519" t="s">
        <v>418</v>
      </c>
      <c r="C82" s="511"/>
      <c r="D82" s="512"/>
      <c r="E82" s="511"/>
      <c r="F82" s="518">
        <v>70</v>
      </c>
      <c r="G82" s="519" t="s">
        <v>418</v>
      </c>
      <c r="H82" s="511"/>
      <c r="I82" s="512"/>
      <c r="K82" s="518">
        <v>70</v>
      </c>
      <c r="L82" s="519" t="s">
        <v>418</v>
      </c>
      <c r="M82" s="511"/>
      <c r="N82" s="512"/>
      <c r="P82" s="518">
        <v>70</v>
      </c>
      <c r="Q82" s="519" t="s">
        <v>418</v>
      </c>
      <c r="R82" s="511"/>
      <c r="S82" s="512"/>
    </row>
    <row r="83" spans="1:19">
      <c r="A83" s="518">
        <v>71</v>
      </c>
      <c r="B83" s="519" t="s">
        <v>419</v>
      </c>
      <c r="C83" s="511"/>
      <c r="D83" s="512"/>
      <c r="E83" s="511"/>
      <c r="F83" s="518">
        <v>71</v>
      </c>
      <c r="G83" s="519" t="s">
        <v>419</v>
      </c>
      <c r="H83" s="511"/>
      <c r="I83" s="512"/>
      <c r="K83" s="518">
        <v>71</v>
      </c>
      <c r="L83" s="519" t="s">
        <v>419</v>
      </c>
      <c r="M83" s="511"/>
      <c r="N83" s="512"/>
      <c r="P83" s="518">
        <v>71</v>
      </c>
      <c r="Q83" s="519" t="s">
        <v>419</v>
      </c>
      <c r="R83" s="511"/>
      <c r="S83" s="512"/>
    </row>
    <row r="84" spans="1:19">
      <c r="A84" s="518">
        <v>72</v>
      </c>
      <c r="B84" s="519" t="s">
        <v>420</v>
      </c>
      <c r="C84" s="511"/>
      <c r="D84" s="512"/>
      <c r="E84" s="511"/>
      <c r="F84" s="518">
        <v>72</v>
      </c>
      <c r="G84" s="519" t="s">
        <v>420</v>
      </c>
      <c r="H84" s="511"/>
      <c r="I84" s="512"/>
      <c r="K84" s="518">
        <v>72</v>
      </c>
      <c r="L84" s="519" t="s">
        <v>420</v>
      </c>
      <c r="M84" s="511"/>
      <c r="N84" s="512"/>
      <c r="P84" s="518">
        <v>72</v>
      </c>
      <c r="Q84" s="519" t="s">
        <v>420</v>
      </c>
      <c r="R84" s="511"/>
      <c r="S84" s="512"/>
    </row>
    <row r="85" spans="1:19">
      <c r="A85" s="518">
        <v>73</v>
      </c>
      <c r="B85" s="519" t="s">
        <v>421</v>
      </c>
      <c r="C85" s="511"/>
      <c r="D85" s="512"/>
      <c r="E85" s="511"/>
      <c r="F85" s="518">
        <v>73</v>
      </c>
      <c r="G85" s="519" t="s">
        <v>421</v>
      </c>
      <c r="H85" s="511"/>
      <c r="I85" s="512"/>
      <c r="K85" s="518">
        <v>73</v>
      </c>
      <c r="L85" s="519" t="s">
        <v>421</v>
      </c>
      <c r="M85" s="511"/>
      <c r="N85" s="512"/>
      <c r="P85" s="518">
        <v>73</v>
      </c>
      <c r="Q85" s="519" t="s">
        <v>421</v>
      </c>
      <c r="R85" s="511"/>
      <c r="S85" s="512"/>
    </row>
    <row r="86" spans="1:19">
      <c r="A86" s="518">
        <v>74</v>
      </c>
      <c r="B86" s="519" t="s">
        <v>422</v>
      </c>
      <c r="C86" s="511"/>
      <c r="D86" s="512"/>
      <c r="E86" s="511"/>
      <c r="F86" s="518">
        <v>74</v>
      </c>
      <c r="G86" s="519" t="s">
        <v>422</v>
      </c>
      <c r="H86" s="511"/>
      <c r="I86" s="512"/>
      <c r="K86" s="518">
        <v>74</v>
      </c>
      <c r="L86" s="519" t="s">
        <v>422</v>
      </c>
      <c r="M86" s="511"/>
      <c r="N86" s="512"/>
      <c r="P86" s="518">
        <v>74</v>
      </c>
      <c r="Q86" s="519" t="s">
        <v>422</v>
      </c>
      <c r="R86" s="511"/>
      <c r="S86" s="512"/>
    </row>
    <row r="87" spans="1:19">
      <c r="A87" s="518">
        <v>75</v>
      </c>
      <c r="B87" s="519" t="s">
        <v>423</v>
      </c>
      <c r="C87" s="511"/>
      <c r="D87" s="512"/>
      <c r="E87" s="511"/>
      <c r="F87" s="518">
        <v>75</v>
      </c>
      <c r="G87" s="519" t="s">
        <v>423</v>
      </c>
      <c r="H87" s="511"/>
      <c r="I87" s="512"/>
      <c r="K87" s="518">
        <v>75</v>
      </c>
      <c r="L87" s="519" t="s">
        <v>423</v>
      </c>
      <c r="M87" s="511"/>
      <c r="N87" s="512"/>
      <c r="P87" s="518">
        <v>75</v>
      </c>
      <c r="Q87" s="519" t="s">
        <v>423</v>
      </c>
      <c r="R87" s="511"/>
      <c r="S87" s="512"/>
    </row>
    <row r="88" spans="1:19">
      <c r="A88" s="518">
        <v>76</v>
      </c>
      <c r="B88" s="519" t="s">
        <v>424</v>
      </c>
      <c r="C88" s="511"/>
      <c r="D88" s="512"/>
      <c r="E88" s="511"/>
      <c r="F88" s="518">
        <v>76</v>
      </c>
      <c r="G88" s="519" t="s">
        <v>424</v>
      </c>
      <c r="H88" s="511"/>
      <c r="I88" s="512"/>
      <c r="K88" s="518">
        <v>76</v>
      </c>
      <c r="L88" s="519" t="s">
        <v>424</v>
      </c>
      <c r="M88" s="511"/>
      <c r="N88" s="512"/>
      <c r="P88" s="518">
        <v>76</v>
      </c>
      <c r="Q88" s="519" t="s">
        <v>424</v>
      </c>
      <c r="R88" s="511"/>
      <c r="S88" s="512"/>
    </row>
    <row r="89" spans="1:19">
      <c r="A89" s="518">
        <v>77</v>
      </c>
      <c r="B89" s="519" t="s">
        <v>425</v>
      </c>
      <c r="C89" s="511"/>
      <c r="D89" s="512"/>
      <c r="E89" s="511"/>
      <c r="F89" s="518">
        <v>77</v>
      </c>
      <c r="G89" s="519" t="s">
        <v>425</v>
      </c>
      <c r="H89" s="511"/>
      <c r="I89" s="512"/>
      <c r="K89" s="518">
        <v>77</v>
      </c>
      <c r="L89" s="519" t="s">
        <v>425</v>
      </c>
      <c r="M89" s="511"/>
      <c r="N89" s="512"/>
      <c r="P89" s="518">
        <v>77</v>
      </c>
      <c r="Q89" s="519" t="s">
        <v>425</v>
      </c>
      <c r="R89" s="511"/>
      <c r="S89" s="512"/>
    </row>
    <row r="90" spans="1:19">
      <c r="A90" s="518">
        <v>78</v>
      </c>
      <c r="B90" s="519" t="s">
        <v>426</v>
      </c>
      <c r="C90" s="511"/>
      <c r="D90" s="512"/>
      <c r="E90" s="511"/>
      <c r="F90" s="518">
        <v>78</v>
      </c>
      <c r="G90" s="519" t="s">
        <v>426</v>
      </c>
      <c r="H90" s="511"/>
      <c r="I90" s="512"/>
      <c r="K90" s="518">
        <v>78</v>
      </c>
      <c r="L90" s="519" t="s">
        <v>426</v>
      </c>
      <c r="M90" s="511"/>
      <c r="N90" s="512"/>
      <c r="P90" s="518">
        <v>78</v>
      </c>
      <c r="Q90" s="519" t="s">
        <v>426</v>
      </c>
      <c r="R90" s="511"/>
      <c r="S90" s="512"/>
    </row>
    <row r="91" spans="1:19">
      <c r="A91" s="518">
        <v>79</v>
      </c>
      <c r="B91" s="519" t="s">
        <v>427</v>
      </c>
      <c r="C91" s="511"/>
      <c r="D91" s="512"/>
      <c r="E91" s="511"/>
      <c r="F91" s="518">
        <v>79</v>
      </c>
      <c r="G91" s="519" t="s">
        <v>427</v>
      </c>
      <c r="H91" s="511"/>
      <c r="I91" s="512"/>
      <c r="K91" s="518">
        <v>79</v>
      </c>
      <c r="L91" s="519" t="s">
        <v>427</v>
      </c>
      <c r="M91" s="511"/>
      <c r="N91" s="512"/>
      <c r="P91" s="518">
        <v>79</v>
      </c>
      <c r="Q91" s="519" t="s">
        <v>427</v>
      </c>
      <c r="R91" s="511"/>
      <c r="S91" s="512"/>
    </row>
    <row r="92" spans="1:19">
      <c r="A92" s="518">
        <v>80</v>
      </c>
      <c r="B92" s="519" t="s">
        <v>428</v>
      </c>
      <c r="C92" s="511"/>
      <c r="D92" s="512"/>
      <c r="E92" s="511"/>
      <c r="F92" s="518">
        <v>80</v>
      </c>
      <c r="G92" s="519" t="s">
        <v>428</v>
      </c>
      <c r="H92" s="511"/>
      <c r="I92" s="512"/>
      <c r="K92" s="518">
        <v>80</v>
      </c>
      <c r="L92" s="519" t="s">
        <v>428</v>
      </c>
      <c r="M92" s="511"/>
      <c r="N92" s="512"/>
      <c r="P92" s="518">
        <v>80</v>
      </c>
      <c r="Q92" s="519" t="s">
        <v>428</v>
      </c>
      <c r="R92" s="511"/>
      <c r="S92" s="512"/>
    </row>
    <row r="93" spans="1:19">
      <c r="A93" s="518">
        <v>81</v>
      </c>
      <c r="B93" s="519" t="s">
        <v>429</v>
      </c>
      <c r="C93" s="511"/>
      <c r="D93" s="512"/>
      <c r="E93" s="511"/>
      <c r="F93" s="518">
        <v>81</v>
      </c>
      <c r="G93" s="519" t="s">
        <v>429</v>
      </c>
      <c r="H93" s="511"/>
      <c r="I93" s="512"/>
      <c r="K93" s="518">
        <v>81</v>
      </c>
      <c r="L93" s="519" t="s">
        <v>429</v>
      </c>
      <c r="M93" s="511"/>
      <c r="N93" s="512"/>
      <c r="P93" s="518">
        <v>81</v>
      </c>
      <c r="Q93" s="519" t="s">
        <v>429</v>
      </c>
      <c r="R93" s="511"/>
      <c r="S93" s="512"/>
    </row>
    <row r="94" spans="1:19">
      <c r="A94" s="518">
        <v>82</v>
      </c>
      <c r="B94" s="519" t="s">
        <v>430</v>
      </c>
      <c r="C94" s="511"/>
      <c r="D94" s="512"/>
      <c r="E94" s="511"/>
      <c r="F94" s="518">
        <v>82</v>
      </c>
      <c r="G94" s="519" t="s">
        <v>430</v>
      </c>
      <c r="H94" s="511"/>
      <c r="I94" s="512"/>
      <c r="K94" s="518">
        <v>82</v>
      </c>
      <c r="L94" s="519" t="s">
        <v>430</v>
      </c>
      <c r="M94" s="511"/>
      <c r="N94" s="512"/>
      <c r="P94" s="518">
        <v>82</v>
      </c>
      <c r="Q94" s="519" t="s">
        <v>430</v>
      </c>
      <c r="R94" s="511"/>
      <c r="S94" s="512"/>
    </row>
    <row r="95" spans="1:19">
      <c r="A95" s="518">
        <v>83</v>
      </c>
      <c r="B95" s="519" t="s">
        <v>431</v>
      </c>
      <c r="C95" s="511"/>
      <c r="D95" s="512"/>
      <c r="E95" s="511"/>
      <c r="F95" s="518">
        <v>83</v>
      </c>
      <c r="G95" s="519" t="s">
        <v>431</v>
      </c>
      <c r="H95" s="511"/>
      <c r="I95" s="512"/>
      <c r="K95" s="518">
        <v>83</v>
      </c>
      <c r="L95" s="519" t="s">
        <v>431</v>
      </c>
      <c r="M95" s="511"/>
      <c r="N95" s="512"/>
      <c r="P95" s="518">
        <v>83</v>
      </c>
      <c r="Q95" s="519" t="s">
        <v>431</v>
      </c>
      <c r="R95" s="511"/>
      <c r="S95" s="512"/>
    </row>
    <row r="96" spans="1:19">
      <c r="A96" s="518">
        <v>84</v>
      </c>
      <c r="B96" s="519" t="s">
        <v>432</v>
      </c>
      <c r="C96" s="511"/>
      <c r="D96" s="512"/>
      <c r="E96" s="511"/>
      <c r="F96" s="518">
        <v>84</v>
      </c>
      <c r="G96" s="519" t="s">
        <v>432</v>
      </c>
      <c r="H96" s="511"/>
      <c r="I96" s="512"/>
      <c r="K96" s="518">
        <v>84</v>
      </c>
      <c r="L96" s="519" t="s">
        <v>432</v>
      </c>
      <c r="M96" s="511"/>
      <c r="N96" s="512"/>
      <c r="P96" s="518">
        <v>84</v>
      </c>
      <c r="Q96" s="519" t="s">
        <v>432</v>
      </c>
      <c r="R96" s="511"/>
      <c r="S96" s="512"/>
    </row>
    <row r="97" spans="1:19">
      <c r="A97" s="518">
        <v>85</v>
      </c>
      <c r="B97" s="519" t="s">
        <v>433</v>
      </c>
      <c r="C97" s="511"/>
      <c r="D97" s="512"/>
      <c r="E97" s="511"/>
      <c r="F97" s="518">
        <v>85</v>
      </c>
      <c r="G97" s="519" t="s">
        <v>433</v>
      </c>
      <c r="H97" s="511"/>
      <c r="I97" s="512"/>
      <c r="K97" s="518">
        <v>85</v>
      </c>
      <c r="L97" s="519" t="s">
        <v>433</v>
      </c>
      <c r="M97" s="511"/>
      <c r="N97" s="512"/>
      <c r="P97" s="518">
        <v>85</v>
      </c>
      <c r="Q97" s="519" t="s">
        <v>433</v>
      </c>
      <c r="R97" s="511"/>
      <c r="S97" s="512"/>
    </row>
    <row r="98" spans="1:19">
      <c r="A98" s="518">
        <v>86</v>
      </c>
      <c r="B98" s="519" t="s">
        <v>434</v>
      </c>
      <c r="C98" s="511"/>
      <c r="D98" s="512"/>
      <c r="E98" s="511"/>
      <c r="F98" s="518">
        <v>86</v>
      </c>
      <c r="G98" s="519" t="s">
        <v>434</v>
      </c>
      <c r="H98" s="511"/>
      <c r="I98" s="512"/>
      <c r="K98" s="518">
        <v>86</v>
      </c>
      <c r="L98" s="519" t="s">
        <v>434</v>
      </c>
      <c r="M98" s="511"/>
      <c r="N98" s="512"/>
      <c r="P98" s="518">
        <v>86</v>
      </c>
      <c r="Q98" s="519" t="s">
        <v>434</v>
      </c>
      <c r="R98" s="511"/>
      <c r="S98" s="512"/>
    </row>
    <row r="99" spans="1:19">
      <c r="A99" s="518">
        <v>87</v>
      </c>
      <c r="B99" s="519" t="s">
        <v>435</v>
      </c>
      <c r="C99" s="511"/>
      <c r="D99" s="512"/>
      <c r="E99" s="511"/>
      <c r="F99" s="518">
        <v>87</v>
      </c>
      <c r="G99" s="519" t="s">
        <v>435</v>
      </c>
      <c r="H99" s="511"/>
      <c r="I99" s="512"/>
      <c r="K99" s="518">
        <v>87</v>
      </c>
      <c r="L99" s="519" t="s">
        <v>435</v>
      </c>
      <c r="M99" s="511"/>
      <c r="N99" s="512"/>
      <c r="P99" s="518">
        <v>87</v>
      </c>
      <c r="Q99" s="519" t="s">
        <v>435</v>
      </c>
      <c r="R99" s="511"/>
      <c r="S99" s="512"/>
    </row>
    <row r="100" spans="1:19">
      <c r="A100" s="518">
        <v>88</v>
      </c>
      <c r="B100" s="519" t="s">
        <v>436</v>
      </c>
      <c r="C100" s="511"/>
      <c r="D100" s="512"/>
      <c r="E100" s="511"/>
      <c r="F100" s="518">
        <v>88</v>
      </c>
      <c r="G100" s="519" t="s">
        <v>436</v>
      </c>
      <c r="H100" s="511"/>
      <c r="I100" s="512"/>
      <c r="K100" s="518">
        <v>88</v>
      </c>
      <c r="L100" s="519" t="s">
        <v>436</v>
      </c>
      <c r="M100" s="511"/>
      <c r="N100" s="512"/>
      <c r="P100" s="518">
        <v>88</v>
      </c>
      <c r="Q100" s="519" t="s">
        <v>436</v>
      </c>
      <c r="R100" s="511"/>
      <c r="S100" s="512"/>
    </row>
    <row r="101" spans="1:19">
      <c r="A101" s="518">
        <v>89</v>
      </c>
      <c r="B101" s="519" t="s">
        <v>437</v>
      </c>
      <c r="C101" s="511"/>
      <c r="D101" s="512"/>
      <c r="E101" s="511"/>
      <c r="F101" s="518">
        <v>89</v>
      </c>
      <c r="G101" s="519" t="s">
        <v>437</v>
      </c>
      <c r="H101" s="511"/>
      <c r="I101" s="512"/>
      <c r="K101" s="518">
        <v>89</v>
      </c>
      <c r="L101" s="519" t="s">
        <v>437</v>
      </c>
      <c r="M101" s="511"/>
      <c r="N101" s="512"/>
      <c r="P101" s="518">
        <v>89</v>
      </c>
      <c r="Q101" s="519" t="s">
        <v>437</v>
      </c>
      <c r="R101" s="511"/>
      <c r="S101" s="512"/>
    </row>
    <row r="102" spans="1:19">
      <c r="A102" s="518">
        <v>90</v>
      </c>
      <c r="B102" s="519" t="s">
        <v>438</v>
      </c>
      <c r="C102" s="511"/>
      <c r="D102" s="512"/>
      <c r="E102" s="511"/>
      <c r="F102" s="518">
        <v>90</v>
      </c>
      <c r="G102" s="519" t="s">
        <v>438</v>
      </c>
      <c r="H102" s="511"/>
      <c r="I102" s="512"/>
      <c r="K102" s="518">
        <v>90</v>
      </c>
      <c r="L102" s="519" t="s">
        <v>438</v>
      </c>
      <c r="M102" s="511"/>
      <c r="N102" s="512"/>
      <c r="P102" s="518">
        <v>90</v>
      </c>
      <c r="Q102" s="519" t="s">
        <v>438</v>
      </c>
      <c r="R102" s="511"/>
      <c r="S102" s="512"/>
    </row>
    <row r="103" spans="1:19">
      <c r="A103" s="518">
        <v>91</v>
      </c>
      <c r="B103" s="519" t="s">
        <v>439</v>
      </c>
      <c r="C103" s="511"/>
      <c r="D103" s="512"/>
      <c r="E103" s="511"/>
      <c r="F103" s="518">
        <v>91</v>
      </c>
      <c r="G103" s="519" t="s">
        <v>439</v>
      </c>
      <c r="H103" s="511"/>
      <c r="I103" s="512"/>
      <c r="K103" s="518">
        <v>91</v>
      </c>
      <c r="L103" s="519" t="s">
        <v>439</v>
      </c>
      <c r="M103" s="511"/>
      <c r="N103" s="512"/>
      <c r="P103" s="518">
        <v>91</v>
      </c>
      <c r="Q103" s="519" t="s">
        <v>439</v>
      </c>
      <c r="R103" s="511"/>
      <c r="S103" s="512"/>
    </row>
    <row r="104" spans="1:19">
      <c r="A104" s="518">
        <v>92</v>
      </c>
      <c r="B104" s="519" t="s">
        <v>440</v>
      </c>
      <c r="C104" s="511"/>
      <c r="D104" s="512"/>
      <c r="E104" s="511"/>
      <c r="F104" s="518">
        <v>92</v>
      </c>
      <c r="G104" s="519" t="s">
        <v>440</v>
      </c>
      <c r="H104" s="511"/>
      <c r="I104" s="512"/>
      <c r="K104" s="518">
        <v>92</v>
      </c>
      <c r="L104" s="519" t="s">
        <v>440</v>
      </c>
      <c r="M104" s="511"/>
      <c r="N104" s="512"/>
      <c r="P104" s="518">
        <v>92</v>
      </c>
      <c r="Q104" s="519" t="s">
        <v>440</v>
      </c>
      <c r="R104" s="511"/>
      <c r="S104" s="512"/>
    </row>
    <row r="105" spans="1:19">
      <c r="A105" s="518">
        <v>93</v>
      </c>
      <c r="B105" s="519" t="s">
        <v>441</v>
      </c>
      <c r="C105" s="511"/>
      <c r="D105" s="512"/>
      <c r="E105" s="511"/>
      <c r="F105" s="518">
        <v>93</v>
      </c>
      <c r="G105" s="519" t="s">
        <v>441</v>
      </c>
      <c r="H105" s="511"/>
      <c r="I105" s="512"/>
      <c r="K105" s="518">
        <v>93</v>
      </c>
      <c r="L105" s="519" t="s">
        <v>441</v>
      </c>
      <c r="M105" s="511"/>
      <c r="N105" s="512"/>
      <c r="P105" s="518">
        <v>93</v>
      </c>
      <c r="Q105" s="519" t="s">
        <v>441</v>
      </c>
      <c r="R105" s="511"/>
      <c r="S105" s="512"/>
    </row>
    <row r="106" spans="1:19">
      <c r="A106" s="518">
        <v>94</v>
      </c>
      <c r="B106" s="519" t="s">
        <v>442</v>
      </c>
      <c r="C106" s="511"/>
      <c r="D106" s="512"/>
      <c r="E106" s="511"/>
      <c r="F106" s="518">
        <v>94</v>
      </c>
      <c r="G106" s="519" t="s">
        <v>442</v>
      </c>
      <c r="H106" s="511"/>
      <c r="I106" s="512"/>
      <c r="K106" s="518">
        <v>94</v>
      </c>
      <c r="L106" s="519" t="s">
        <v>442</v>
      </c>
      <c r="M106" s="511"/>
      <c r="N106" s="512"/>
      <c r="P106" s="518">
        <v>94</v>
      </c>
      <c r="Q106" s="519" t="s">
        <v>442</v>
      </c>
      <c r="R106" s="511"/>
      <c r="S106" s="512"/>
    </row>
    <row r="107" spans="1:19">
      <c r="A107" s="518">
        <v>95</v>
      </c>
      <c r="B107" s="519" t="s">
        <v>443</v>
      </c>
      <c r="C107" s="511"/>
      <c r="D107" s="512"/>
      <c r="E107" s="511"/>
      <c r="F107" s="518">
        <v>95</v>
      </c>
      <c r="G107" s="519" t="s">
        <v>443</v>
      </c>
      <c r="H107" s="511"/>
      <c r="I107" s="512"/>
      <c r="K107" s="518">
        <v>95</v>
      </c>
      <c r="L107" s="519" t="s">
        <v>443</v>
      </c>
      <c r="M107" s="511"/>
      <c r="N107" s="512"/>
      <c r="P107" s="518">
        <v>95</v>
      </c>
      <c r="Q107" s="519" t="s">
        <v>443</v>
      </c>
      <c r="R107" s="511"/>
      <c r="S107" s="512"/>
    </row>
    <row r="108" spans="1:19">
      <c r="A108" s="518">
        <v>96</v>
      </c>
      <c r="B108" s="519" t="s">
        <v>444</v>
      </c>
      <c r="C108" s="511"/>
      <c r="D108" s="512"/>
      <c r="E108" s="511"/>
      <c r="F108" s="518">
        <v>96</v>
      </c>
      <c r="G108" s="519" t="s">
        <v>444</v>
      </c>
      <c r="H108" s="511"/>
      <c r="I108" s="512"/>
      <c r="K108" s="518">
        <v>96</v>
      </c>
      <c r="L108" s="519" t="s">
        <v>444</v>
      </c>
      <c r="M108" s="511"/>
      <c r="N108" s="512"/>
      <c r="P108" s="518">
        <v>96</v>
      </c>
      <c r="Q108" s="519" t="s">
        <v>444</v>
      </c>
      <c r="R108" s="511"/>
      <c r="S108" s="512"/>
    </row>
    <row r="109" spans="1:19">
      <c r="A109" s="518">
        <v>97</v>
      </c>
      <c r="B109" s="519" t="s">
        <v>445</v>
      </c>
      <c r="C109" s="511"/>
      <c r="D109" s="512"/>
      <c r="E109" s="511"/>
      <c r="F109" s="518">
        <v>97</v>
      </c>
      <c r="G109" s="519" t="s">
        <v>445</v>
      </c>
      <c r="H109" s="511"/>
      <c r="I109" s="512"/>
      <c r="K109" s="518">
        <v>97</v>
      </c>
      <c r="L109" s="519" t="s">
        <v>445</v>
      </c>
      <c r="M109" s="511"/>
      <c r="N109" s="512"/>
      <c r="P109" s="518">
        <v>97</v>
      </c>
      <c r="Q109" s="519" t="s">
        <v>445</v>
      </c>
      <c r="R109" s="511"/>
      <c r="S109" s="512"/>
    </row>
    <row r="110" spans="1:19">
      <c r="A110" s="518">
        <v>98</v>
      </c>
      <c r="B110" s="519" t="s">
        <v>446</v>
      </c>
      <c r="C110" s="511"/>
      <c r="D110" s="512"/>
      <c r="E110" s="511"/>
      <c r="F110" s="518">
        <v>98</v>
      </c>
      <c r="G110" s="519" t="s">
        <v>446</v>
      </c>
      <c r="H110" s="511"/>
      <c r="I110" s="512"/>
      <c r="K110" s="518">
        <v>98</v>
      </c>
      <c r="L110" s="519" t="s">
        <v>446</v>
      </c>
      <c r="M110" s="511"/>
      <c r="N110" s="512"/>
      <c r="P110" s="518">
        <v>98</v>
      </c>
      <c r="Q110" s="519" t="s">
        <v>446</v>
      </c>
      <c r="R110" s="511"/>
      <c r="S110" s="512"/>
    </row>
    <row r="111" spans="1:19">
      <c r="A111" s="518">
        <v>99</v>
      </c>
      <c r="B111" s="519" t="s">
        <v>447</v>
      </c>
      <c r="C111" s="511"/>
      <c r="D111" s="512"/>
      <c r="E111" s="511"/>
      <c r="F111" s="518">
        <v>99</v>
      </c>
      <c r="G111" s="519" t="s">
        <v>447</v>
      </c>
      <c r="H111" s="511"/>
      <c r="I111" s="512"/>
      <c r="K111" s="518">
        <v>99</v>
      </c>
      <c r="L111" s="519" t="s">
        <v>447</v>
      </c>
      <c r="M111" s="511"/>
      <c r="N111" s="512"/>
      <c r="P111" s="518">
        <v>99</v>
      </c>
      <c r="Q111" s="519" t="s">
        <v>447</v>
      </c>
      <c r="R111" s="511"/>
      <c r="S111" s="512"/>
    </row>
    <row r="112" spans="1:19" ht="13.5" thickBot="1">
      <c r="A112" s="520">
        <v>100</v>
      </c>
      <c r="B112" s="521" t="s">
        <v>448</v>
      </c>
      <c r="C112" s="522"/>
      <c r="D112" s="523"/>
      <c r="E112" s="511"/>
      <c r="F112" s="520">
        <v>100</v>
      </c>
      <c r="G112" s="521" t="s">
        <v>448</v>
      </c>
      <c r="H112" s="522"/>
      <c r="I112" s="523"/>
      <c r="K112" s="520">
        <v>100</v>
      </c>
      <c r="L112" s="521" t="s">
        <v>448</v>
      </c>
      <c r="M112" s="522"/>
      <c r="N112" s="523"/>
      <c r="P112" s="520">
        <v>100</v>
      </c>
      <c r="Q112" s="521" t="s">
        <v>448</v>
      </c>
      <c r="R112" s="522"/>
      <c r="S112" s="523"/>
    </row>
    <row r="118" spans="1:4">
      <c r="A118" s="535" t="s">
        <v>454</v>
      </c>
    </row>
    <row r="119" spans="1:4" ht="13.5" thickBot="1"/>
    <row r="120" spans="1:4" ht="13.5" thickBot="1">
      <c r="A120" s="524"/>
      <c r="B120" s="525"/>
      <c r="C120" s="525"/>
      <c r="D120" s="526"/>
    </row>
    <row r="121" spans="1:4" ht="13.5" thickBot="1">
      <c r="A121" s="528"/>
      <c r="D121" s="529"/>
    </row>
    <row r="122" spans="1:4" ht="15.75" thickBot="1">
      <c r="A122" s="999" t="e">
        <v>#REF!</v>
      </c>
      <c r="B122" s="1000"/>
      <c r="C122" s="508"/>
      <c r="D122" s="509"/>
    </row>
    <row r="123" spans="1:4">
      <c r="A123" s="993"/>
      <c r="B123" s="994"/>
      <c r="C123" s="508"/>
      <c r="D123" s="509"/>
    </row>
    <row r="124" spans="1:4">
      <c r="A124" s="510"/>
      <c r="B124" s="511"/>
      <c r="C124" s="511"/>
      <c r="D124" s="512"/>
    </row>
    <row r="125" spans="1:4">
      <c r="A125" s="1001" t="e">
        <f>IF(OR((A122&gt;9999999999),(A122&lt;0)),"Invalid Entry - More than 1000 crore OR -ve value",IF(A122=0, "",+CONCATENATE(U121,B132,D132,B131,D131,B130,D130,B129,D129,B128,D128,B127," Only")))</f>
        <v>#REF!</v>
      </c>
      <c r="B125" s="1002"/>
      <c r="C125" s="1002"/>
      <c r="D125" s="1003"/>
    </row>
    <row r="126" spans="1:4">
      <c r="A126" s="510"/>
      <c r="B126" s="511"/>
      <c r="C126" s="511"/>
      <c r="D126" s="512"/>
    </row>
    <row r="127" spans="1:4">
      <c r="A127" s="513" t="e">
        <f>-INT(A122/100)*100+ROUND(A122,0)</f>
        <v>#REF!</v>
      </c>
      <c r="B127" s="511" t="e">
        <f t="shared" ref="B127:B132" si="6">IF(A127=0,"",LOOKUP(A127,$A$13:$A$112,$B$13:$B$112))</f>
        <v>#REF!</v>
      </c>
      <c r="C127" s="511"/>
      <c r="D127" s="514"/>
    </row>
    <row r="128" spans="1:4">
      <c r="A128" s="513" t="e">
        <f>-INT(A122/1000)*10+INT(A122/100)</f>
        <v>#REF!</v>
      </c>
      <c r="B128" s="511" t="e">
        <f t="shared" si="6"/>
        <v>#REF!</v>
      </c>
      <c r="C128" s="511"/>
      <c r="D128" s="514" t="e">
        <f>+IF(B128="",""," Hundred ")</f>
        <v>#REF!</v>
      </c>
    </row>
    <row r="129" spans="1:4">
      <c r="A129" s="513" t="e">
        <f>-INT(A122/100000)*100+INT(A122/1000)</f>
        <v>#REF!</v>
      </c>
      <c r="B129" s="511" t="e">
        <f t="shared" si="6"/>
        <v>#REF!</v>
      </c>
      <c r="C129" s="511"/>
      <c r="D129" s="514" t="e">
        <f>IF((B129=""),IF(C129="",""," Thousand ")," Thousand ")</f>
        <v>#REF!</v>
      </c>
    </row>
    <row r="130" spans="1:4">
      <c r="A130" s="513" t="e">
        <f>-INT(A122/10000000)*100+INT(A122/100000)</f>
        <v>#REF!</v>
      </c>
      <c r="B130" s="511" t="e">
        <f t="shared" si="6"/>
        <v>#REF!</v>
      </c>
      <c r="C130" s="511"/>
      <c r="D130" s="514" t="e">
        <f>IF((B130=""),IF(C130="",""," Lac ")," Lac ")</f>
        <v>#REF!</v>
      </c>
    </row>
    <row r="131" spans="1:4">
      <c r="A131" s="513" t="e">
        <f>-INT(A122/1000000000)*100+INT(A122/10000000)</f>
        <v>#REF!</v>
      </c>
      <c r="B131" s="515" t="e">
        <f t="shared" si="6"/>
        <v>#REF!</v>
      </c>
      <c r="C131" s="511"/>
      <c r="D131" s="514" t="e">
        <f>IF((B131=""),IF(C131="",""," Crore ")," Crore ")</f>
        <v>#REF!</v>
      </c>
    </row>
    <row r="132" spans="1:4">
      <c r="A132" s="516" t="e">
        <f>-INT(A122/10000000000)*1000+INT(A122/1000000000)</f>
        <v>#REF!</v>
      </c>
      <c r="B132" s="515" t="e">
        <f t="shared" si="6"/>
        <v>#REF!</v>
      </c>
      <c r="C132" s="511"/>
      <c r="D132" s="514" t="e">
        <f>IF((B132=""),IF(C132="",""," Hundred ")," Hundred ")</f>
        <v>#REF!</v>
      </c>
    </row>
    <row r="133" spans="1:4">
      <c r="A133" s="517"/>
      <c r="B133" s="511"/>
      <c r="C133" s="511"/>
      <c r="D133" s="512"/>
    </row>
    <row r="134" spans="1:4">
      <c r="A134" s="518">
        <v>1</v>
      </c>
      <c r="B134" s="519" t="s">
        <v>349</v>
      </c>
      <c r="C134" s="511"/>
      <c r="D134" s="512"/>
    </row>
    <row r="135" spans="1:4">
      <c r="A135" s="518">
        <v>2</v>
      </c>
      <c r="B135" s="519" t="s">
        <v>350</v>
      </c>
      <c r="C135" s="511"/>
      <c r="D135" s="512"/>
    </row>
    <row r="136" spans="1:4">
      <c r="A136" s="518">
        <v>3</v>
      </c>
      <c r="B136" s="519" t="s">
        <v>351</v>
      </c>
      <c r="C136" s="511"/>
      <c r="D136" s="512"/>
    </row>
    <row r="137" spans="1:4">
      <c r="A137" s="518">
        <v>4</v>
      </c>
      <c r="B137" s="519" t="s">
        <v>352</v>
      </c>
      <c r="C137" s="511"/>
      <c r="D137" s="512"/>
    </row>
    <row r="138" spans="1:4">
      <c r="A138" s="518">
        <v>5</v>
      </c>
      <c r="B138" s="519" t="s">
        <v>353</v>
      </c>
      <c r="C138" s="511"/>
      <c r="D138" s="512"/>
    </row>
    <row r="139" spans="1:4">
      <c r="A139" s="518">
        <v>6</v>
      </c>
      <c r="B139" s="519" t="s">
        <v>354</v>
      </c>
      <c r="C139" s="511"/>
      <c r="D139" s="512"/>
    </row>
    <row r="140" spans="1:4">
      <c r="A140" s="518">
        <v>7</v>
      </c>
      <c r="B140" s="519" t="s">
        <v>355</v>
      </c>
      <c r="C140" s="511"/>
      <c r="D140" s="512"/>
    </row>
    <row r="141" spans="1:4">
      <c r="A141" s="518">
        <v>8</v>
      </c>
      <c r="B141" s="519" t="s">
        <v>356</v>
      </c>
      <c r="C141" s="511"/>
      <c r="D141" s="512"/>
    </row>
    <row r="142" spans="1:4">
      <c r="A142" s="518">
        <v>9</v>
      </c>
      <c r="B142" s="519" t="s">
        <v>357</v>
      </c>
      <c r="C142" s="511"/>
      <c r="D142" s="512"/>
    </row>
    <row r="143" spans="1:4">
      <c r="A143" s="518">
        <v>10</v>
      </c>
      <c r="B143" s="519" t="s">
        <v>358</v>
      </c>
      <c r="C143" s="511"/>
      <c r="D143" s="512"/>
    </row>
    <row r="144" spans="1:4">
      <c r="A144" s="518">
        <v>11</v>
      </c>
      <c r="B144" s="519" t="s">
        <v>359</v>
      </c>
      <c r="C144" s="511"/>
      <c r="D144" s="512"/>
    </row>
    <row r="145" spans="1:4">
      <c r="A145" s="518">
        <v>12</v>
      </c>
      <c r="B145" s="519" t="s">
        <v>360</v>
      </c>
      <c r="C145" s="511"/>
      <c r="D145" s="512"/>
    </row>
    <row r="146" spans="1:4">
      <c r="A146" s="518">
        <v>13</v>
      </c>
      <c r="B146" s="519" t="s">
        <v>361</v>
      </c>
      <c r="C146" s="511"/>
      <c r="D146" s="512"/>
    </row>
    <row r="147" spans="1:4">
      <c r="A147" s="518">
        <v>14</v>
      </c>
      <c r="B147" s="519" t="s">
        <v>362</v>
      </c>
      <c r="C147" s="511"/>
      <c r="D147" s="512"/>
    </row>
    <row r="148" spans="1:4">
      <c r="A148" s="518">
        <v>15</v>
      </c>
      <c r="B148" s="519" t="s">
        <v>363</v>
      </c>
      <c r="C148" s="511"/>
      <c r="D148" s="512"/>
    </row>
    <row r="149" spans="1:4">
      <c r="A149" s="518">
        <v>16</v>
      </c>
      <c r="B149" s="519" t="s">
        <v>364</v>
      </c>
      <c r="C149" s="511"/>
      <c r="D149" s="512"/>
    </row>
    <row r="150" spans="1:4">
      <c r="A150" s="518">
        <v>17</v>
      </c>
      <c r="B150" s="519" t="s">
        <v>365</v>
      </c>
      <c r="C150" s="511"/>
      <c r="D150" s="512"/>
    </row>
    <row r="151" spans="1:4">
      <c r="A151" s="518">
        <v>18</v>
      </c>
      <c r="B151" s="519" t="s">
        <v>366</v>
      </c>
      <c r="C151" s="511"/>
      <c r="D151" s="512"/>
    </row>
    <row r="152" spans="1:4">
      <c r="A152" s="518">
        <v>19</v>
      </c>
      <c r="B152" s="519" t="s">
        <v>367</v>
      </c>
      <c r="C152" s="511"/>
      <c r="D152" s="512"/>
    </row>
    <row r="153" spans="1:4">
      <c r="A153" s="518">
        <v>20</v>
      </c>
      <c r="B153" s="519" t="s">
        <v>368</v>
      </c>
      <c r="C153" s="511"/>
      <c r="D153" s="512"/>
    </row>
    <row r="154" spans="1:4">
      <c r="A154" s="518">
        <v>21</v>
      </c>
      <c r="B154" s="519" t="s">
        <v>369</v>
      </c>
      <c r="C154" s="511"/>
      <c r="D154" s="512"/>
    </row>
    <row r="155" spans="1:4">
      <c r="A155" s="518">
        <v>22</v>
      </c>
      <c r="B155" s="519" t="s">
        <v>370</v>
      </c>
      <c r="C155" s="511"/>
      <c r="D155" s="512"/>
    </row>
    <row r="156" spans="1:4">
      <c r="A156" s="518">
        <v>23</v>
      </c>
      <c r="B156" s="519" t="s">
        <v>371</v>
      </c>
      <c r="C156" s="511"/>
      <c r="D156" s="512"/>
    </row>
    <row r="157" spans="1:4">
      <c r="A157" s="518">
        <v>24</v>
      </c>
      <c r="B157" s="519" t="s">
        <v>372</v>
      </c>
      <c r="C157" s="511"/>
      <c r="D157" s="512"/>
    </row>
    <row r="158" spans="1:4">
      <c r="A158" s="518">
        <v>25</v>
      </c>
      <c r="B158" s="519" t="s">
        <v>373</v>
      </c>
      <c r="C158" s="511"/>
      <c r="D158" s="512"/>
    </row>
    <row r="159" spans="1:4">
      <c r="A159" s="518">
        <v>26</v>
      </c>
      <c r="B159" s="519" t="s">
        <v>374</v>
      </c>
      <c r="C159" s="511"/>
      <c r="D159" s="512"/>
    </row>
    <row r="160" spans="1:4">
      <c r="A160" s="518">
        <v>27</v>
      </c>
      <c r="B160" s="519" t="s">
        <v>375</v>
      </c>
      <c r="C160" s="511"/>
      <c r="D160" s="512"/>
    </row>
    <row r="161" spans="1:4">
      <c r="A161" s="518">
        <v>28</v>
      </c>
      <c r="B161" s="519" t="s">
        <v>376</v>
      </c>
      <c r="C161" s="511"/>
      <c r="D161" s="512"/>
    </row>
    <row r="162" spans="1:4">
      <c r="A162" s="518">
        <v>29</v>
      </c>
      <c r="B162" s="519" t="s">
        <v>377</v>
      </c>
      <c r="C162" s="511"/>
      <c r="D162" s="512"/>
    </row>
    <row r="163" spans="1:4">
      <c r="A163" s="518">
        <v>30</v>
      </c>
      <c r="B163" s="519" t="s">
        <v>378</v>
      </c>
      <c r="C163" s="511"/>
      <c r="D163" s="512"/>
    </row>
    <row r="164" spans="1:4">
      <c r="A164" s="518">
        <v>31</v>
      </c>
      <c r="B164" s="519" t="s">
        <v>379</v>
      </c>
      <c r="C164" s="511"/>
      <c r="D164" s="512"/>
    </row>
    <row r="165" spans="1:4">
      <c r="A165" s="518">
        <v>32</v>
      </c>
      <c r="B165" s="519" t="s">
        <v>380</v>
      </c>
      <c r="C165" s="511"/>
      <c r="D165" s="512"/>
    </row>
    <row r="166" spans="1:4">
      <c r="A166" s="518">
        <v>33</v>
      </c>
      <c r="B166" s="519" t="s">
        <v>381</v>
      </c>
      <c r="C166" s="511"/>
      <c r="D166" s="512"/>
    </row>
    <row r="167" spans="1:4">
      <c r="A167" s="518">
        <v>34</v>
      </c>
      <c r="B167" s="519" t="s">
        <v>382</v>
      </c>
      <c r="C167" s="511"/>
      <c r="D167" s="512"/>
    </row>
    <row r="168" spans="1:4">
      <c r="A168" s="518">
        <v>35</v>
      </c>
      <c r="B168" s="519" t="s">
        <v>383</v>
      </c>
      <c r="C168" s="511"/>
      <c r="D168" s="512"/>
    </row>
    <row r="169" spans="1:4">
      <c r="A169" s="518">
        <v>36</v>
      </c>
      <c r="B169" s="519" t="s">
        <v>384</v>
      </c>
      <c r="C169" s="511"/>
      <c r="D169" s="512"/>
    </row>
    <row r="170" spans="1:4">
      <c r="A170" s="518">
        <v>37</v>
      </c>
      <c r="B170" s="519" t="s">
        <v>385</v>
      </c>
      <c r="C170" s="511"/>
      <c r="D170" s="512"/>
    </row>
    <row r="171" spans="1:4">
      <c r="A171" s="518">
        <v>38</v>
      </c>
      <c r="B171" s="519" t="s">
        <v>386</v>
      </c>
      <c r="C171" s="511"/>
      <c r="D171" s="512"/>
    </row>
    <row r="172" spans="1:4">
      <c r="A172" s="518">
        <v>39</v>
      </c>
      <c r="B172" s="519" t="s">
        <v>387</v>
      </c>
      <c r="C172" s="511"/>
      <c r="D172" s="512"/>
    </row>
    <row r="173" spans="1:4">
      <c r="A173" s="518">
        <v>40</v>
      </c>
      <c r="B173" s="519" t="s">
        <v>388</v>
      </c>
      <c r="C173" s="511"/>
      <c r="D173" s="512"/>
    </row>
    <row r="174" spans="1:4">
      <c r="A174" s="518">
        <v>41</v>
      </c>
      <c r="B174" s="519" t="s">
        <v>389</v>
      </c>
      <c r="C174" s="511"/>
      <c r="D174" s="512"/>
    </row>
    <row r="175" spans="1:4">
      <c r="A175" s="518">
        <v>42</v>
      </c>
      <c r="B175" s="519" t="s">
        <v>390</v>
      </c>
      <c r="C175" s="511"/>
      <c r="D175" s="512"/>
    </row>
    <row r="176" spans="1:4">
      <c r="A176" s="518">
        <v>43</v>
      </c>
      <c r="B176" s="519" t="s">
        <v>391</v>
      </c>
      <c r="C176" s="511"/>
      <c r="D176" s="512"/>
    </row>
    <row r="177" spans="1:4">
      <c r="A177" s="518">
        <v>44</v>
      </c>
      <c r="B177" s="519" t="s">
        <v>392</v>
      </c>
      <c r="C177" s="511"/>
      <c r="D177" s="512"/>
    </row>
    <row r="178" spans="1:4">
      <c r="A178" s="518">
        <v>45</v>
      </c>
      <c r="B178" s="519" t="s">
        <v>393</v>
      </c>
      <c r="C178" s="511"/>
      <c r="D178" s="512"/>
    </row>
    <row r="179" spans="1:4">
      <c r="A179" s="518">
        <v>46</v>
      </c>
      <c r="B179" s="519" t="s">
        <v>394</v>
      </c>
      <c r="C179" s="511"/>
      <c r="D179" s="512"/>
    </row>
    <row r="180" spans="1:4">
      <c r="A180" s="518">
        <v>47</v>
      </c>
      <c r="B180" s="519" t="s">
        <v>395</v>
      </c>
      <c r="C180" s="511"/>
      <c r="D180" s="512"/>
    </row>
    <row r="181" spans="1:4">
      <c r="A181" s="518">
        <v>48</v>
      </c>
      <c r="B181" s="519" t="s">
        <v>396</v>
      </c>
      <c r="C181" s="511"/>
      <c r="D181" s="512"/>
    </row>
    <row r="182" spans="1:4">
      <c r="A182" s="518">
        <v>49</v>
      </c>
      <c r="B182" s="519" t="s">
        <v>397</v>
      </c>
      <c r="C182" s="511"/>
      <c r="D182" s="512"/>
    </row>
    <row r="183" spans="1:4">
      <c r="A183" s="518">
        <v>50</v>
      </c>
      <c r="B183" s="519" t="s">
        <v>398</v>
      </c>
      <c r="C183" s="511"/>
      <c r="D183" s="512"/>
    </row>
    <row r="184" spans="1:4">
      <c r="A184" s="518">
        <v>51</v>
      </c>
      <c r="B184" s="519" t="s">
        <v>399</v>
      </c>
      <c r="C184" s="511"/>
      <c r="D184" s="512"/>
    </row>
    <row r="185" spans="1:4">
      <c r="A185" s="518">
        <v>52</v>
      </c>
      <c r="B185" s="519" t="s">
        <v>400</v>
      </c>
      <c r="C185" s="511"/>
      <c r="D185" s="512"/>
    </row>
    <row r="186" spans="1:4">
      <c r="A186" s="518">
        <v>53</v>
      </c>
      <c r="B186" s="519" t="s">
        <v>401</v>
      </c>
      <c r="C186" s="511"/>
      <c r="D186" s="512"/>
    </row>
    <row r="187" spans="1:4">
      <c r="A187" s="518">
        <v>54</v>
      </c>
      <c r="B187" s="519" t="s">
        <v>402</v>
      </c>
      <c r="C187" s="511"/>
      <c r="D187" s="512"/>
    </row>
    <row r="188" spans="1:4">
      <c r="A188" s="518">
        <v>55</v>
      </c>
      <c r="B188" s="519" t="s">
        <v>403</v>
      </c>
      <c r="C188" s="511"/>
      <c r="D188" s="512"/>
    </row>
    <row r="189" spans="1:4">
      <c r="A189" s="518">
        <v>56</v>
      </c>
      <c r="B189" s="519" t="s">
        <v>404</v>
      </c>
      <c r="C189" s="511"/>
      <c r="D189" s="512"/>
    </row>
    <row r="190" spans="1:4">
      <c r="A190" s="518">
        <v>57</v>
      </c>
      <c r="B190" s="519" t="s">
        <v>405</v>
      </c>
      <c r="C190" s="511"/>
      <c r="D190" s="512"/>
    </row>
    <row r="191" spans="1:4">
      <c r="A191" s="518">
        <v>58</v>
      </c>
      <c r="B191" s="519" t="s">
        <v>406</v>
      </c>
      <c r="C191" s="511"/>
      <c r="D191" s="512"/>
    </row>
    <row r="192" spans="1:4">
      <c r="A192" s="518">
        <v>59</v>
      </c>
      <c r="B192" s="519" t="s">
        <v>407</v>
      </c>
      <c r="C192" s="511"/>
      <c r="D192" s="512"/>
    </row>
    <row r="193" spans="1:4">
      <c r="A193" s="518">
        <v>60</v>
      </c>
      <c r="B193" s="519" t="s">
        <v>408</v>
      </c>
      <c r="C193" s="511"/>
      <c r="D193" s="512"/>
    </row>
    <row r="194" spans="1:4">
      <c r="A194" s="518">
        <v>61</v>
      </c>
      <c r="B194" s="519" t="s">
        <v>409</v>
      </c>
      <c r="C194" s="511"/>
      <c r="D194" s="512"/>
    </row>
    <row r="195" spans="1:4">
      <c r="A195" s="518">
        <v>62</v>
      </c>
      <c r="B195" s="519" t="s">
        <v>410</v>
      </c>
      <c r="C195" s="511"/>
      <c r="D195" s="512"/>
    </row>
    <row r="196" spans="1:4">
      <c r="A196" s="518">
        <v>63</v>
      </c>
      <c r="B196" s="519" t="s">
        <v>411</v>
      </c>
      <c r="C196" s="511"/>
      <c r="D196" s="512"/>
    </row>
    <row r="197" spans="1:4">
      <c r="A197" s="518">
        <v>64</v>
      </c>
      <c r="B197" s="519" t="s">
        <v>412</v>
      </c>
      <c r="C197" s="511"/>
      <c r="D197" s="512"/>
    </row>
    <row r="198" spans="1:4">
      <c r="A198" s="518">
        <v>65</v>
      </c>
      <c r="B198" s="519" t="s">
        <v>413</v>
      </c>
      <c r="C198" s="511"/>
      <c r="D198" s="512"/>
    </row>
    <row r="199" spans="1:4">
      <c r="A199" s="518">
        <v>66</v>
      </c>
      <c r="B199" s="519" t="s">
        <v>414</v>
      </c>
      <c r="C199" s="511"/>
      <c r="D199" s="512"/>
    </row>
    <row r="200" spans="1:4">
      <c r="A200" s="518">
        <v>67</v>
      </c>
      <c r="B200" s="519" t="s">
        <v>415</v>
      </c>
      <c r="C200" s="511"/>
      <c r="D200" s="512"/>
    </row>
    <row r="201" spans="1:4">
      <c r="A201" s="518">
        <v>68</v>
      </c>
      <c r="B201" s="519" t="s">
        <v>416</v>
      </c>
      <c r="C201" s="511"/>
      <c r="D201" s="512"/>
    </row>
    <row r="202" spans="1:4">
      <c r="A202" s="518">
        <v>69</v>
      </c>
      <c r="B202" s="519" t="s">
        <v>417</v>
      </c>
      <c r="C202" s="511"/>
      <c r="D202" s="512"/>
    </row>
    <row r="203" spans="1:4">
      <c r="A203" s="518">
        <v>70</v>
      </c>
      <c r="B203" s="519" t="s">
        <v>418</v>
      </c>
      <c r="C203" s="511"/>
      <c r="D203" s="512"/>
    </row>
    <row r="204" spans="1:4">
      <c r="A204" s="518">
        <v>71</v>
      </c>
      <c r="B204" s="519" t="s">
        <v>419</v>
      </c>
      <c r="C204" s="511"/>
      <c r="D204" s="512"/>
    </row>
    <row r="205" spans="1:4">
      <c r="A205" s="518">
        <v>72</v>
      </c>
      <c r="B205" s="519" t="s">
        <v>420</v>
      </c>
      <c r="C205" s="511"/>
      <c r="D205" s="512"/>
    </row>
    <row r="206" spans="1:4">
      <c r="A206" s="518">
        <v>73</v>
      </c>
      <c r="B206" s="519" t="s">
        <v>421</v>
      </c>
      <c r="C206" s="511"/>
      <c r="D206" s="512"/>
    </row>
    <row r="207" spans="1:4">
      <c r="A207" s="518">
        <v>74</v>
      </c>
      <c r="B207" s="519" t="s">
        <v>422</v>
      </c>
      <c r="C207" s="511"/>
      <c r="D207" s="512"/>
    </row>
    <row r="208" spans="1:4">
      <c r="A208" s="518">
        <v>75</v>
      </c>
      <c r="B208" s="519" t="s">
        <v>423</v>
      </c>
      <c r="C208" s="511"/>
      <c r="D208" s="512"/>
    </row>
    <row r="209" spans="1:4">
      <c r="A209" s="518">
        <v>76</v>
      </c>
      <c r="B209" s="519" t="s">
        <v>424</v>
      </c>
      <c r="C209" s="511"/>
      <c r="D209" s="512"/>
    </row>
    <row r="210" spans="1:4">
      <c r="A210" s="518">
        <v>77</v>
      </c>
      <c r="B210" s="519" t="s">
        <v>425</v>
      </c>
      <c r="C210" s="511"/>
      <c r="D210" s="512"/>
    </row>
    <row r="211" spans="1:4">
      <c r="A211" s="518">
        <v>78</v>
      </c>
      <c r="B211" s="519" t="s">
        <v>426</v>
      </c>
      <c r="C211" s="511"/>
      <c r="D211" s="512"/>
    </row>
    <row r="212" spans="1:4">
      <c r="A212" s="518">
        <v>79</v>
      </c>
      <c r="B212" s="519" t="s">
        <v>427</v>
      </c>
      <c r="C212" s="511"/>
      <c r="D212" s="512"/>
    </row>
    <row r="213" spans="1:4">
      <c r="A213" s="518">
        <v>80</v>
      </c>
      <c r="B213" s="519" t="s">
        <v>428</v>
      </c>
      <c r="C213" s="511"/>
      <c r="D213" s="512"/>
    </row>
    <row r="214" spans="1:4">
      <c r="A214" s="518">
        <v>81</v>
      </c>
      <c r="B214" s="519" t="s">
        <v>429</v>
      </c>
      <c r="C214" s="511"/>
      <c r="D214" s="512"/>
    </row>
    <row r="215" spans="1:4">
      <c r="A215" s="518">
        <v>82</v>
      </c>
      <c r="B215" s="519" t="s">
        <v>430</v>
      </c>
      <c r="C215" s="511"/>
      <c r="D215" s="512"/>
    </row>
    <row r="216" spans="1:4">
      <c r="A216" s="518">
        <v>83</v>
      </c>
      <c r="B216" s="519" t="s">
        <v>431</v>
      </c>
      <c r="C216" s="511"/>
      <c r="D216" s="512"/>
    </row>
    <row r="217" spans="1:4">
      <c r="A217" s="518">
        <v>84</v>
      </c>
      <c r="B217" s="519" t="s">
        <v>432</v>
      </c>
      <c r="C217" s="511"/>
      <c r="D217" s="512"/>
    </row>
    <row r="218" spans="1:4">
      <c r="A218" s="518">
        <v>85</v>
      </c>
      <c r="B218" s="519" t="s">
        <v>433</v>
      </c>
      <c r="C218" s="511"/>
      <c r="D218" s="512"/>
    </row>
    <row r="219" spans="1:4">
      <c r="A219" s="518">
        <v>86</v>
      </c>
      <c r="B219" s="519" t="s">
        <v>434</v>
      </c>
      <c r="C219" s="511"/>
      <c r="D219" s="512"/>
    </row>
    <row r="220" spans="1:4">
      <c r="A220" s="518">
        <v>87</v>
      </c>
      <c r="B220" s="519" t="s">
        <v>435</v>
      </c>
      <c r="C220" s="511"/>
      <c r="D220" s="512"/>
    </row>
    <row r="221" spans="1:4">
      <c r="A221" s="518">
        <v>88</v>
      </c>
      <c r="B221" s="519" t="s">
        <v>436</v>
      </c>
      <c r="C221" s="511"/>
      <c r="D221" s="512"/>
    </row>
    <row r="222" spans="1:4">
      <c r="A222" s="518">
        <v>89</v>
      </c>
      <c r="B222" s="519" t="s">
        <v>437</v>
      </c>
      <c r="C222" s="511"/>
      <c r="D222" s="512"/>
    </row>
    <row r="223" spans="1:4">
      <c r="A223" s="518">
        <v>90</v>
      </c>
      <c r="B223" s="519" t="s">
        <v>438</v>
      </c>
      <c r="C223" s="511"/>
      <c r="D223" s="512"/>
    </row>
    <row r="224" spans="1:4">
      <c r="A224" s="518">
        <v>91</v>
      </c>
      <c r="B224" s="519" t="s">
        <v>439</v>
      </c>
      <c r="C224" s="511"/>
      <c r="D224" s="512"/>
    </row>
    <row r="225" spans="1:4">
      <c r="A225" s="518">
        <v>92</v>
      </c>
      <c r="B225" s="519" t="s">
        <v>440</v>
      </c>
      <c r="C225" s="511"/>
      <c r="D225" s="512"/>
    </row>
    <row r="226" spans="1:4">
      <c r="A226" s="518">
        <v>93</v>
      </c>
      <c r="B226" s="519" t="s">
        <v>441</v>
      </c>
      <c r="C226" s="511"/>
      <c r="D226" s="512"/>
    </row>
    <row r="227" spans="1:4">
      <c r="A227" s="518">
        <v>94</v>
      </c>
      <c r="B227" s="519" t="s">
        <v>442</v>
      </c>
      <c r="C227" s="511"/>
      <c r="D227" s="512"/>
    </row>
    <row r="228" spans="1:4">
      <c r="A228" s="518">
        <v>95</v>
      </c>
      <c r="B228" s="519" t="s">
        <v>443</v>
      </c>
      <c r="C228" s="511"/>
      <c r="D228" s="512"/>
    </row>
    <row r="229" spans="1:4">
      <c r="A229" s="518">
        <v>96</v>
      </c>
      <c r="B229" s="519" t="s">
        <v>444</v>
      </c>
      <c r="C229" s="511"/>
      <c r="D229" s="512"/>
    </row>
    <row r="230" spans="1:4">
      <c r="A230" s="518">
        <v>97</v>
      </c>
      <c r="B230" s="519" t="s">
        <v>445</v>
      </c>
      <c r="C230" s="511"/>
      <c r="D230" s="512"/>
    </row>
    <row r="231" spans="1:4">
      <c r="A231" s="518">
        <v>98</v>
      </c>
      <c r="B231" s="519" t="s">
        <v>446</v>
      </c>
      <c r="C231" s="511"/>
      <c r="D231" s="512"/>
    </row>
    <row r="232" spans="1:4">
      <c r="A232" s="518">
        <v>99</v>
      </c>
      <c r="B232" s="519" t="s">
        <v>447</v>
      </c>
      <c r="C232" s="511"/>
      <c r="D232" s="512"/>
    </row>
    <row r="233" spans="1:4" ht="13.5" thickBot="1">
      <c r="A233" s="520">
        <v>100</v>
      </c>
      <c r="B233" s="521" t="s">
        <v>448</v>
      </c>
      <c r="C233" s="522"/>
      <c r="D233" s="523"/>
    </row>
  </sheetData>
  <sheetProtection selectLockedCells="1"/>
  <customSheetViews>
    <customSheetView guid="{C497F4E0-7D3E-4065-935D-7086BE9276FE}" hiddenColumns="1" state="hidden" topLeftCell="P1">
      <selection activeCell="DT28" sqref="DT28"/>
      <pageMargins left="0.75" right="0.75" top="1" bottom="1" header="0.5" footer="0.5"/>
      <pageSetup orientation="portrait" r:id="rId1"/>
      <headerFooter alignWithMargins="0"/>
    </customSheetView>
    <customSheetView guid="{889C3D82-0A24-4765-A688-A80A782F5056}" hiddenColumns="1" state="hidden" topLeftCell="P1">
      <selection activeCell="DT28" sqref="DT28"/>
      <pageMargins left="0.75" right="0.75" top="1" bottom="1" header="0.5" footer="0.5"/>
      <pageSetup orientation="portrait" r:id="rId2"/>
      <headerFooter alignWithMargins="0"/>
    </customSheetView>
    <customSheetView guid="{89CB4E6A-722E-4E39-885D-E2A6D0D08321}" hiddenColumns="1" state="hidden" topLeftCell="P1">
      <selection activeCell="DT28" sqref="DT28"/>
      <pageMargins left="0.75" right="0.75" top="1" bottom="1" header="0.5" footer="0.5"/>
      <pageSetup orientation="portrait" r:id="rId3"/>
      <headerFooter alignWithMargins="0"/>
    </customSheetView>
    <customSheetView guid="{915C64AD-BD67-44F0-9117-5B9D998BA799}" hiddenColumns="1" state="hidden" topLeftCell="P1">
      <selection activeCell="DT28" sqref="DT28"/>
      <pageMargins left="0.75" right="0.75" top="1" bottom="1" header="0.5" footer="0.5"/>
      <pageSetup orientation="portrait" r:id="rId4"/>
      <headerFooter alignWithMargins="0"/>
    </customSheetView>
    <customSheetView guid="{18EA11B4-BD82-47BF-99FA-7AB19BF74D0B}" hiddenColumns="1" state="hidden" topLeftCell="P1">
      <selection activeCell="DT28" sqref="DT28"/>
      <pageMargins left="0.75" right="0.75" top="1" bottom="1" header="0.5" footer="0.5"/>
      <pageSetup orientation="portrait" r:id="rId5"/>
      <headerFooter alignWithMargins="0"/>
    </customSheetView>
    <customSheetView guid="{CCA37BAE-906F-43D5-9FD9-B13563E4B9D7}" hiddenColumns="1" state="hidden" topLeftCell="P1">
      <selection activeCell="DT28" sqref="DT28"/>
      <pageMargins left="0.75" right="0.75" top="1" bottom="1" header="0.5" footer="0.5"/>
      <pageSetup orientation="portrait" r:id="rId6"/>
      <headerFooter alignWithMargins="0"/>
    </customSheetView>
    <customSheetView guid="{99CA2F10-F926-46DC-8609-4EAE5B9F3585}" hiddenColumns="1" state="hidden" topLeftCell="P1">
      <selection activeCell="DT28" sqref="DT28"/>
      <pageMargins left="0.75" right="0.75" top="1" bottom="1" header="0.5" footer="0.5"/>
      <pageSetup orientation="portrait" r:id="rId7"/>
      <headerFooter alignWithMargins="0"/>
    </customSheetView>
    <customSheetView guid="{A58DB4DF-40C7-4BEB-B85E-6BD6F54941CF}" hiddenColumns="1" state="hidden" topLeftCell="P1">
      <selection activeCell="DT28" sqref="DT28"/>
      <pageMargins left="0.75" right="0.75" top="1" bottom="1" header="0.5" footer="0.5"/>
      <pageSetup orientation="portrait" r:id="rId8"/>
      <headerFooter alignWithMargins="0"/>
    </customSheetView>
    <customSheetView guid="{1211E1B9-FC37-4364-9CF0-0FFC01866726}" hiddenColumns="1" state="hidden" topLeftCell="P1">
      <selection activeCell="DT28" sqref="DT28"/>
      <pageMargins left="0.75" right="0.75" top="1" bottom="1" header="0.5" footer="0.5"/>
      <pageSetup orientation="portrait" r:id="rId9"/>
      <headerFooter alignWithMargins="0"/>
    </customSheetView>
  </customSheetViews>
  <mergeCells count="14">
    <mergeCell ref="U4:AA4"/>
    <mergeCell ref="U5:AA5"/>
    <mergeCell ref="A122:B122"/>
    <mergeCell ref="A123:B123"/>
    <mergeCell ref="A125:D125"/>
    <mergeCell ref="A4:D4"/>
    <mergeCell ref="F4:I4"/>
    <mergeCell ref="K4:N4"/>
    <mergeCell ref="P4:S4"/>
    <mergeCell ref="A1:B1"/>
    <mergeCell ref="F1:G1"/>
    <mergeCell ref="K1:L1"/>
    <mergeCell ref="P1:Q1"/>
    <mergeCell ref="A2:B2"/>
  </mergeCells>
  <pageMargins left="0.75" right="0.75" top="1" bottom="1" header="0.5" footer="0.5"/>
  <pageSetup orientation="portrait" r:id="rId1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RowHeight="16.5"/>
  <cols>
    <col min="1" max="1" width="9.140625" style="44"/>
    <col min="2" max="2" width="9.140625" style="45"/>
    <col min="3" max="3" width="83" style="45" customWidth="1"/>
    <col min="4" max="4" width="75.5703125" style="44" customWidth="1"/>
    <col min="5" max="16384" width="9.140625" style="43"/>
  </cols>
  <sheetData>
    <row r="1" spans="1:11" ht="45" customHeight="1">
      <c r="A1" s="778" t="s">
        <v>332</v>
      </c>
      <c r="B1" s="778"/>
      <c r="C1" s="778"/>
      <c r="D1" s="41"/>
      <c r="E1" s="42"/>
      <c r="F1" s="42"/>
      <c r="G1" s="42"/>
      <c r="H1" s="42"/>
      <c r="I1" s="42"/>
      <c r="J1" s="42"/>
      <c r="K1" s="42"/>
    </row>
    <row r="2" spans="1:11" ht="18" customHeight="1">
      <c r="D2" s="17"/>
      <c r="E2" s="46"/>
      <c r="F2" s="46"/>
      <c r="G2" s="46"/>
      <c r="H2" s="46"/>
      <c r="I2" s="46"/>
      <c r="J2" s="46"/>
      <c r="K2" s="46"/>
    </row>
    <row r="3" spans="1:11" ht="18" customHeight="1">
      <c r="A3" s="47" t="s">
        <v>49</v>
      </c>
      <c r="B3" s="45" t="s">
        <v>50</v>
      </c>
      <c r="D3" s="48"/>
      <c r="E3" s="49"/>
      <c r="F3" s="49"/>
      <c r="G3" s="49"/>
      <c r="H3" s="49"/>
      <c r="I3" s="49"/>
      <c r="J3" s="49"/>
      <c r="K3" s="49"/>
    </row>
    <row r="4" spans="1:11" ht="18" customHeight="1">
      <c r="B4" s="50" t="s">
        <v>51</v>
      </c>
      <c r="C4" s="51" t="s">
        <v>52</v>
      </c>
      <c r="D4" s="48"/>
      <c r="E4" s="49"/>
      <c r="F4" s="49"/>
      <c r="G4" s="49"/>
      <c r="H4" s="49"/>
      <c r="I4" s="49"/>
      <c r="J4" s="49"/>
      <c r="K4" s="49"/>
    </row>
    <row r="5" spans="1:11" ht="38.1" customHeight="1">
      <c r="B5" s="50" t="s">
        <v>53</v>
      </c>
      <c r="C5" s="51" t="s">
        <v>54</v>
      </c>
      <c r="D5" s="48"/>
      <c r="E5" s="49"/>
      <c r="F5" s="49"/>
      <c r="G5" s="49"/>
      <c r="H5" s="49"/>
      <c r="I5" s="49"/>
      <c r="J5" s="49"/>
      <c r="K5" s="49"/>
    </row>
    <row r="6" spans="1:11" ht="18" customHeight="1">
      <c r="B6" s="50" t="s">
        <v>55</v>
      </c>
      <c r="C6" s="51" t="s">
        <v>56</v>
      </c>
      <c r="D6" s="48"/>
      <c r="E6" s="49"/>
      <c r="F6" s="49"/>
      <c r="G6" s="49"/>
      <c r="H6" s="49"/>
      <c r="I6" s="49"/>
      <c r="J6" s="49"/>
      <c r="K6" s="49"/>
    </row>
    <row r="7" spans="1:11" ht="18" customHeight="1">
      <c r="B7" s="50" t="s">
        <v>57</v>
      </c>
      <c r="C7" s="51" t="s">
        <v>58</v>
      </c>
      <c r="D7" s="48"/>
      <c r="E7" s="49"/>
      <c r="F7" s="49"/>
      <c r="G7" s="49"/>
      <c r="H7" s="49"/>
      <c r="I7" s="49"/>
      <c r="J7" s="49"/>
      <c r="K7" s="49"/>
    </row>
    <row r="8" spans="1:11" ht="18" customHeight="1">
      <c r="B8" s="50" t="s">
        <v>59</v>
      </c>
      <c r="C8" s="51" t="s">
        <v>60</v>
      </c>
      <c r="D8" s="48"/>
      <c r="E8" s="49"/>
      <c r="F8" s="49"/>
      <c r="G8" s="49"/>
      <c r="H8" s="49"/>
      <c r="I8" s="49"/>
      <c r="J8" s="49"/>
      <c r="K8" s="49"/>
    </row>
    <row r="9" spans="1:11" ht="18" customHeight="1">
      <c r="B9" s="50" t="s">
        <v>61</v>
      </c>
      <c r="C9" s="51" t="s">
        <v>62</v>
      </c>
      <c r="D9" s="48"/>
      <c r="E9" s="49"/>
      <c r="F9" s="49"/>
      <c r="G9" s="49"/>
      <c r="H9" s="49"/>
      <c r="I9" s="49"/>
      <c r="J9" s="49"/>
      <c r="K9" s="49"/>
    </row>
    <row r="10" spans="1:11" ht="18" customHeight="1">
      <c r="B10" s="50"/>
      <c r="C10" s="51"/>
      <c r="D10" s="48"/>
      <c r="E10" s="49"/>
      <c r="F10" s="49"/>
      <c r="G10" s="49"/>
      <c r="H10" s="49"/>
      <c r="I10" s="49"/>
      <c r="J10" s="49"/>
      <c r="K10" s="49"/>
    </row>
    <row r="11" spans="1:11" ht="18" customHeight="1">
      <c r="A11" s="47" t="s">
        <v>63</v>
      </c>
      <c r="B11" s="45" t="s">
        <v>64</v>
      </c>
      <c r="D11" s="48"/>
      <c r="E11" s="49"/>
      <c r="F11" s="49"/>
      <c r="G11" s="49"/>
      <c r="H11" s="49"/>
      <c r="I11" s="49"/>
      <c r="J11" s="49"/>
      <c r="K11" s="49"/>
    </row>
    <row r="12" spans="1:11" ht="18" customHeight="1">
      <c r="B12" s="777" t="s">
        <v>65</v>
      </c>
      <c r="C12" s="777"/>
      <c r="D12" s="52"/>
      <c r="E12" s="49"/>
      <c r="F12" s="49"/>
      <c r="G12" s="49"/>
      <c r="H12" s="49"/>
      <c r="I12" s="49"/>
      <c r="J12" s="49"/>
      <c r="K12" s="49"/>
    </row>
    <row r="13" spans="1:11" ht="18" customHeight="1">
      <c r="B13" s="53"/>
      <c r="C13" s="51" t="s">
        <v>66</v>
      </c>
      <c r="D13" s="48"/>
      <c r="E13" s="49"/>
      <c r="F13" s="49"/>
      <c r="G13" s="49"/>
      <c r="H13" s="49"/>
      <c r="I13" s="49"/>
      <c r="J13" s="49"/>
      <c r="K13" s="49"/>
    </row>
    <row r="14" spans="1:11" ht="18" customHeight="1">
      <c r="B14" s="777" t="s">
        <v>67</v>
      </c>
      <c r="C14" s="777"/>
      <c r="D14" s="52"/>
      <c r="E14" s="49"/>
      <c r="F14" s="49"/>
      <c r="G14" s="49"/>
      <c r="H14" s="49"/>
      <c r="I14" s="49"/>
      <c r="J14" s="49"/>
      <c r="K14" s="49"/>
    </row>
    <row r="15" spans="1:11" ht="38.1" customHeight="1">
      <c r="B15" s="54" t="s">
        <v>68</v>
      </c>
      <c r="C15" s="51" t="s">
        <v>69</v>
      </c>
      <c r="D15" s="48"/>
      <c r="E15" s="49"/>
      <c r="F15" s="49"/>
      <c r="G15" s="49"/>
      <c r="H15" s="49"/>
      <c r="I15" s="49"/>
      <c r="J15" s="49"/>
      <c r="K15" s="49"/>
    </row>
    <row r="16" spans="1:11" ht="36" customHeight="1">
      <c r="B16" s="54" t="s">
        <v>68</v>
      </c>
      <c r="C16" s="51" t="s">
        <v>70</v>
      </c>
      <c r="D16" s="48"/>
      <c r="E16" s="49"/>
      <c r="F16" s="49"/>
      <c r="G16" s="49"/>
      <c r="H16" s="49"/>
      <c r="I16" s="49"/>
      <c r="J16" s="49"/>
      <c r="K16" s="49"/>
    </row>
    <row r="17" spans="2:11" ht="42" customHeight="1">
      <c r="B17" s="54" t="s">
        <v>68</v>
      </c>
      <c r="C17" s="51" t="s">
        <v>71</v>
      </c>
      <c r="D17" s="48"/>
      <c r="E17" s="49"/>
      <c r="F17" s="49"/>
      <c r="G17" s="49"/>
      <c r="H17" s="49"/>
      <c r="I17" s="49"/>
      <c r="J17" s="49"/>
      <c r="K17" s="49"/>
    </row>
    <row r="18" spans="2:11" ht="18" customHeight="1">
      <c r="B18" s="54" t="s">
        <v>68</v>
      </c>
      <c r="C18" s="51" t="s">
        <v>72</v>
      </c>
      <c r="D18" s="48"/>
      <c r="E18" s="49"/>
      <c r="F18" s="49"/>
      <c r="G18" s="49"/>
      <c r="H18" s="49"/>
      <c r="I18" s="49"/>
      <c r="J18" s="49"/>
      <c r="K18" s="49"/>
    </row>
    <row r="19" spans="2:11" ht="18" customHeight="1">
      <c r="B19" s="54" t="s">
        <v>68</v>
      </c>
      <c r="C19" s="55" t="s">
        <v>73</v>
      </c>
      <c r="D19" s="48"/>
      <c r="E19" s="49"/>
      <c r="F19" s="49"/>
      <c r="G19" s="49"/>
      <c r="H19" s="49"/>
      <c r="I19" s="49"/>
      <c r="J19" s="49"/>
      <c r="K19" s="49"/>
    </row>
    <row r="20" spans="2:11" ht="18" customHeight="1">
      <c r="B20" s="54" t="s">
        <v>68</v>
      </c>
      <c r="C20" s="51" t="s">
        <v>74</v>
      </c>
      <c r="D20" s="48"/>
      <c r="E20" s="49"/>
      <c r="F20" s="49"/>
      <c r="G20" s="49"/>
      <c r="H20" s="49"/>
      <c r="I20" s="49"/>
      <c r="J20" s="49"/>
      <c r="K20" s="49"/>
    </row>
    <row r="21" spans="2:11" ht="18" customHeight="1">
      <c r="B21" s="777" t="s">
        <v>75</v>
      </c>
      <c r="C21" s="777"/>
      <c r="D21" s="52"/>
      <c r="E21" s="49"/>
      <c r="F21" s="49"/>
      <c r="G21" s="49"/>
      <c r="H21" s="49"/>
      <c r="I21" s="49"/>
      <c r="J21" s="49"/>
      <c r="K21" s="49"/>
    </row>
    <row r="22" spans="2:11" ht="54" customHeight="1">
      <c r="B22" s="54" t="s">
        <v>68</v>
      </c>
      <c r="C22" s="51" t="s">
        <v>76</v>
      </c>
      <c r="D22" s="48"/>
      <c r="E22" s="49"/>
      <c r="F22" s="49"/>
      <c r="G22" s="49"/>
      <c r="H22" s="49"/>
      <c r="I22" s="49"/>
      <c r="J22" s="49"/>
      <c r="K22" s="49"/>
    </row>
    <row r="23" spans="2:11" ht="54" customHeight="1">
      <c r="B23" s="54" t="s">
        <v>68</v>
      </c>
      <c r="C23" s="51" t="s">
        <v>77</v>
      </c>
      <c r="D23" s="48"/>
      <c r="E23" s="49"/>
      <c r="F23" s="49"/>
      <c r="G23" s="49"/>
      <c r="H23" s="49"/>
      <c r="I23" s="49"/>
      <c r="J23" s="49"/>
      <c r="K23" s="49"/>
    </row>
    <row r="24" spans="2:11" ht="57.6" customHeight="1">
      <c r="B24" s="54" t="s">
        <v>68</v>
      </c>
      <c r="C24" s="51" t="s">
        <v>78</v>
      </c>
      <c r="D24" s="48"/>
      <c r="E24" s="49"/>
      <c r="F24" s="49"/>
      <c r="G24" s="49"/>
      <c r="H24" s="49"/>
      <c r="I24" s="49"/>
      <c r="J24" s="49"/>
      <c r="K24" s="49"/>
    </row>
    <row r="25" spans="2:11" ht="18" customHeight="1">
      <c r="B25" s="54" t="s">
        <v>68</v>
      </c>
      <c r="C25" s="51" t="s">
        <v>79</v>
      </c>
      <c r="D25" s="48"/>
      <c r="E25" s="49"/>
      <c r="F25" s="49"/>
      <c r="G25" s="49"/>
      <c r="H25" s="49"/>
      <c r="I25" s="49"/>
      <c r="J25" s="49"/>
      <c r="K25" s="49"/>
    </row>
    <row r="26" spans="2:11" ht="38.1" customHeight="1">
      <c r="B26" s="54" t="s">
        <v>68</v>
      </c>
      <c r="C26" s="51" t="s">
        <v>80</v>
      </c>
      <c r="D26" s="48"/>
      <c r="E26" s="49"/>
      <c r="F26" s="49"/>
      <c r="G26" s="49"/>
      <c r="H26" s="49"/>
      <c r="I26" s="49"/>
      <c r="J26" s="49"/>
      <c r="K26" s="49"/>
    </row>
    <row r="27" spans="2:11" ht="18" customHeight="1">
      <c r="B27" s="777" t="s">
        <v>81</v>
      </c>
      <c r="C27" s="777"/>
      <c r="D27" s="52"/>
      <c r="E27" s="49"/>
      <c r="F27" s="49"/>
      <c r="G27" s="49"/>
      <c r="H27" s="49"/>
      <c r="I27" s="49"/>
      <c r="J27" s="49"/>
      <c r="K27" s="49"/>
    </row>
    <row r="28" spans="2:11" ht="54" customHeight="1">
      <c r="B28" s="54" t="s">
        <v>68</v>
      </c>
      <c r="C28" s="51" t="s">
        <v>76</v>
      </c>
      <c r="D28" s="48"/>
      <c r="E28" s="49"/>
      <c r="F28" s="49"/>
      <c r="G28" s="49"/>
      <c r="H28" s="49"/>
      <c r="I28" s="49"/>
      <c r="J28" s="49"/>
      <c r="K28" s="49"/>
    </row>
    <row r="29" spans="2:11" ht="18" customHeight="1">
      <c r="B29" s="54" t="s">
        <v>68</v>
      </c>
      <c r="C29" s="51" t="s">
        <v>79</v>
      </c>
      <c r="D29" s="48"/>
      <c r="E29" s="49"/>
      <c r="F29" s="49"/>
      <c r="G29" s="49"/>
      <c r="H29" s="49"/>
      <c r="I29" s="49"/>
      <c r="J29" s="49"/>
      <c r="K29" s="49"/>
    </row>
    <row r="30" spans="2:11" ht="18" customHeight="1">
      <c r="B30" s="777" t="s">
        <v>82</v>
      </c>
      <c r="C30" s="777"/>
      <c r="D30" s="52"/>
    </row>
    <row r="31" spans="2:11" ht="54" customHeight="1">
      <c r="B31" s="54" t="s">
        <v>68</v>
      </c>
      <c r="C31" s="51" t="s">
        <v>76</v>
      </c>
      <c r="D31" s="48"/>
      <c r="E31" s="49"/>
      <c r="F31" s="49"/>
      <c r="G31" s="49"/>
      <c r="H31" s="49"/>
      <c r="I31" s="49"/>
      <c r="J31" s="49"/>
      <c r="K31" s="49"/>
    </row>
    <row r="32" spans="2:11" ht="18" customHeight="1">
      <c r="B32" s="54" t="s">
        <v>68</v>
      </c>
      <c r="C32" s="51" t="s">
        <v>79</v>
      </c>
      <c r="D32" s="48"/>
    </row>
    <row r="33" spans="2:11" ht="18" customHeight="1">
      <c r="B33" s="777" t="s">
        <v>83</v>
      </c>
      <c r="C33" s="777"/>
      <c r="D33" s="52"/>
    </row>
    <row r="34" spans="2:11" ht="18" customHeight="1">
      <c r="B34" s="54" t="s">
        <v>68</v>
      </c>
      <c r="C34" s="51" t="s">
        <v>84</v>
      </c>
      <c r="D34" s="48"/>
    </row>
    <row r="35" spans="2:11" ht="18" customHeight="1">
      <c r="B35" s="777" t="s">
        <v>85</v>
      </c>
      <c r="C35" s="777"/>
      <c r="D35" s="52"/>
    </row>
    <row r="36" spans="2:11" ht="66.599999999999994" customHeight="1">
      <c r="B36" s="54" t="s">
        <v>68</v>
      </c>
      <c r="C36" s="51" t="s">
        <v>86</v>
      </c>
      <c r="D36" s="48"/>
      <c r="E36" s="49"/>
      <c r="F36" s="49"/>
      <c r="G36" s="49"/>
      <c r="H36" s="49"/>
      <c r="I36" s="49"/>
      <c r="J36" s="49"/>
      <c r="K36" s="49"/>
    </row>
    <row r="37" spans="2:11" ht="146.1" customHeight="1">
      <c r="B37" s="54" t="s">
        <v>68</v>
      </c>
      <c r="C37" s="51" t="s">
        <v>87</v>
      </c>
      <c r="D37" s="48"/>
      <c r="E37" s="49"/>
      <c r="F37" s="49"/>
      <c r="G37" s="49"/>
      <c r="H37" s="49"/>
      <c r="I37" s="49"/>
      <c r="J37" s="49"/>
      <c r="K37" s="49"/>
    </row>
    <row r="38" spans="2:11" ht="164.1" customHeight="1">
      <c r="B38" s="54" t="s">
        <v>68</v>
      </c>
      <c r="C38" s="51" t="s">
        <v>88</v>
      </c>
      <c r="D38" s="48"/>
      <c r="E38" s="49"/>
      <c r="F38" s="49"/>
      <c r="G38" s="49"/>
      <c r="H38" s="49"/>
      <c r="I38" s="49"/>
      <c r="J38" s="49"/>
      <c r="K38" s="49"/>
    </row>
    <row r="39" spans="2:11" ht="75.95" customHeight="1">
      <c r="B39" s="54" t="s">
        <v>68</v>
      </c>
      <c r="C39" s="51" t="s">
        <v>89</v>
      </c>
      <c r="D39" s="48"/>
      <c r="E39" s="49"/>
      <c r="F39" s="49"/>
      <c r="G39" s="49"/>
      <c r="H39" s="49"/>
      <c r="I39" s="49"/>
      <c r="J39" s="49"/>
      <c r="K39" s="49"/>
    </row>
    <row r="40" spans="2:11" ht="38.1" customHeight="1">
      <c r="B40" s="54" t="s">
        <v>68</v>
      </c>
      <c r="C40" s="51" t="s">
        <v>90</v>
      </c>
    </row>
    <row r="41" spans="2:11" ht="18" customHeight="1">
      <c r="B41" s="777" t="s">
        <v>91</v>
      </c>
      <c r="C41" s="777"/>
    </row>
    <row r="42" spans="2:11" ht="38.1" customHeight="1">
      <c r="B42" s="54" t="s">
        <v>68</v>
      </c>
      <c r="C42" s="51" t="s">
        <v>92</v>
      </c>
    </row>
    <row r="43" spans="2:11" ht="18" customHeight="1">
      <c r="B43" s="54" t="s">
        <v>68</v>
      </c>
      <c r="C43" s="56" t="s">
        <v>93</v>
      </c>
    </row>
    <row r="44" spans="2:11" ht="18" customHeight="1">
      <c r="B44" s="777" t="s">
        <v>94</v>
      </c>
      <c r="C44" s="777"/>
    </row>
    <row r="45" spans="2:11" ht="38.1" customHeight="1">
      <c r="B45" s="54" t="s">
        <v>68</v>
      </c>
      <c r="C45" s="51" t="s">
        <v>95</v>
      </c>
    </row>
    <row r="46" spans="2:11" ht="18" customHeight="1">
      <c r="B46" s="54" t="s">
        <v>68</v>
      </c>
      <c r="C46" s="56" t="s">
        <v>93</v>
      </c>
    </row>
    <row r="47" spans="2:11" ht="18" customHeight="1">
      <c r="B47" s="777" t="s">
        <v>96</v>
      </c>
      <c r="C47" s="777" t="s">
        <v>97</v>
      </c>
    </row>
    <row r="48" spans="2:11" ht="48" customHeight="1">
      <c r="B48" s="54" t="s">
        <v>68</v>
      </c>
      <c r="C48" s="51" t="s">
        <v>98</v>
      </c>
    </row>
    <row r="49" spans="1:11" ht="18" customHeight="1">
      <c r="B49" s="54" t="s">
        <v>68</v>
      </c>
      <c r="C49" s="56" t="s">
        <v>93</v>
      </c>
    </row>
    <row r="50" spans="1:11" ht="18" customHeight="1">
      <c r="B50" s="777" t="s">
        <v>99</v>
      </c>
      <c r="C50" s="777"/>
    </row>
    <row r="51" spans="1:11" ht="38.1" customHeight="1">
      <c r="B51" s="54" t="s">
        <v>68</v>
      </c>
      <c r="C51" s="51" t="s">
        <v>100</v>
      </c>
    </row>
    <row r="52" spans="1:11" ht="38.1" customHeight="1">
      <c r="B52" s="54" t="s">
        <v>68</v>
      </c>
      <c r="C52" s="51" t="s">
        <v>101</v>
      </c>
    </row>
    <row r="53" spans="1:11" ht="18" customHeight="1">
      <c r="B53" s="777" t="s">
        <v>102</v>
      </c>
      <c r="C53" s="777"/>
    </row>
    <row r="54" spans="1:11" ht="18" customHeight="1">
      <c r="B54" s="54" t="s">
        <v>68</v>
      </c>
      <c r="C54" s="57" t="s">
        <v>103</v>
      </c>
    </row>
    <row r="55" spans="1:11" ht="18" customHeight="1">
      <c r="B55" s="54" t="s">
        <v>68</v>
      </c>
      <c r="C55" s="57" t="s">
        <v>104</v>
      </c>
    </row>
    <row r="56" spans="1:11" ht="18" customHeight="1">
      <c r="B56" s="777" t="s">
        <v>105</v>
      </c>
      <c r="C56" s="777"/>
    </row>
    <row r="57" spans="1:11" ht="18" customHeight="1">
      <c r="B57" s="54" t="s">
        <v>68</v>
      </c>
      <c r="C57" s="51" t="s">
        <v>106</v>
      </c>
      <c r="D57" s="48"/>
      <c r="E57" s="49"/>
      <c r="F57" s="49"/>
      <c r="G57" s="49"/>
      <c r="H57" s="49"/>
      <c r="I57" s="49"/>
      <c r="J57" s="49"/>
      <c r="K57" s="49"/>
    </row>
    <row r="58" spans="1:11" ht="18" customHeight="1">
      <c r="B58" s="54" t="s">
        <v>68</v>
      </c>
      <c r="C58" s="51" t="s">
        <v>107</v>
      </c>
      <c r="D58" s="48"/>
      <c r="E58" s="49"/>
      <c r="F58" s="49"/>
      <c r="G58" s="49"/>
      <c r="H58" s="49"/>
      <c r="I58" s="49"/>
      <c r="J58" s="49"/>
      <c r="K58" s="49"/>
    </row>
    <row r="59" spans="1:11" ht="36" customHeight="1">
      <c r="B59" s="54" t="s">
        <v>68</v>
      </c>
      <c r="C59" s="51" t="s">
        <v>108</v>
      </c>
      <c r="D59" s="48"/>
      <c r="E59" s="49"/>
      <c r="F59" s="49"/>
      <c r="G59" s="49"/>
      <c r="H59" s="49"/>
      <c r="I59" s="49"/>
      <c r="J59" s="49"/>
      <c r="K59" s="49"/>
    </row>
    <row r="60" spans="1:11" ht="18" customHeight="1">
      <c r="B60" s="54" t="s">
        <v>68</v>
      </c>
      <c r="C60" s="51" t="s">
        <v>109</v>
      </c>
      <c r="D60" s="48"/>
      <c r="E60" s="49"/>
      <c r="F60" s="49"/>
      <c r="G60" s="49"/>
      <c r="H60" s="49"/>
      <c r="I60" s="49"/>
      <c r="J60" s="49"/>
      <c r="K60" s="49"/>
    </row>
    <row r="61" spans="1:11" ht="18" customHeight="1">
      <c r="A61" s="45"/>
      <c r="C61" s="58"/>
    </row>
    <row r="62" spans="1:11" ht="18" customHeight="1">
      <c r="A62" s="781"/>
      <c r="B62" s="781"/>
      <c r="C62" s="781"/>
      <c r="D62" s="59"/>
    </row>
    <row r="63" spans="1:11" ht="18" customHeight="1">
      <c r="A63" s="779" t="s">
        <v>110</v>
      </c>
      <c r="B63" s="779"/>
      <c r="C63" s="779"/>
      <c r="D63" s="59"/>
    </row>
    <row r="64" spans="1:11" ht="36" customHeight="1">
      <c r="A64" s="780" t="s">
        <v>111</v>
      </c>
      <c r="B64" s="780"/>
      <c r="C64" s="780"/>
    </row>
    <row r="65" spans="2:3" ht="18" customHeight="1">
      <c r="B65" s="60"/>
      <c r="C65" s="60"/>
    </row>
    <row r="66" spans="2:3" ht="18" customHeight="1">
      <c r="C66" s="57"/>
    </row>
    <row r="67" spans="2:3" ht="18" customHeight="1">
      <c r="C67" s="58"/>
    </row>
    <row r="68" spans="2:3" ht="18" customHeight="1">
      <c r="C68" s="57"/>
    </row>
    <row r="69" spans="2:3" ht="18" customHeight="1">
      <c r="B69" s="58"/>
      <c r="C69" s="58"/>
    </row>
    <row r="70" spans="2:3" ht="18" customHeight="1">
      <c r="B70" s="58"/>
      <c r="C70" s="58"/>
    </row>
    <row r="71" spans="2:3" ht="18" customHeight="1">
      <c r="B71" s="58"/>
      <c r="C71" s="58"/>
    </row>
    <row r="72" spans="2:3" ht="18" customHeight="1">
      <c r="B72" s="58"/>
      <c r="C72" s="58"/>
    </row>
    <row r="73" spans="2:3" ht="18" customHeight="1">
      <c r="B73" s="58"/>
      <c r="C73" s="58"/>
    </row>
    <row r="74" spans="2:3" ht="18" customHeight="1">
      <c r="B74" s="58"/>
      <c r="C74" s="58"/>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C497F4E0-7D3E-4065-935D-7086BE9276FE}"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889C3D82-0A24-4765-A688-A80A782F5056}"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89CB4E6A-722E-4E39-885D-E2A6D0D08321}"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915C64AD-BD67-44F0-9117-5B9D998BA799}"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18EA11B4-BD82-47BF-99FA-7AB19BF74D0B}"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A58DB4DF-40C7-4BEB-B85E-6BD6F54941CF}"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1211E1B9-FC37-4364-9CF0-0FFC01866726}"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s>
  <mergeCells count="17">
    <mergeCell ref="A63:C63"/>
    <mergeCell ref="A64:C64"/>
    <mergeCell ref="B50:C50"/>
    <mergeCell ref="B44:C44"/>
    <mergeCell ref="B47:C47"/>
    <mergeCell ref="B53:C53"/>
    <mergeCell ref="B56:C56"/>
    <mergeCell ref="A62:C62"/>
    <mergeCell ref="B33:C33"/>
    <mergeCell ref="B35:C35"/>
    <mergeCell ref="B41:C41"/>
    <mergeCell ref="B30:C30"/>
    <mergeCell ref="A1:C1"/>
    <mergeCell ref="B12:C12"/>
    <mergeCell ref="B14:C14"/>
    <mergeCell ref="B21:C21"/>
    <mergeCell ref="B27:C27"/>
  </mergeCells>
  <pageMargins left="0.75" right="0.75" top="0.55000000000000004" bottom="0.47" header="0.32" footer="0.25"/>
  <pageSetup orientation="portrait" r:id="rId14"/>
  <headerFooter alignWithMargins="0">
    <oddFooter>&amp;RPage &amp;P of &amp;N</oddFooter>
  </headerFooter>
  <rowBreaks count="1" manualBreakCount="1">
    <brk id="29" max="2" man="1"/>
  </rowBreak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O24"/>
  <sheetViews>
    <sheetView showGridLines="0" view="pageBreakPreview" zoomScale="115" zoomScaleSheetLayoutView="115" workbookViewId="0">
      <selection activeCell="C6" sqref="C6:F6"/>
    </sheetView>
  </sheetViews>
  <sheetFormatPr defaultRowHeight="15.75"/>
  <cols>
    <col min="1" max="1" width="33" style="432" customWidth="1"/>
    <col min="2" max="2" width="11.7109375" style="432" customWidth="1"/>
    <col min="3" max="4" width="6.42578125" style="432" customWidth="1"/>
    <col min="5" max="5" width="6.42578125" style="435" customWidth="1"/>
    <col min="6" max="6" width="39" style="435" customWidth="1"/>
    <col min="7" max="7" width="11.85546875" style="435" hidden="1" customWidth="1"/>
    <col min="8" max="8" width="11.85546875" style="435" customWidth="1"/>
    <col min="9" max="11" width="11.85546875" style="435" hidden="1" customWidth="1"/>
    <col min="12" max="12" width="9.140625" style="435" hidden="1" customWidth="1"/>
    <col min="13" max="13" width="15.28515625" style="435" hidden="1" customWidth="1"/>
    <col min="14" max="14" width="9.140625" style="435" hidden="1" customWidth="1"/>
    <col min="15" max="16" width="9.140625" style="435" customWidth="1"/>
    <col min="17" max="16384" width="9.140625" style="435"/>
  </cols>
  <sheetData>
    <row r="1" spans="1:15" s="432" customFormat="1" ht="152.25" customHeight="1">
      <c r="A1" s="790" t="str">
        <f>Cover!$B$2</f>
        <v>765kV AIS Substation Extension Package SS-124 (including 765/400kV GIS Bus Duct) for (i) Extension of 765/400kV Indore Substation under Augmentation of transformation capacity at 765/400kV Indore S/S in Madhya Pradesh; (ii) Extension of 400kV Indore (PG) S/s under Implementation of 400kV line bay at 765/400/220kV Indore (PG) S/s in MP for RE interconnection; (iii) Extension of 400kV Parli (New) S/s under Implementation of 400kV line bay at 765/400kV Parli (New) S/s for interconnection of RE project and (iv) Extension of 400/220kV Bhuj GIS PS under Augmentation of transformation capacity at 400/220kV Bhuj PS in Gujarat by 1x500MVA, 400/220kV ICT (9th)</v>
      </c>
      <c r="B1" s="790"/>
      <c r="C1" s="790"/>
      <c r="D1" s="790"/>
      <c r="E1" s="790"/>
      <c r="F1" s="790"/>
      <c r="G1" s="433"/>
      <c r="H1" s="433"/>
      <c r="I1" s="433"/>
      <c r="J1" s="433"/>
      <c r="K1" s="433"/>
      <c r="M1" s="434"/>
      <c r="N1" s="434"/>
      <c r="O1" s="434"/>
    </row>
    <row r="2" spans="1:15" ht="16.5" customHeight="1">
      <c r="A2" s="791" t="str">
        <f>Cover!B3</f>
        <v>Spec No: CC/NT/W-AIS/DOM/A10/24/03802</v>
      </c>
      <c r="B2" s="791"/>
      <c r="C2" s="791"/>
      <c r="D2" s="791"/>
      <c r="E2" s="791"/>
      <c r="F2" s="791"/>
      <c r="G2" s="432"/>
      <c r="H2" s="432"/>
      <c r="I2" s="432"/>
      <c r="J2" s="432"/>
      <c r="K2" s="432"/>
      <c r="M2" s="435" t="s">
        <v>112</v>
      </c>
      <c r="N2" s="436">
        <v>1</v>
      </c>
      <c r="O2" s="437"/>
    </row>
    <row r="3" spans="1:15" ht="12" customHeight="1">
      <c r="A3" s="438"/>
      <c r="B3" s="438"/>
      <c r="C3" s="438"/>
      <c r="D3" s="438"/>
      <c r="E3" s="432"/>
      <c r="F3" s="432"/>
      <c r="G3" s="432"/>
      <c r="H3" s="432"/>
      <c r="I3" s="432"/>
      <c r="J3" s="432"/>
      <c r="K3" s="432"/>
      <c r="M3" s="435" t="s">
        <v>113</v>
      </c>
      <c r="N3" s="436" t="s">
        <v>114</v>
      </c>
      <c r="O3" s="437"/>
    </row>
    <row r="4" spans="1:15" ht="20.100000000000001" customHeight="1">
      <c r="A4" s="792" t="s">
        <v>115</v>
      </c>
      <c r="B4" s="792"/>
      <c r="C4" s="792"/>
      <c r="D4" s="792"/>
      <c r="E4" s="792"/>
      <c r="F4" s="792"/>
      <c r="G4" s="432"/>
      <c r="H4" s="432"/>
      <c r="I4" s="432"/>
      <c r="J4" s="432"/>
      <c r="K4" s="432"/>
      <c r="N4" s="436"/>
      <c r="O4" s="437"/>
    </row>
    <row r="5" spans="1:15" ht="12" customHeight="1">
      <c r="A5" s="439"/>
      <c r="B5" s="439"/>
      <c r="E5" s="432"/>
      <c r="F5" s="432"/>
      <c r="G5" s="432"/>
      <c r="H5" s="432"/>
      <c r="I5" s="432"/>
      <c r="J5" s="432"/>
      <c r="K5" s="432"/>
      <c r="M5" s="437"/>
      <c r="N5" s="437"/>
      <c r="O5" s="437"/>
    </row>
    <row r="6" spans="1:15" s="432" customFormat="1" ht="50.25" customHeight="1">
      <c r="A6" s="797" t="s">
        <v>335</v>
      </c>
      <c r="B6" s="797"/>
      <c r="C6" s="793" t="s">
        <v>112</v>
      </c>
      <c r="D6" s="793"/>
      <c r="E6" s="793"/>
      <c r="F6" s="793"/>
      <c r="G6" s="440"/>
      <c r="H6" s="440"/>
      <c r="I6" s="440"/>
      <c r="J6" s="459">
        <f>IF(C6="Sole Bidder", 1,2)</f>
        <v>1</v>
      </c>
      <c r="K6" s="440"/>
      <c r="M6" s="441">
        <f>IF(C6= "Sole Bidder", 0, C7)</f>
        <v>0</v>
      </c>
      <c r="N6" s="434"/>
      <c r="O6" s="434"/>
    </row>
    <row r="7" spans="1:15" ht="50.1" customHeight="1">
      <c r="A7" s="442" t="str">
        <f>IF(C6= "JV (Joint Venture)", "Total Nos. of  Partners in the JV [excluding the Lead Partner]", "")</f>
        <v/>
      </c>
      <c r="B7" s="443"/>
      <c r="C7" s="794" t="s">
        <v>114</v>
      </c>
      <c r="D7" s="795"/>
      <c r="E7" s="795"/>
      <c r="F7" s="796"/>
      <c r="M7" s="437"/>
      <c r="N7" s="437"/>
      <c r="O7" s="437"/>
    </row>
    <row r="8" spans="1:15" ht="19.5" customHeight="1">
      <c r="A8" s="444"/>
      <c r="B8" s="444"/>
      <c r="C8" s="440"/>
    </row>
    <row r="9" spans="1:15" ht="20.100000000000001" customHeight="1">
      <c r="A9" s="445" t="str">
        <f>IF(C6= "Sole Bidder", "Name of Sole Bidder", "Name of Lead Partner")</f>
        <v>Name of Sole Bidder</v>
      </c>
      <c r="B9" s="446"/>
      <c r="C9" s="782"/>
      <c r="D9" s="785"/>
      <c r="E9" s="785"/>
      <c r="F9" s="786"/>
    </row>
    <row r="10" spans="1:15" ht="20.100000000000001" customHeight="1">
      <c r="A10" s="447" t="str">
        <f>IF(C6= "Sole Bidder", "Address of Sole Bidder", "Address of Lead Partner")</f>
        <v>Address of Sole Bidder</v>
      </c>
      <c r="B10" s="448"/>
      <c r="C10" s="782"/>
      <c r="D10" s="785"/>
      <c r="E10" s="785"/>
      <c r="F10" s="786"/>
    </row>
    <row r="11" spans="1:15" ht="20.100000000000001" customHeight="1">
      <c r="A11" s="449"/>
      <c r="B11" s="450"/>
      <c r="C11" s="782"/>
      <c r="D11" s="785"/>
      <c r="E11" s="785"/>
      <c r="F11" s="786"/>
    </row>
    <row r="12" spans="1:15" ht="20.100000000000001" customHeight="1">
      <c r="A12" s="451"/>
      <c r="B12" s="452"/>
      <c r="C12" s="782"/>
      <c r="D12" s="785"/>
      <c r="E12" s="785"/>
      <c r="F12" s="786"/>
    </row>
    <row r="13" spans="1:15" ht="21.75" customHeight="1"/>
    <row r="14" spans="1:15" ht="20.100000000000001" customHeight="1">
      <c r="A14" s="445" t="s">
        <v>116</v>
      </c>
      <c r="B14" s="446"/>
      <c r="C14" s="782"/>
      <c r="D14" s="785"/>
      <c r="E14" s="785"/>
      <c r="F14" s="786"/>
    </row>
    <row r="15" spans="1:15" ht="20.100000000000001" customHeight="1">
      <c r="A15" s="447" t="s">
        <v>117</v>
      </c>
      <c r="B15" s="448"/>
      <c r="C15" s="782"/>
      <c r="D15" s="785"/>
      <c r="E15" s="785"/>
      <c r="F15" s="786"/>
    </row>
    <row r="16" spans="1:15" ht="20.100000000000001" customHeight="1">
      <c r="A16" s="449"/>
      <c r="B16" s="450"/>
      <c r="C16" s="782"/>
      <c r="D16" s="785"/>
      <c r="E16" s="785"/>
      <c r="F16" s="786"/>
    </row>
    <row r="17" spans="1:7" ht="20.100000000000001" customHeight="1">
      <c r="A17" s="451"/>
      <c r="B17" s="452"/>
      <c r="C17" s="782"/>
      <c r="D17" s="785"/>
      <c r="E17" s="785"/>
      <c r="F17" s="786"/>
    </row>
    <row r="18" spans="1:7" ht="20.100000000000001" customHeight="1"/>
    <row r="19" spans="1:7" ht="21" customHeight="1">
      <c r="A19" s="453" t="s">
        <v>118</v>
      </c>
      <c r="B19" s="454"/>
      <c r="C19" s="787"/>
      <c r="D19" s="788"/>
      <c r="E19" s="788"/>
      <c r="F19" s="789"/>
    </row>
    <row r="20" spans="1:7" ht="21" customHeight="1">
      <c r="A20" s="453" t="s">
        <v>119</v>
      </c>
      <c r="B20" s="454"/>
      <c r="C20" s="782"/>
      <c r="D20" s="783"/>
      <c r="E20" s="783"/>
      <c r="F20" s="784"/>
    </row>
    <row r="21" spans="1:7" ht="21" customHeight="1">
      <c r="A21" s="455"/>
      <c r="B21" s="455"/>
      <c r="C21" s="455"/>
    </row>
    <row r="22" spans="1:7" s="432" customFormat="1" ht="21" customHeight="1">
      <c r="A22" s="453" t="s">
        <v>120</v>
      </c>
      <c r="B22" s="454"/>
      <c r="C22" s="456"/>
      <c r="D22" s="458"/>
      <c r="E22" s="456"/>
      <c r="F22" s="457" t="str">
        <f>IF(C22&gt;G22, "Invalid Date !", "")</f>
        <v/>
      </c>
      <c r="G22" s="434">
        <f>IF(D22="Feb",28,IF(OR(D22="Apr", D22="Jun", D22="Sep", D22="Nov"),30,31))</f>
        <v>31</v>
      </c>
    </row>
    <row r="23" spans="1:7" ht="21" customHeight="1">
      <c r="A23" s="453" t="s">
        <v>121</v>
      </c>
      <c r="B23" s="454"/>
      <c r="C23" s="782"/>
      <c r="D23" s="783"/>
      <c r="E23" s="783"/>
      <c r="F23" s="784"/>
    </row>
    <row r="24" spans="1:7">
      <c r="D24" s="435"/>
    </row>
  </sheetData>
  <sheetProtection algorithmName="SHA-512" hashValue="IwjpSvZ2ZIHGzQj5nV6mki/BYqiz6K5ii/5zrBZ6vkvbvXf/eEuQnSVJJfR+5qHQubpSnok8t1mfIC0Kbi3RtA==" saltValue="gb5f306ZQ+bNnqVGXaipBQ==" spinCount="100000" sheet="1" formatColumns="0" formatRows="0" selectLockedCells="1"/>
  <customSheetViews>
    <customSheetView guid="{C497F4E0-7D3E-4065-935D-7086BE9276FE}" scale="115" showGridLines="0" printArea="1" hiddenColumns="1" view="pageBreakPreview">
      <selection activeCell="E22" sqref="E22"/>
      <pageMargins left="0.75" right="0.75" top="0.69" bottom="0.7" header="0.4" footer="0.37"/>
      <pageSetup scale="86" orientation="portrait" r:id="rId1"/>
      <headerFooter alignWithMargins="0"/>
    </customSheetView>
    <customSheetView guid="{889C3D82-0A24-4765-A688-A80A782F5056}" scale="115" showGridLines="0" printArea="1" hiddenColumns="1" view="pageBreakPreview">
      <selection activeCell="E22" sqref="E22"/>
      <pageMargins left="0.75" right="0.75" top="0.69" bottom="0.7" header="0.4" footer="0.37"/>
      <pageSetup scale="86" orientation="portrait" r:id="rId2"/>
      <headerFooter alignWithMargins="0"/>
    </customSheetView>
    <customSheetView guid="{89CB4E6A-722E-4E39-885D-E2A6D0D08321}" scale="115" showGridLines="0" printArea="1" hiddenRows="1" hiddenColumns="1" view="pageBreakPreview">
      <selection activeCell="C6" sqref="C6:F6"/>
      <pageMargins left="0.75" right="0.75" top="0.69" bottom="0.7" header="0.4" footer="0.37"/>
      <pageSetup scale="86" orientation="portrait" r:id="rId3"/>
      <headerFooter alignWithMargins="0"/>
    </customSheetView>
    <customSheetView guid="{915C64AD-BD67-44F0-9117-5B9D998BA799}" showGridLines="0" printArea="1" hiddenRows="1" hiddenColumns="1" view="pageBreakPreview">
      <selection activeCell="D6" sqref="D6:G6"/>
      <pageMargins left="0.75" right="0.75" top="0.69" bottom="0.7" header="0.4" footer="0.37"/>
      <pageSetup scale="86" orientation="portrait" r:id="rId4"/>
      <headerFooter alignWithMargins="0"/>
    </customSheetView>
    <customSheetView guid="{18EA11B4-BD82-47BF-99FA-7AB19BF74D0B}" showGridLines="0" printArea="1" hiddenRows="1" hiddenColumns="1" view="pageBreakPreview" topLeftCell="A7">
      <selection activeCell="D7" sqref="D7:G7"/>
      <pageMargins left="0.75" right="0.75" top="0.69" bottom="0.7" header="0.4" footer="0.37"/>
      <pageSetup scale="86" orientation="portrait" r:id="rId5"/>
      <headerFooter alignWithMargins="0"/>
    </customSheetView>
    <customSheetView guid="{CCA37BAE-906F-43D5-9FD9-B13563E4B9D7}" showGridLines="0" printArea="1" hiddenRows="1" hiddenColumns="1" view="pageBreakPreview">
      <selection activeCell="F27" sqref="F27"/>
      <pageMargins left="0.75" right="0.75" top="0.69" bottom="0.7" header="0.4" footer="0.37"/>
      <pageSetup scale="86" orientation="portrait" r:id="rId6"/>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7"/>
      <headerFooter alignWithMargins="0"/>
    </customSheetView>
    <customSheetView guid="{63D51328-7CBC-4A1E-B96D-BAE91416501B}" showGridLines="0" printArea="1" hiddenRows="1" view="pageBreakPreview">
      <selection activeCell="D24" sqref="D24"/>
      <pageMargins left="0.75" right="0.75" top="0.69" bottom="0.7" header="0.4" footer="0.37"/>
      <pageSetup scale="86" orientation="portrait" r:id="rId8"/>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9"/>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10"/>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11"/>
      <headerFooter alignWithMargins="0"/>
    </customSheetView>
    <customSheetView guid="{A58DB4DF-40C7-4BEB-B85E-6BD6F54941CF}" showGridLines="0" printArea="1" hiddenRows="1" hiddenColumns="1" view="pageBreakPreview">
      <selection activeCell="D6" sqref="D6:G6"/>
      <pageMargins left="0.75" right="0.75" top="0.69" bottom="0.7" header="0.4" footer="0.37"/>
      <pageSetup scale="86" orientation="portrait" r:id="rId12"/>
      <headerFooter alignWithMargins="0"/>
    </customSheetView>
    <customSheetView guid="{1211E1B9-FC37-4364-9CF0-0FFC01866726}" scale="115" showGridLines="0" printArea="1" hiddenColumns="1" view="pageBreakPreview">
      <selection activeCell="E22" sqref="E22"/>
      <pageMargins left="0.75" right="0.75" top="0.69" bottom="0.7" header="0.4" footer="0.37"/>
      <pageSetup scale="86" orientation="portrait" r:id="rId13"/>
      <headerFooter alignWithMargins="0"/>
    </customSheetView>
  </customSheetViews>
  <mergeCells count="17">
    <mergeCell ref="C9:F9"/>
    <mergeCell ref="C10:F10"/>
    <mergeCell ref="A1:F1"/>
    <mergeCell ref="A2:F2"/>
    <mergeCell ref="A4:F4"/>
    <mergeCell ref="C6:F6"/>
    <mergeCell ref="C7:F7"/>
    <mergeCell ref="A6:B6"/>
    <mergeCell ref="C23:F23"/>
    <mergeCell ref="C17:F17"/>
    <mergeCell ref="C20:F20"/>
    <mergeCell ref="C16:F16"/>
    <mergeCell ref="C11:F11"/>
    <mergeCell ref="C12:F12"/>
    <mergeCell ref="C14:F14"/>
    <mergeCell ref="C15:F15"/>
    <mergeCell ref="C19:F19"/>
  </mergeCells>
  <conditionalFormatting sqref="A14:B17">
    <cfRule type="expression" dxfId="7" priority="3" stopIfTrue="1">
      <formula>$M$6&lt;2</formula>
    </cfRule>
  </conditionalFormatting>
  <conditionalFormatting sqref="A7:F7">
    <cfRule type="expression" dxfId="6" priority="5" stopIfTrue="1">
      <formula>$C$6="Sole Bidder"</formula>
    </cfRule>
  </conditionalFormatting>
  <conditionalFormatting sqref="C14:F17">
    <cfRule type="expression" dxfId="5" priority="1" stopIfTrue="1">
      <formula>$M$6&lt;2</formula>
    </cfRule>
  </conditionalFormatting>
  <dataValidations count="5">
    <dataValidation type="list" allowBlank="1" showInputMessage="1" showErrorMessage="1" sqref="E22" xr:uid="{00000000-0002-0000-0300-000000000000}">
      <formula1>"2024"</formula1>
    </dataValidation>
    <dataValidation type="list" allowBlank="1" showInputMessage="1" showErrorMessage="1" sqref="D22" xr:uid="{00000000-0002-0000-0300-000001000000}">
      <formula1>"Jan,Feb,Mar,Apr,May,Jun,Jul,Aug,Sep,Oct,Nov,Dec"</formula1>
    </dataValidation>
    <dataValidation type="list" allowBlank="1" showInputMessage="1" showErrorMessage="1" sqref="C22" xr:uid="{00000000-0002-0000-0300-000002000000}">
      <formula1>"1,2,3,4,5,6,7,8,9,10,11,12,13,14,15,16,17,18,19,20,21,22,23,24,25,26,27,28,29,30,31"</formula1>
    </dataValidation>
    <dataValidation type="list" allowBlank="1" showInputMessage="1" showErrorMessage="1" sqref="C7:F7" xr:uid="{00000000-0002-0000-0300-000003000000}">
      <formula1>$N$3</formula1>
    </dataValidation>
    <dataValidation type="list" allowBlank="1" showInputMessage="1" showErrorMessage="1" sqref="C6:F6" xr:uid="{00000000-0002-0000-0300-000004000000}">
      <formula1>$M$2:$M$3</formula1>
    </dataValidation>
  </dataValidations>
  <pageMargins left="0.75" right="0.75" top="0.69" bottom="0.7" header="0.4" footer="0.37"/>
  <pageSetup scale="86" orientation="portrait"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360"/>
  <sheetViews>
    <sheetView view="pageBreakPreview" zoomScale="70" zoomScaleNormal="92" zoomScaleSheetLayoutView="70" workbookViewId="0">
      <selection activeCell="G18" sqref="G18"/>
    </sheetView>
  </sheetViews>
  <sheetFormatPr defaultRowHeight="15.75"/>
  <cols>
    <col min="1" max="1" width="7.28515625" style="614" customWidth="1"/>
    <col min="2" max="2" width="18.7109375" style="614" customWidth="1"/>
    <col min="3" max="3" width="8.5703125" style="614" customWidth="1"/>
    <col min="4" max="4" width="29.5703125" style="621" customWidth="1"/>
    <col min="5" max="5" width="19.140625" style="614" customWidth="1"/>
    <col min="6" max="6" width="13" style="614" customWidth="1"/>
    <col min="7" max="7" width="17.5703125" style="614" customWidth="1"/>
    <col min="8" max="8" width="12.42578125" style="628" customWidth="1"/>
    <col min="9" max="9" width="17.5703125" style="614" customWidth="1"/>
    <col min="10" max="10" width="119.5703125" style="621" customWidth="1"/>
    <col min="11" max="11" width="7.140625" style="614" customWidth="1"/>
    <col min="12" max="12" width="9" style="614" customWidth="1"/>
    <col min="13" max="13" width="16.7109375" style="614" customWidth="1"/>
    <col min="14" max="14" width="21.28515625" style="614" customWidth="1"/>
    <col min="15" max="15" width="14" style="614" hidden="1" customWidth="1"/>
    <col min="16" max="16" width="14.85546875" style="614" hidden="1" customWidth="1"/>
    <col min="17" max="17" width="13" style="614" hidden="1" customWidth="1"/>
    <col min="18" max="18" width="20.140625" style="614" hidden="1" customWidth="1"/>
    <col min="19" max="19" width="16.140625" style="614" hidden="1" customWidth="1"/>
    <col min="20" max="20" width="15" style="614" hidden="1" customWidth="1"/>
    <col min="21" max="21" width="9.140625" style="614" customWidth="1"/>
    <col min="22" max="37" width="9.140625" style="614" hidden="1" customWidth="1"/>
    <col min="38" max="38" width="0.28515625" style="614" hidden="1" customWidth="1"/>
    <col min="39" max="39" width="9.140625" style="614" hidden="1" customWidth="1"/>
    <col min="40" max="44" width="9.140625" style="614" customWidth="1"/>
    <col min="45" max="16384" width="9.140625" style="614"/>
  </cols>
  <sheetData>
    <row r="1" spans="1:256" ht="22.5" customHeight="1">
      <c r="A1" s="623" t="str">
        <f>Basic!B5</f>
        <v>Spec No: CC/NT/W-AIS/DOM/A10/24/03802</v>
      </c>
      <c r="B1" s="624"/>
      <c r="C1" s="624"/>
      <c r="D1" s="573"/>
      <c r="E1" s="624"/>
      <c r="F1" s="624"/>
      <c r="G1" s="624"/>
      <c r="H1" s="624"/>
      <c r="I1" s="624"/>
      <c r="J1" s="625"/>
      <c r="K1" s="624"/>
      <c r="L1" s="624"/>
      <c r="M1" s="624"/>
      <c r="N1" s="624" t="s">
        <v>459</v>
      </c>
    </row>
    <row r="2" spans="1:256">
      <c r="A2" s="584"/>
      <c r="B2" s="584"/>
      <c r="C2" s="584"/>
      <c r="D2" s="578"/>
      <c r="E2" s="584"/>
      <c r="F2" s="584"/>
      <c r="G2" s="584"/>
      <c r="H2" s="584"/>
      <c r="I2" s="584"/>
      <c r="J2" s="578"/>
      <c r="K2" s="584"/>
      <c r="L2" s="584"/>
      <c r="M2" s="584"/>
      <c r="N2" s="584"/>
    </row>
    <row r="3" spans="1:256" ht="68.25" customHeight="1">
      <c r="A3" s="810" t="str">
        <f>Cover!$B$2</f>
        <v>765kV AIS Substation Extension Package SS-124 (including 765/400kV GIS Bus Duct) for (i) Extension of 765/400kV Indore Substation under Augmentation of transformation capacity at 765/400kV Indore S/S in Madhya Pradesh; (ii) Extension of 400kV Indore (PG) S/s under Implementation of 400kV line bay at 765/400/220kV Indore (PG) S/s in MP for RE interconnection; (iii) Extension of 400kV Parli (New) S/s under Implementation of 400kV line bay at 765/400kV Parli (New) S/s for interconnection of RE project and (iv) Extension of 400/220kV Bhuj GIS PS under Augmentation of transformation capacity at 400/220kV Bhuj PS in Gujarat by 1x500MVA, 400/220kV ICT (9th)</v>
      </c>
      <c r="B3" s="810"/>
      <c r="C3" s="810"/>
      <c r="D3" s="810"/>
      <c r="E3" s="810"/>
      <c r="F3" s="810"/>
      <c r="G3" s="810"/>
      <c r="H3" s="810"/>
      <c r="I3" s="810"/>
      <c r="J3" s="810"/>
      <c r="K3" s="810"/>
      <c r="L3" s="810"/>
      <c r="M3" s="810"/>
      <c r="N3" s="810"/>
    </row>
    <row r="4" spans="1:256" ht="16.5">
      <c r="A4" s="811" t="s">
        <v>0</v>
      </c>
      <c r="B4" s="811"/>
      <c r="C4" s="811"/>
      <c r="D4" s="811"/>
      <c r="E4" s="811"/>
      <c r="F4" s="811"/>
      <c r="G4" s="811"/>
      <c r="H4" s="811"/>
      <c r="I4" s="811"/>
      <c r="J4" s="811"/>
      <c r="K4" s="811"/>
      <c r="L4" s="811"/>
      <c r="M4" s="811"/>
      <c r="N4" s="811"/>
    </row>
    <row r="5" spans="1:256" ht="27" customHeight="1">
      <c r="A5" s="626"/>
      <c r="B5" s="626"/>
      <c r="C5" s="626"/>
      <c r="D5" s="626"/>
      <c r="E5" s="626"/>
      <c r="F5" s="626"/>
      <c r="G5" s="626"/>
      <c r="H5" s="626"/>
      <c r="I5" s="626"/>
      <c r="J5" s="626"/>
      <c r="K5" s="626"/>
      <c r="L5" s="626"/>
      <c r="M5" s="626"/>
      <c r="N5" s="626"/>
    </row>
    <row r="6" spans="1:256" ht="23.25" customHeight="1">
      <c r="A6" s="812" t="s">
        <v>334</v>
      </c>
      <c r="B6" s="812"/>
      <c r="C6" s="584"/>
      <c r="D6" s="578"/>
      <c r="E6" s="584"/>
      <c r="F6" s="584"/>
      <c r="G6" s="584"/>
      <c r="H6" s="584"/>
      <c r="I6" s="584"/>
      <c r="J6" s="578"/>
      <c r="K6" s="584"/>
      <c r="L6" s="584"/>
      <c r="M6" s="584"/>
      <c r="N6" s="584"/>
    </row>
    <row r="7" spans="1:256" ht="24" customHeight="1">
      <c r="A7" s="816">
        <f>IF(Z7=1,Z8,"JOINT VENTURE OF "&amp;Z8&amp;" &amp; "&amp;Z10)</f>
        <v>0</v>
      </c>
      <c r="B7" s="816"/>
      <c r="C7" s="816"/>
      <c r="D7" s="816"/>
      <c r="E7" s="816"/>
      <c r="F7" s="816"/>
      <c r="G7" s="816"/>
      <c r="H7" s="816"/>
      <c r="I7" s="816"/>
      <c r="J7" s="627"/>
      <c r="K7" s="587" t="s">
        <v>1</v>
      </c>
      <c r="L7" s="590"/>
      <c r="N7" s="584"/>
      <c r="Z7" s="628">
        <f>'Names of Bidder'!J6</f>
        <v>1</v>
      </c>
    </row>
    <row r="8" spans="1:256" ht="24" customHeight="1">
      <c r="A8" s="813" t="str">
        <f>"Bidder’s Name and Address  (" &amp; MID('Names of Bidder'!A9,9, 20) &amp; ") :"</f>
        <v>Bidder’s Name and Address  (Sole Bidder) :</v>
      </c>
      <c r="B8" s="813"/>
      <c r="C8" s="813"/>
      <c r="D8" s="813"/>
      <c r="E8" s="813"/>
      <c r="F8" s="813"/>
      <c r="G8" s="813"/>
      <c r="H8" s="589"/>
      <c r="I8" s="589"/>
      <c r="J8" s="589"/>
      <c r="K8" s="588" t="s">
        <v>2</v>
      </c>
      <c r="L8" s="589"/>
      <c r="N8" s="584"/>
      <c r="U8" s="629"/>
      <c r="Z8" s="798">
        <f>'Names of Bidder'!C9</f>
        <v>0</v>
      </c>
      <c r="AA8" s="798"/>
      <c r="AB8" s="798"/>
      <c r="AC8" s="798"/>
      <c r="AD8" s="798"/>
      <c r="AE8" s="798"/>
      <c r="AF8" s="798"/>
      <c r="AG8" s="798"/>
      <c r="AH8" s="798"/>
      <c r="AI8" s="798"/>
      <c r="AJ8" s="798"/>
      <c r="AK8" s="798"/>
      <c r="AL8" s="798"/>
    </row>
    <row r="9" spans="1:256" ht="24" customHeight="1">
      <c r="A9" s="585" t="s">
        <v>12</v>
      </c>
      <c r="B9" s="590"/>
      <c r="C9" s="816" t="str">
        <f>IF('Names of Bidder'!C9=0, "", 'Names of Bidder'!C9)</f>
        <v/>
      </c>
      <c r="D9" s="816"/>
      <c r="E9" s="816"/>
      <c r="F9" s="816"/>
      <c r="G9" s="816"/>
      <c r="H9" s="592"/>
      <c r="I9" s="592"/>
      <c r="J9" s="627"/>
      <c r="K9" s="588" t="s">
        <v>3</v>
      </c>
      <c r="N9" s="584"/>
      <c r="U9" s="629"/>
      <c r="Z9" s="798">
        <f>'Names of Bidder'!C9</f>
        <v>0</v>
      </c>
      <c r="AA9" s="798"/>
      <c r="AB9" s="798"/>
      <c r="AC9" s="798"/>
      <c r="AD9" s="798"/>
      <c r="AE9" s="798"/>
      <c r="AF9" s="798"/>
      <c r="AG9" s="798"/>
      <c r="AH9" s="798"/>
      <c r="AI9" s="798"/>
      <c r="AJ9" s="798"/>
      <c r="AK9" s="798"/>
      <c r="AL9" s="798"/>
    </row>
    <row r="10" spans="1:256" ht="24" customHeight="1">
      <c r="A10" s="585" t="s">
        <v>11</v>
      </c>
      <c r="B10" s="590"/>
      <c r="C10" s="815" t="str">
        <f>IF('Names of Bidder'!C10=0, "", 'Names of Bidder'!C10)</f>
        <v/>
      </c>
      <c r="D10" s="815"/>
      <c r="E10" s="815"/>
      <c r="F10" s="815"/>
      <c r="G10" s="815"/>
      <c r="H10" s="592"/>
      <c r="I10" s="592"/>
      <c r="J10" s="627"/>
      <c r="K10" s="588" t="s">
        <v>4</v>
      </c>
      <c r="N10" s="584"/>
      <c r="Z10" s="798">
        <f>'Names of Bidder'!C14</f>
        <v>0</v>
      </c>
      <c r="AA10" s="798"/>
      <c r="AB10" s="798"/>
      <c r="AC10" s="798"/>
      <c r="AD10" s="798"/>
      <c r="AE10" s="798"/>
      <c r="AF10" s="798"/>
      <c r="AG10" s="798"/>
      <c r="AH10" s="798"/>
      <c r="AI10" s="798"/>
      <c r="AJ10" s="798"/>
      <c r="AK10" s="798"/>
      <c r="AL10" s="798"/>
    </row>
    <row r="11" spans="1:256" ht="24" customHeight="1">
      <c r="A11" s="592"/>
      <c r="B11" s="592"/>
      <c r="C11" s="815" t="str">
        <f>IF('Names of Bidder'!C11=0, "", 'Names of Bidder'!C11)</f>
        <v/>
      </c>
      <c r="D11" s="815"/>
      <c r="E11" s="815"/>
      <c r="F11" s="815"/>
      <c r="G11" s="815"/>
      <c r="H11" s="592"/>
      <c r="I11" s="592"/>
      <c r="J11" s="627"/>
      <c r="K11" s="588" t="s">
        <v>5</v>
      </c>
      <c r="N11" s="584"/>
    </row>
    <row r="12" spans="1:256" ht="24" customHeight="1">
      <c r="A12" s="592"/>
      <c r="B12" s="592"/>
      <c r="C12" s="815" t="str">
        <f>IF('Names of Bidder'!C12=0, "", 'Names of Bidder'!C12)</f>
        <v/>
      </c>
      <c r="D12" s="815"/>
      <c r="E12" s="815"/>
      <c r="F12" s="815"/>
      <c r="G12" s="815"/>
      <c r="H12" s="592"/>
      <c r="I12" s="592"/>
      <c r="J12" s="627"/>
      <c r="K12" s="588" t="s">
        <v>541</v>
      </c>
      <c r="N12" s="584"/>
    </row>
    <row r="13" spans="1:256" s="630" customFormat="1" ht="26.25" customHeight="1">
      <c r="A13" s="817" t="s">
        <v>294</v>
      </c>
      <c r="B13" s="817"/>
      <c r="C13" s="817"/>
      <c r="D13" s="817"/>
      <c r="E13" s="817"/>
      <c r="F13" s="817"/>
      <c r="G13" s="817"/>
      <c r="H13" s="817"/>
      <c r="I13" s="817"/>
      <c r="J13" s="817"/>
      <c r="K13" s="817"/>
      <c r="L13" s="817"/>
      <c r="M13" s="817"/>
      <c r="N13" s="817"/>
    </row>
    <row r="14" spans="1:256" ht="15.75" customHeight="1">
      <c r="A14" s="584"/>
      <c r="B14" s="584"/>
      <c r="C14" s="584"/>
      <c r="D14" s="578"/>
      <c r="E14" s="584"/>
      <c r="F14" s="584"/>
      <c r="G14" s="584"/>
      <c r="H14" s="584"/>
      <c r="I14" s="584"/>
      <c r="J14" s="578"/>
      <c r="K14" s="814" t="s">
        <v>339</v>
      </c>
      <c r="L14" s="814"/>
      <c r="M14" s="814"/>
      <c r="N14" s="814"/>
    </row>
    <row r="15" spans="1:256" ht="122.25" customHeight="1">
      <c r="A15" s="631" t="s">
        <v>7</v>
      </c>
      <c r="B15" s="631" t="s">
        <v>255</v>
      </c>
      <c r="C15" s="631" t="s">
        <v>267</v>
      </c>
      <c r="D15" s="631" t="s">
        <v>269</v>
      </c>
      <c r="E15" s="631" t="s">
        <v>13</v>
      </c>
      <c r="F15" s="631" t="s">
        <v>295</v>
      </c>
      <c r="G15" s="632" t="s">
        <v>298</v>
      </c>
      <c r="H15" s="631" t="s">
        <v>301</v>
      </c>
      <c r="I15" s="633" t="s">
        <v>299</v>
      </c>
      <c r="J15" s="631" t="s">
        <v>8</v>
      </c>
      <c r="K15" s="634" t="s">
        <v>9</v>
      </c>
      <c r="L15" s="634" t="s">
        <v>10</v>
      </c>
      <c r="M15" s="631" t="s">
        <v>338</v>
      </c>
      <c r="N15" s="631" t="s">
        <v>337</v>
      </c>
    </row>
    <row r="16" spans="1:256" s="638" customFormat="1">
      <c r="A16" s="635">
        <v>1</v>
      </c>
      <c r="B16" s="635">
        <v>2</v>
      </c>
      <c r="C16" s="635">
        <v>3</v>
      </c>
      <c r="D16" s="601">
        <v>4</v>
      </c>
      <c r="E16" s="635">
        <v>5</v>
      </c>
      <c r="F16" s="635">
        <v>6</v>
      </c>
      <c r="G16" s="636">
        <v>7</v>
      </c>
      <c r="H16" s="635">
        <v>8</v>
      </c>
      <c r="I16" s="637">
        <v>9</v>
      </c>
      <c r="J16" s="601">
        <v>10</v>
      </c>
      <c r="K16" s="635">
        <v>11</v>
      </c>
      <c r="L16" s="635">
        <v>12</v>
      </c>
      <c r="M16" s="635">
        <v>13</v>
      </c>
      <c r="N16" s="635" t="s">
        <v>336</v>
      </c>
      <c r="IV16" s="638">
        <f>SUM(A16:IU16)</f>
        <v>91</v>
      </c>
    </row>
    <row r="17" spans="1:20" s="638" customFormat="1" ht="33.75" customHeight="1">
      <c r="A17" s="639" t="s">
        <v>49</v>
      </c>
      <c r="B17" s="640" t="s">
        <v>557</v>
      </c>
      <c r="C17" s="641"/>
      <c r="D17" s="642"/>
      <c r="E17" s="643"/>
      <c r="F17" s="643"/>
      <c r="G17" s="643"/>
      <c r="H17" s="643"/>
      <c r="I17" s="643"/>
      <c r="J17" s="643"/>
      <c r="K17" s="643"/>
      <c r="L17" s="643"/>
      <c r="M17" s="643"/>
      <c r="N17" s="643"/>
    </row>
    <row r="18" spans="1:20">
      <c r="A18" s="644">
        <v>1</v>
      </c>
      <c r="B18" s="426">
        <v>7000026766</v>
      </c>
      <c r="C18" s="426">
        <v>10</v>
      </c>
      <c r="D18" s="426" t="s">
        <v>565</v>
      </c>
      <c r="E18" s="426">
        <v>1000004498</v>
      </c>
      <c r="F18" s="426">
        <v>85353090</v>
      </c>
      <c r="G18" s="424"/>
      <c r="H18" s="426">
        <v>18</v>
      </c>
      <c r="I18" s="423"/>
      <c r="J18" s="425" t="s">
        <v>475</v>
      </c>
      <c r="K18" s="426" t="s">
        <v>470</v>
      </c>
      <c r="L18" s="426">
        <v>6</v>
      </c>
      <c r="M18" s="565"/>
      <c r="N18" s="428" t="str">
        <f>IF(M18=0, "INCLUDED", IF(ISERROR(M18*L18), M18, M18*L18))</f>
        <v>INCLUDED</v>
      </c>
      <c r="O18" s="645">
        <f>IF(N18="Included",0,N18)</f>
        <v>0</v>
      </c>
      <c r="P18" s="645">
        <f>IF( I18="",H18*(IF(N18="Included",0,N18))/100,I18*(IF(N18="Included",0,N18)))</f>
        <v>0</v>
      </c>
      <c r="Q18" s="646">
        <f>Discount!$H$36</f>
        <v>0</v>
      </c>
      <c r="R18" s="646">
        <f>Q18*O18</f>
        <v>0</v>
      </c>
      <c r="S18" s="646">
        <f>IF(I18="",H18*R18/100,I18*R18)</f>
        <v>0</v>
      </c>
      <c r="T18" s="647">
        <f>M18*L18</f>
        <v>0</v>
      </c>
    </row>
    <row r="19" spans="1:20">
      <c r="A19" s="648">
        <v>2</v>
      </c>
      <c r="B19" s="426">
        <v>7000026766</v>
      </c>
      <c r="C19" s="426">
        <v>20</v>
      </c>
      <c r="D19" s="426" t="s">
        <v>565</v>
      </c>
      <c r="E19" s="426">
        <v>1000004463</v>
      </c>
      <c r="F19" s="426">
        <v>85359090</v>
      </c>
      <c r="G19" s="422"/>
      <c r="H19" s="426">
        <v>18</v>
      </c>
      <c r="I19" s="423"/>
      <c r="J19" s="425" t="s">
        <v>474</v>
      </c>
      <c r="K19" s="426" t="s">
        <v>470</v>
      </c>
      <c r="L19" s="426">
        <v>6</v>
      </c>
      <c r="M19" s="565"/>
      <c r="N19" s="428" t="str">
        <f t="shared" ref="N19:N57" si="0">IF(M19=0, "INCLUDED", IF(ISERROR(M19*L19), M19, M19*L19))</f>
        <v>INCLUDED</v>
      </c>
      <c r="O19" s="645">
        <f>IF(N19="Included",0,N19)</f>
        <v>0</v>
      </c>
      <c r="P19" s="645">
        <f>IF( I19="",H19*(IF(N19="Included",0,N19))/100,I19*(IF(N19="Included",0,N19)))</f>
        <v>0</v>
      </c>
      <c r="Q19" s="645">
        <f>Discount!$H$36</f>
        <v>0</v>
      </c>
      <c r="R19" s="646">
        <f>Q19*O19</f>
        <v>0</v>
      </c>
      <c r="S19" s="646">
        <f>IF(I19="",H19*R19/100,I19*R19)</f>
        <v>0</v>
      </c>
      <c r="T19" s="647">
        <f t="shared" ref="T19:T81" si="1">M19*L19</f>
        <v>0</v>
      </c>
    </row>
    <row r="20" spans="1:20">
      <c r="A20" s="644">
        <v>3</v>
      </c>
      <c r="B20" s="426">
        <v>7000026766</v>
      </c>
      <c r="C20" s="426">
        <v>30</v>
      </c>
      <c r="D20" s="426" t="s">
        <v>565</v>
      </c>
      <c r="E20" s="426">
        <v>1000004535</v>
      </c>
      <c r="F20" s="426">
        <v>85359090</v>
      </c>
      <c r="G20" s="422"/>
      <c r="H20" s="426">
        <v>18</v>
      </c>
      <c r="I20" s="423"/>
      <c r="J20" s="425" t="s">
        <v>476</v>
      </c>
      <c r="K20" s="426" t="s">
        <v>470</v>
      </c>
      <c r="L20" s="426">
        <v>3</v>
      </c>
      <c r="M20" s="565"/>
      <c r="N20" s="428" t="str">
        <f t="shared" si="0"/>
        <v>INCLUDED</v>
      </c>
      <c r="O20" s="645">
        <f>IF(N20="Included",0,N20)</f>
        <v>0</v>
      </c>
      <c r="P20" s="645">
        <f>IF( I20="",H20*(IF(N20="Included",0,N20))/100,I20*(IF(N20="Included",0,N20)))</f>
        <v>0</v>
      </c>
      <c r="Q20" s="645">
        <f>Discount!$H$36</f>
        <v>0</v>
      </c>
      <c r="R20" s="646">
        <f>Q20*O20</f>
        <v>0</v>
      </c>
      <c r="S20" s="646">
        <f>IF(I20="",H20*R20/100,I20*R20)</f>
        <v>0</v>
      </c>
      <c r="T20" s="647">
        <f t="shared" si="1"/>
        <v>0</v>
      </c>
    </row>
    <row r="21" spans="1:20">
      <c r="A21" s="644">
        <v>4</v>
      </c>
      <c r="B21" s="426">
        <v>7000026766</v>
      </c>
      <c r="C21" s="426">
        <v>40</v>
      </c>
      <c r="D21" s="426" t="s">
        <v>565</v>
      </c>
      <c r="E21" s="426">
        <v>1000020419</v>
      </c>
      <c r="F21" s="426">
        <v>85354010</v>
      </c>
      <c r="G21" s="422"/>
      <c r="H21" s="426">
        <v>18</v>
      </c>
      <c r="I21" s="423"/>
      <c r="J21" s="425" t="s">
        <v>477</v>
      </c>
      <c r="K21" s="426" t="s">
        <v>470</v>
      </c>
      <c r="L21" s="426">
        <v>3</v>
      </c>
      <c r="M21" s="565"/>
      <c r="N21" s="428" t="str">
        <f t="shared" si="0"/>
        <v>INCLUDED</v>
      </c>
      <c r="O21" s="645">
        <f>IF(N21="Included",0,N21)</f>
        <v>0</v>
      </c>
      <c r="P21" s="645">
        <f>IF( I21="",H21*(IF(N21="Included",0,N21))/100,I21*(IF(N21="Included",0,N21)))</f>
        <v>0</v>
      </c>
      <c r="Q21" s="645">
        <f>Discount!$H$36</f>
        <v>0</v>
      </c>
      <c r="R21" s="646">
        <f>Q21*O21</f>
        <v>0</v>
      </c>
      <c r="S21" s="646">
        <f>IF(I21="",H21*R21/100,I21*R21)</f>
        <v>0</v>
      </c>
      <c r="T21" s="647">
        <f t="shared" si="1"/>
        <v>0</v>
      </c>
    </row>
    <row r="22" spans="1:20">
      <c r="A22" s="648">
        <v>5</v>
      </c>
      <c r="B22" s="426">
        <v>7000026766</v>
      </c>
      <c r="C22" s="426">
        <v>50</v>
      </c>
      <c r="D22" s="426" t="s">
        <v>565</v>
      </c>
      <c r="E22" s="426">
        <v>1000004401</v>
      </c>
      <c r="F22" s="426">
        <v>85462040</v>
      </c>
      <c r="G22" s="422"/>
      <c r="H22" s="426">
        <v>18</v>
      </c>
      <c r="I22" s="423"/>
      <c r="J22" s="425" t="s">
        <v>478</v>
      </c>
      <c r="K22" s="426" t="s">
        <v>470</v>
      </c>
      <c r="L22" s="426">
        <v>12</v>
      </c>
      <c r="M22" s="565"/>
      <c r="N22" s="428" t="str">
        <f t="shared" si="0"/>
        <v>INCLUDED</v>
      </c>
      <c r="O22" s="645">
        <f t="shared" ref="O22:O57" si="2">IF(N22="Included",0,N22)</f>
        <v>0</v>
      </c>
      <c r="P22" s="645">
        <f t="shared" ref="P22:P57" si="3">IF( I22="",H22*(IF(N22="Included",0,N22))/100,I22*(IF(N22="Included",0,N22)))</f>
        <v>0</v>
      </c>
      <c r="Q22" s="645">
        <f>Discount!$H$36</f>
        <v>0</v>
      </c>
      <c r="R22" s="646">
        <f t="shared" ref="R22:R57" si="4">Q22*O22</f>
        <v>0</v>
      </c>
      <c r="S22" s="646">
        <f t="shared" ref="S22:S57" si="5">IF(I22="",H22*R22/100,I22*R22)</f>
        <v>0</v>
      </c>
      <c r="T22" s="647">
        <f t="shared" si="1"/>
        <v>0</v>
      </c>
    </row>
    <row r="23" spans="1:20">
      <c r="A23" s="644">
        <v>6</v>
      </c>
      <c r="B23" s="426">
        <v>7000026766</v>
      </c>
      <c r="C23" s="426">
        <v>60</v>
      </c>
      <c r="D23" s="426" t="s">
        <v>565</v>
      </c>
      <c r="E23" s="426">
        <v>1000004290</v>
      </c>
      <c r="F23" s="426">
        <v>85176210</v>
      </c>
      <c r="G23" s="422"/>
      <c r="H23" s="426">
        <v>18</v>
      </c>
      <c r="I23" s="423"/>
      <c r="J23" s="425" t="s">
        <v>489</v>
      </c>
      <c r="K23" s="426" t="s">
        <v>470</v>
      </c>
      <c r="L23" s="426">
        <v>2</v>
      </c>
      <c r="M23" s="565"/>
      <c r="N23" s="428" t="str">
        <f t="shared" si="0"/>
        <v>INCLUDED</v>
      </c>
      <c r="O23" s="645">
        <f t="shared" si="2"/>
        <v>0</v>
      </c>
      <c r="P23" s="645">
        <f t="shared" si="3"/>
        <v>0</v>
      </c>
      <c r="Q23" s="645">
        <f>Discount!$H$36</f>
        <v>0</v>
      </c>
      <c r="R23" s="646">
        <f t="shared" si="4"/>
        <v>0</v>
      </c>
      <c r="S23" s="646">
        <f t="shared" si="5"/>
        <v>0</v>
      </c>
      <c r="T23" s="647">
        <f t="shared" si="1"/>
        <v>0</v>
      </c>
    </row>
    <row r="24" spans="1:20">
      <c r="A24" s="644">
        <v>7</v>
      </c>
      <c r="B24" s="426">
        <v>7000026766</v>
      </c>
      <c r="C24" s="426">
        <v>70</v>
      </c>
      <c r="D24" s="426" t="s">
        <v>565</v>
      </c>
      <c r="E24" s="426">
        <v>1000004400</v>
      </c>
      <c r="F24" s="426">
        <v>85462040</v>
      </c>
      <c r="G24" s="422"/>
      <c r="H24" s="426">
        <v>18</v>
      </c>
      <c r="I24" s="423"/>
      <c r="J24" s="425" t="s">
        <v>490</v>
      </c>
      <c r="K24" s="426" t="s">
        <v>470</v>
      </c>
      <c r="L24" s="426">
        <v>6</v>
      </c>
      <c r="M24" s="565"/>
      <c r="N24" s="428" t="str">
        <f t="shared" si="0"/>
        <v>INCLUDED</v>
      </c>
      <c r="O24" s="645">
        <f t="shared" si="2"/>
        <v>0</v>
      </c>
      <c r="P24" s="645">
        <f t="shared" si="3"/>
        <v>0</v>
      </c>
      <c r="Q24" s="645">
        <f>Discount!$H$36</f>
        <v>0</v>
      </c>
      <c r="R24" s="646">
        <f t="shared" si="4"/>
        <v>0</v>
      </c>
      <c r="S24" s="646">
        <f t="shared" si="5"/>
        <v>0</v>
      </c>
      <c r="T24" s="647">
        <f t="shared" si="1"/>
        <v>0</v>
      </c>
    </row>
    <row r="25" spans="1:20">
      <c r="A25" s="648">
        <v>8</v>
      </c>
      <c r="B25" s="426">
        <v>7000026766</v>
      </c>
      <c r="C25" s="426">
        <v>80</v>
      </c>
      <c r="D25" s="426" t="s">
        <v>565</v>
      </c>
      <c r="E25" s="426">
        <v>1000004502</v>
      </c>
      <c r="F25" s="426">
        <v>85352913</v>
      </c>
      <c r="G25" s="422"/>
      <c r="H25" s="426">
        <v>18</v>
      </c>
      <c r="I25" s="423"/>
      <c r="J25" s="425" t="s">
        <v>583</v>
      </c>
      <c r="K25" s="426" t="s">
        <v>470</v>
      </c>
      <c r="L25" s="426">
        <v>1</v>
      </c>
      <c r="M25" s="565"/>
      <c r="N25" s="428" t="str">
        <f t="shared" si="0"/>
        <v>INCLUDED</v>
      </c>
      <c r="O25" s="645">
        <f t="shared" si="2"/>
        <v>0</v>
      </c>
      <c r="P25" s="645">
        <f t="shared" si="3"/>
        <v>0</v>
      </c>
      <c r="Q25" s="645">
        <f>Discount!$H$36</f>
        <v>0</v>
      </c>
      <c r="R25" s="646">
        <f t="shared" si="4"/>
        <v>0</v>
      </c>
      <c r="S25" s="646">
        <f t="shared" si="5"/>
        <v>0</v>
      </c>
      <c r="T25" s="647">
        <f t="shared" si="1"/>
        <v>0</v>
      </c>
    </row>
    <row r="26" spans="1:20">
      <c r="A26" s="644">
        <v>9</v>
      </c>
      <c r="B26" s="426">
        <v>7000026766</v>
      </c>
      <c r="C26" s="426">
        <v>90</v>
      </c>
      <c r="D26" s="426" t="s">
        <v>565</v>
      </c>
      <c r="E26" s="426">
        <v>1000004501</v>
      </c>
      <c r="F26" s="426">
        <v>85352913</v>
      </c>
      <c r="G26" s="422"/>
      <c r="H26" s="426">
        <v>18</v>
      </c>
      <c r="I26" s="423"/>
      <c r="J26" s="425" t="s">
        <v>472</v>
      </c>
      <c r="K26" s="426" t="s">
        <v>470</v>
      </c>
      <c r="L26" s="426">
        <v>1</v>
      </c>
      <c r="M26" s="565"/>
      <c r="N26" s="428" t="str">
        <f t="shared" si="0"/>
        <v>INCLUDED</v>
      </c>
      <c r="O26" s="645">
        <f t="shared" si="2"/>
        <v>0</v>
      </c>
      <c r="P26" s="645">
        <f t="shared" si="3"/>
        <v>0</v>
      </c>
      <c r="Q26" s="645">
        <f>Discount!$H$36</f>
        <v>0</v>
      </c>
      <c r="R26" s="646">
        <f t="shared" si="4"/>
        <v>0</v>
      </c>
      <c r="S26" s="646">
        <f t="shared" si="5"/>
        <v>0</v>
      </c>
      <c r="T26" s="647">
        <f t="shared" si="1"/>
        <v>0</v>
      </c>
    </row>
    <row r="27" spans="1:20">
      <c r="A27" s="644">
        <v>10</v>
      </c>
      <c r="B27" s="426">
        <v>7000026766</v>
      </c>
      <c r="C27" s="426">
        <v>110</v>
      </c>
      <c r="D27" s="426" t="s">
        <v>566</v>
      </c>
      <c r="E27" s="426">
        <v>1000011319</v>
      </c>
      <c r="F27" s="426">
        <v>72169990</v>
      </c>
      <c r="G27" s="422"/>
      <c r="H27" s="426">
        <v>18</v>
      </c>
      <c r="I27" s="423"/>
      <c r="J27" s="425" t="s">
        <v>546</v>
      </c>
      <c r="K27" s="426" t="s">
        <v>471</v>
      </c>
      <c r="L27" s="426">
        <v>1</v>
      </c>
      <c r="M27" s="565"/>
      <c r="N27" s="428" t="str">
        <f t="shared" si="0"/>
        <v>INCLUDED</v>
      </c>
      <c r="O27" s="645">
        <f t="shared" si="2"/>
        <v>0</v>
      </c>
      <c r="P27" s="645">
        <f t="shared" si="3"/>
        <v>0</v>
      </c>
      <c r="Q27" s="645">
        <f>Discount!$H$36</f>
        <v>0</v>
      </c>
      <c r="R27" s="646">
        <f t="shared" si="4"/>
        <v>0</v>
      </c>
      <c r="S27" s="646">
        <f t="shared" si="5"/>
        <v>0</v>
      </c>
      <c r="T27" s="647">
        <f t="shared" si="1"/>
        <v>0</v>
      </c>
    </row>
    <row r="28" spans="1:20">
      <c r="A28" s="648">
        <v>11</v>
      </c>
      <c r="B28" s="426">
        <v>7000026766</v>
      </c>
      <c r="C28" s="426">
        <v>120</v>
      </c>
      <c r="D28" s="426" t="s">
        <v>566</v>
      </c>
      <c r="E28" s="426">
        <v>1000011322</v>
      </c>
      <c r="F28" s="426">
        <v>72169990</v>
      </c>
      <c r="G28" s="422"/>
      <c r="H28" s="426">
        <v>18</v>
      </c>
      <c r="I28" s="423"/>
      <c r="J28" s="425" t="s">
        <v>483</v>
      </c>
      <c r="K28" s="426" t="s">
        <v>471</v>
      </c>
      <c r="L28" s="426">
        <v>1</v>
      </c>
      <c r="M28" s="565"/>
      <c r="N28" s="428" t="str">
        <f t="shared" si="0"/>
        <v>INCLUDED</v>
      </c>
      <c r="O28" s="645">
        <f t="shared" si="2"/>
        <v>0</v>
      </c>
      <c r="P28" s="645">
        <f t="shared" si="3"/>
        <v>0</v>
      </c>
      <c r="Q28" s="645">
        <f>Discount!$H$36</f>
        <v>0</v>
      </c>
      <c r="R28" s="646">
        <f t="shared" si="4"/>
        <v>0</v>
      </c>
      <c r="S28" s="646">
        <f t="shared" si="5"/>
        <v>0</v>
      </c>
      <c r="T28" s="647">
        <f t="shared" si="1"/>
        <v>0</v>
      </c>
    </row>
    <row r="29" spans="1:20">
      <c r="A29" s="644">
        <v>12</v>
      </c>
      <c r="B29" s="426">
        <v>7000026766</v>
      </c>
      <c r="C29" s="426">
        <v>130</v>
      </c>
      <c r="D29" s="426" t="s">
        <v>566</v>
      </c>
      <c r="E29" s="426">
        <v>1000011326</v>
      </c>
      <c r="F29" s="426">
        <v>72169990</v>
      </c>
      <c r="G29" s="422"/>
      <c r="H29" s="426">
        <v>18</v>
      </c>
      <c r="I29" s="423"/>
      <c r="J29" s="425" t="s">
        <v>486</v>
      </c>
      <c r="K29" s="426" t="s">
        <v>471</v>
      </c>
      <c r="L29" s="426">
        <v>1</v>
      </c>
      <c r="M29" s="565"/>
      <c r="N29" s="428" t="str">
        <f t="shared" si="0"/>
        <v>INCLUDED</v>
      </c>
      <c r="O29" s="645">
        <f t="shared" si="2"/>
        <v>0</v>
      </c>
      <c r="P29" s="645">
        <f t="shared" si="3"/>
        <v>0</v>
      </c>
      <c r="Q29" s="645">
        <f>Discount!$H$36</f>
        <v>0</v>
      </c>
      <c r="R29" s="646">
        <f t="shared" si="4"/>
        <v>0</v>
      </c>
      <c r="S29" s="646">
        <f t="shared" si="5"/>
        <v>0</v>
      </c>
      <c r="T29" s="647">
        <f t="shared" si="1"/>
        <v>0</v>
      </c>
    </row>
    <row r="30" spans="1:20" ht="31.5">
      <c r="A30" s="644">
        <v>13</v>
      </c>
      <c r="B30" s="426">
        <v>7000026766</v>
      </c>
      <c r="C30" s="426">
        <v>140</v>
      </c>
      <c r="D30" s="426" t="s">
        <v>566</v>
      </c>
      <c r="E30" s="426">
        <v>1000055991</v>
      </c>
      <c r="F30" s="426">
        <v>72169990</v>
      </c>
      <c r="G30" s="422"/>
      <c r="H30" s="426">
        <v>18</v>
      </c>
      <c r="I30" s="423"/>
      <c r="J30" s="425" t="s">
        <v>482</v>
      </c>
      <c r="K30" s="426" t="s">
        <v>470</v>
      </c>
      <c r="L30" s="426">
        <v>9</v>
      </c>
      <c r="M30" s="565"/>
      <c r="N30" s="428" t="str">
        <f t="shared" si="0"/>
        <v>INCLUDED</v>
      </c>
      <c r="O30" s="645">
        <f t="shared" si="2"/>
        <v>0</v>
      </c>
      <c r="P30" s="645">
        <f t="shared" si="3"/>
        <v>0</v>
      </c>
      <c r="Q30" s="645">
        <f>Discount!$H$36</f>
        <v>0</v>
      </c>
      <c r="R30" s="646">
        <f t="shared" si="4"/>
        <v>0</v>
      </c>
      <c r="S30" s="646">
        <f t="shared" si="5"/>
        <v>0</v>
      </c>
      <c r="T30" s="647">
        <f t="shared" si="1"/>
        <v>0</v>
      </c>
    </row>
    <row r="31" spans="1:20" ht="31.5">
      <c r="A31" s="648">
        <v>14</v>
      </c>
      <c r="B31" s="426">
        <v>7000026766</v>
      </c>
      <c r="C31" s="426">
        <v>150</v>
      </c>
      <c r="D31" s="426" t="s">
        <v>566</v>
      </c>
      <c r="E31" s="426">
        <v>1000055984</v>
      </c>
      <c r="F31" s="426">
        <v>72169990</v>
      </c>
      <c r="G31" s="422"/>
      <c r="H31" s="426">
        <v>18</v>
      </c>
      <c r="I31" s="423"/>
      <c r="J31" s="425" t="s">
        <v>481</v>
      </c>
      <c r="K31" s="426" t="s">
        <v>470</v>
      </c>
      <c r="L31" s="426">
        <v>6</v>
      </c>
      <c r="M31" s="565"/>
      <c r="N31" s="428" t="str">
        <f t="shared" si="0"/>
        <v>INCLUDED</v>
      </c>
      <c r="O31" s="645">
        <f t="shared" si="2"/>
        <v>0</v>
      </c>
      <c r="P31" s="645">
        <f t="shared" si="3"/>
        <v>0</v>
      </c>
      <c r="Q31" s="645">
        <f>Discount!$H$36</f>
        <v>0</v>
      </c>
      <c r="R31" s="646">
        <f t="shared" si="4"/>
        <v>0</v>
      </c>
      <c r="S31" s="646">
        <f t="shared" si="5"/>
        <v>0</v>
      </c>
      <c r="T31" s="647">
        <f t="shared" si="1"/>
        <v>0</v>
      </c>
    </row>
    <row r="32" spans="1:20" ht="31.5">
      <c r="A32" s="644">
        <v>15</v>
      </c>
      <c r="B32" s="426">
        <v>7000026766</v>
      </c>
      <c r="C32" s="426">
        <v>160</v>
      </c>
      <c r="D32" s="426" t="s">
        <v>566</v>
      </c>
      <c r="E32" s="426">
        <v>1000055986</v>
      </c>
      <c r="F32" s="426">
        <v>72169990</v>
      </c>
      <c r="G32" s="422"/>
      <c r="H32" s="426">
        <v>18</v>
      </c>
      <c r="I32" s="423"/>
      <c r="J32" s="425" t="s">
        <v>484</v>
      </c>
      <c r="K32" s="426" t="s">
        <v>470</v>
      </c>
      <c r="L32" s="426">
        <v>9</v>
      </c>
      <c r="M32" s="565"/>
      <c r="N32" s="428" t="str">
        <f t="shared" si="0"/>
        <v>INCLUDED</v>
      </c>
      <c r="O32" s="645">
        <f t="shared" si="2"/>
        <v>0</v>
      </c>
      <c r="P32" s="645">
        <f t="shared" si="3"/>
        <v>0</v>
      </c>
      <c r="Q32" s="645">
        <f>Discount!$H$36</f>
        <v>0</v>
      </c>
      <c r="R32" s="646">
        <f t="shared" si="4"/>
        <v>0</v>
      </c>
      <c r="S32" s="646">
        <f t="shared" si="5"/>
        <v>0</v>
      </c>
      <c r="T32" s="647">
        <f t="shared" si="1"/>
        <v>0</v>
      </c>
    </row>
    <row r="33" spans="1:20" ht="31.5">
      <c r="A33" s="644">
        <v>16</v>
      </c>
      <c r="B33" s="426">
        <v>7000026766</v>
      </c>
      <c r="C33" s="426">
        <v>180</v>
      </c>
      <c r="D33" s="426" t="s">
        <v>567</v>
      </c>
      <c r="E33" s="426">
        <v>1000003398</v>
      </c>
      <c r="F33" s="426">
        <v>85371000</v>
      </c>
      <c r="G33" s="422"/>
      <c r="H33" s="426">
        <v>18</v>
      </c>
      <c r="I33" s="423"/>
      <c r="J33" s="425" t="s">
        <v>487</v>
      </c>
      <c r="K33" s="426" t="s">
        <v>470</v>
      </c>
      <c r="L33" s="426">
        <v>1</v>
      </c>
      <c r="M33" s="565"/>
      <c r="N33" s="428" t="str">
        <f t="shared" si="0"/>
        <v>INCLUDED</v>
      </c>
      <c r="O33" s="645">
        <f t="shared" si="2"/>
        <v>0</v>
      </c>
      <c r="P33" s="645">
        <f t="shared" si="3"/>
        <v>0</v>
      </c>
      <c r="Q33" s="645">
        <f>Discount!$H$36</f>
        <v>0</v>
      </c>
      <c r="R33" s="646">
        <f t="shared" si="4"/>
        <v>0</v>
      </c>
      <c r="S33" s="646">
        <f t="shared" si="5"/>
        <v>0</v>
      </c>
      <c r="T33" s="647">
        <f t="shared" si="1"/>
        <v>0</v>
      </c>
    </row>
    <row r="34" spans="1:20" ht="31.5">
      <c r="A34" s="648">
        <v>17</v>
      </c>
      <c r="B34" s="426">
        <v>7000026766</v>
      </c>
      <c r="C34" s="426">
        <v>190</v>
      </c>
      <c r="D34" s="426" t="s">
        <v>567</v>
      </c>
      <c r="E34" s="426">
        <v>1000055446</v>
      </c>
      <c r="F34" s="426">
        <v>85371000</v>
      </c>
      <c r="G34" s="422"/>
      <c r="H34" s="426">
        <v>18</v>
      </c>
      <c r="I34" s="423"/>
      <c r="J34" s="425" t="s">
        <v>547</v>
      </c>
      <c r="K34" s="426" t="s">
        <v>470</v>
      </c>
      <c r="L34" s="426">
        <v>2</v>
      </c>
      <c r="M34" s="565"/>
      <c r="N34" s="428" t="str">
        <f t="shared" si="0"/>
        <v>INCLUDED</v>
      </c>
      <c r="O34" s="645">
        <f t="shared" si="2"/>
        <v>0</v>
      </c>
      <c r="P34" s="645">
        <f t="shared" si="3"/>
        <v>0</v>
      </c>
      <c r="Q34" s="645">
        <f>Discount!$H$36</f>
        <v>0</v>
      </c>
      <c r="R34" s="646">
        <f t="shared" si="4"/>
        <v>0</v>
      </c>
      <c r="S34" s="646">
        <f t="shared" si="5"/>
        <v>0</v>
      </c>
      <c r="T34" s="647">
        <f t="shared" si="1"/>
        <v>0</v>
      </c>
    </row>
    <row r="35" spans="1:20" ht="31.5">
      <c r="A35" s="644">
        <v>18</v>
      </c>
      <c r="B35" s="426">
        <v>7000026766</v>
      </c>
      <c r="C35" s="426">
        <v>200</v>
      </c>
      <c r="D35" s="426" t="s">
        <v>567</v>
      </c>
      <c r="E35" s="426">
        <v>1000002146</v>
      </c>
      <c r="F35" s="426">
        <v>85371000</v>
      </c>
      <c r="G35" s="422"/>
      <c r="H35" s="426">
        <v>18</v>
      </c>
      <c r="I35" s="423"/>
      <c r="J35" s="425" t="s">
        <v>534</v>
      </c>
      <c r="K35" s="426" t="s">
        <v>471</v>
      </c>
      <c r="L35" s="426">
        <v>1</v>
      </c>
      <c r="M35" s="565"/>
      <c r="N35" s="428" t="str">
        <f t="shared" si="0"/>
        <v>INCLUDED</v>
      </c>
      <c r="O35" s="645">
        <f t="shared" si="2"/>
        <v>0</v>
      </c>
      <c r="P35" s="645">
        <f t="shared" si="3"/>
        <v>0</v>
      </c>
      <c r="Q35" s="645">
        <f>Discount!$H$36</f>
        <v>0</v>
      </c>
      <c r="R35" s="646">
        <f t="shared" si="4"/>
        <v>0</v>
      </c>
      <c r="S35" s="646">
        <f t="shared" si="5"/>
        <v>0</v>
      </c>
      <c r="T35" s="647">
        <f t="shared" si="1"/>
        <v>0</v>
      </c>
    </row>
    <row r="36" spans="1:20" ht="31.5">
      <c r="A36" s="644">
        <v>19</v>
      </c>
      <c r="B36" s="426">
        <v>7000026766</v>
      </c>
      <c r="C36" s="426">
        <v>210</v>
      </c>
      <c r="D36" s="426" t="s">
        <v>567</v>
      </c>
      <c r="E36" s="426">
        <v>1000064768</v>
      </c>
      <c r="F36" s="426">
        <v>85371000</v>
      </c>
      <c r="G36" s="422"/>
      <c r="H36" s="426">
        <v>18</v>
      </c>
      <c r="I36" s="423"/>
      <c r="J36" s="425" t="s">
        <v>584</v>
      </c>
      <c r="K36" s="426" t="s">
        <v>470</v>
      </c>
      <c r="L36" s="426">
        <v>1</v>
      </c>
      <c r="M36" s="565"/>
      <c r="N36" s="428" t="str">
        <f t="shared" si="0"/>
        <v>INCLUDED</v>
      </c>
      <c r="O36" s="645">
        <f t="shared" si="2"/>
        <v>0</v>
      </c>
      <c r="P36" s="645">
        <f t="shared" si="3"/>
        <v>0</v>
      </c>
      <c r="Q36" s="645">
        <f>Discount!$H$36</f>
        <v>0</v>
      </c>
      <c r="R36" s="646">
        <f t="shared" si="4"/>
        <v>0</v>
      </c>
      <c r="S36" s="646">
        <f t="shared" si="5"/>
        <v>0</v>
      </c>
      <c r="T36" s="647">
        <f t="shared" si="1"/>
        <v>0</v>
      </c>
    </row>
    <row r="37" spans="1:20" ht="31.5">
      <c r="A37" s="648">
        <v>20</v>
      </c>
      <c r="B37" s="426">
        <v>7000026766</v>
      </c>
      <c r="C37" s="426">
        <v>220</v>
      </c>
      <c r="D37" s="426" t="s">
        <v>567</v>
      </c>
      <c r="E37" s="426">
        <v>1000064770</v>
      </c>
      <c r="F37" s="426">
        <v>85371000</v>
      </c>
      <c r="G37" s="422"/>
      <c r="H37" s="426">
        <v>18</v>
      </c>
      <c r="I37" s="423"/>
      <c r="J37" s="425" t="s">
        <v>585</v>
      </c>
      <c r="K37" s="426" t="s">
        <v>470</v>
      </c>
      <c r="L37" s="426">
        <v>1</v>
      </c>
      <c r="M37" s="565"/>
      <c r="N37" s="428" t="str">
        <f t="shared" si="0"/>
        <v>INCLUDED</v>
      </c>
      <c r="O37" s="645">
        <f t="shared" si="2"/>
        <v>0</v>
      </c>
      <c r="P37" s="645">
        <f t="shared" si="3"/>
        <v>0</v>
      </c>
      <c r="Q37" s="645">
        <f>Discount!$H$36</f>
        <v>0</v>
      </c>
      <c r="R37" s="646">
        <f t="shared" si="4"/>
        <v>0</v>
      </c>
      <c r="S37" s="646">
        <f t="shared" si="5"/>
        <v>0</v>
      </c>
      <c r="T37" s="647">
        <f t="shared" si="1"/>
        <v>0</v>
      </c>
    </row>
    <row r="38" spans="1:20">
      <c r="A38" s="644">
        <v>21</v>
      </c>
      <c r="B38" s="426">
        <v>7000026766</v>
      </c>
      <c r="C38" s="426">
        <v>240</v>
      </c>
      <c r="D38" s="426" t="s">
        <v>542</v>
      </c>
      <c r="E38" s="426">
        <v>1000010014</v>
      </c>
      <c r="F38" s="426">
        <v>85176210</v>
      </c>
      <c r="G38" s="422"/>
      <c r="H38" s="426">
        <v>18</v>
      </c>
      <c r="I38" s="423"/>
      <c r="J38" s="425" t="s">
        <v>491</v>
      </c>
      <c r="K38" s="426" t="s">
        <v>471</v>
      </c>
      <c r="L38" s="426">
        <v>2</v>
      </c>
      <c r="M38" s="565"/>
      <c r="N38" s="428" t="str">
        <f t="shared" si="0"/>
        <v>INCLUDED</v>
      </c>
      <c r="O38" s="645">
        <f t="shared" si="2"/>
        <v>0</v>
      </c>
      <c r="P38" s="645">
        <f t="shared" si="3"/>
        <v>0</v>
      </c>
      <c r="Q38" s="645">
        <f>Discount!$H$36</f>
        <v>0</v>
      </c>
      <c r="R38" s="646">
        <f t="shared" si="4"/>
        <v>0</v>
      </c>
      <c r="S38" s="646">
        <f t="shared" si="5"/>
        <v>0</v>
      </c>
      <c r="T38" s="647">
        <f t="shared" si="1"/>
        <v>0</v>
      </c>
    </row>
    <row r="39" spans="1:20">
      <c r="A39" s="644">
        <v>22</v>
      </c>
      <c r="B39" s="426">
        <v>7000026766</v>
      </c>
      <c r="C39" s="426">
        <v>250</v>
      </c>
      <c r="D39" s="426" t="s">
        <v>542</v>
      </c>
      <c r="E39" s="426">
        <v>1000028380</v>
      </c>
      <c r="F39" s="426">
        <v>85176210</v>
      </c>
      <c r="G39" s="422"/>
      <c r="H39" s="426">
        <v>18</v>
      </c>
      <c r="I39" s="423"/>
      <c r="J39" s="425" t="s">
        <v>586</v>
      </c>
      <c r="K39" s="426" t="s">
        <v>470</v>
      </c>
      <c r="L39" s="426">
        <v>2</v>
      </c>
      <c r="M39" s="565"/>
      <c r="N39" s="428" t="str">
        <f t="shared" si="0"/>
        <v>INCLUDED</v>
      </c>
      <c r="O39" s="645">
        <f t="shared" si="2"/>
        <v>0</v>
      </c>
      <c r="P39" s="645">
        <f t="shared" si="3"/>
        <v>0</v>
      </c>
      <c r="Q39" s="645">
        <f>Discount!$H$36</f>
        <v>0</v>
      </c>
      <c r="R39" s="646">
        <f t="shared" si="4"/>
        <v>0</v>
      </c>
      <c r="S39" s="646">
        <f t="shared" si="5"/>
        <v>0</v>
      </c>
      <c r="T39" s="647">
        <f t="shared" si="1"/>
        <v>0</v>
      </c>
    </row>
    <row r="40" spans="1:20">
      <c r="A40" s="648">
        <v>23</v>
      </c>
      <c r="B40" s="426">
        <v>7000026766</v>
      </c>
      <c r="C40" s="426">
        <v>260</v>
      </c>
      <c r="D40" s="426" t="s">
        <v>542</v>
      </c>
      <c r="E40" s="426">
        <v>1000017887</v>
      </c>
      <c r="F40" s="426">
        <v>85176210</v>
      </c>
      <c r="G40" s="422"/>
      <c r="H40" s="426">
        <v>18</v>
      </c>
      <c r="I40" s="423"/>
      <c r="J40" s="425" t="s">
        <v>494</v>
      </c>
      <c r="K40" s="426" t="s">
        <v>470</v>
      </c>
      <c r="L40" s="426">
        <v>2</v>
      </c>
      <c r="M40" s="565"/>
      <c r="N40" s="428" t="str">
        <f t="shared" si="0"/>
        <v>INCLUDED</v>
      </c>
      <c r="O40" s="645">
        <f t="shared" si="2"/>
        <v>0</v>
      </c>
      <c r="P40" s="645">
        <f t="shared" si="3"/>
        <v>0</v>
      </c>
      <c r="Q40" s="645">
        <f>Discount!$H$36</f>
        <v>0</v>
      </c>
      <c r="R40" s="646">
        <f t="shared" si="4"/>
        <v>0</v>
      </c>
      <c r="S40" s="646">
        <f t="shared" si="5"/>
        <v>0</v>
      </c>
      <c r="T40" s="647">
        <f t="shared" si="1"/>
        <v>0</v>
      </c>
    </row>
    <row r="41" spans="1:20">
      <c r="A41" s="644">
        <v>24</v>
      </c>
      <c r="B41" s="426">
        <v>7000026766</v>
      </c>
      <c r="C41" s="426">
        <v>270</v>
      </c>
      <c r="D41" s="426" t="s">
        <v>542</v>
      </c>
      <c r="E41" s="426">
        <v>1000010638</v>
      </c>
      <c r="F41" s="426">
        <v>85176210</v>
      </c>
      <c r="G41" s="422"/>
      <c r="H41" s="426">
        <v>18</v>
      </c>
      <c r="I41" s="423"/>
      <c r="J41" s="425" t="s">
        <v>492</v>
      </c>
      <c r="K41" s="426" t="s">
        <v>470</v>
      </c>
      <c r="L41" s="426">
        <v>2</v>
      </c>
      <c r="M41" s="565"/>
      <c r="N41" s="428" t="str">
        <f t="shared" si="0"/>
        <v>INCLUDED</v>
      </c>
      <c r="O41" s="645">
        <f t="shared" si="2"/>
        <v>0</v>
      </c>
      <c r="P41" s="645">
        <f t="shared" si="3"/>
        <v>0</v>
      </c>
      <c r="Q41" s="645">
        <f>Discount!$H$36</f>
        <v>0</v>
      </c>
      <c r="R41" s="646">
        <f t="shared" si="4"/>
        <v>0</v>
      </c>
      <c r="S41" s="646">
        <f t="shared" si="5"/>
        <v>0</v>
      </c>
      <c r="T41" s="647">
        <f t="shared" si="1"/>
        <v>0</v>
      </c>
    </row>
    <row r="42" spans="1:20">
      <c r="A42" s="644">
        <v>25</v>
      </c>
      <c r="B42" s="426">
        <v>7000026766</v>
      </c>
      <c r="C42" s="426">
        <v>280</v>
      </c>
      <c r="D42" s="426" t="s">
        <v>542</v>
      </c>
      <c r="E42" s="426">
        <v>1000036908</v>
      </c>
      <c r="F42" s="426">
        <v>85446020</v>
      </c>
      <c r="G42" s="422"/>
      <c r="H42" s="426">
        <v>18</v>
      </c>
      <c r="I42" s="423"/>
      <c r="J42" s="425" t="s">
        <v>587</v>
      </c>
      <c r="K42" s="426" t="s">
        <v>493</v>
      </c>
      <c r="L42" s="426">
        <v>1</v>
      </c>
      <c r="M42" s="565"/>
      <c r="N42" s="428" t="str">
        <f t="shared" si="0"/>
        <v>INCLUDED</v>
      </c>
      <c r="O42" s="645">
        <f t="shared" si="2"/>
        <v>0</v>
      </c>
      <c r="P42" s="645">
        <f t="shared" si="3"/>
        <v>0</v>
      </c>
      <c r="Q42" s="645">
        <f>Discount!$H$36</f>
        <v>0</v>
      </c>
      <c r="R42" s="646">
        <f t="shared" si="4"/>
        <v>0</v>
      </c>
      <c r="S42" s="646">
        <f t="shared" si="5"/>
        <v>0</v>
      </c>
      <c r="T42" s="647">
        <f t="shared" si="1"/>
        <v>0</v>
      </c>
    </row>
    <row r="43" spans="1:20" ht="31.5">
      <c r="A43" s="648">
        <v>26</v>
      </c>
      <c r="B43" s="426">
        <v>7000026766</v>
      </c>
      <c r="C43" s="426">
        <v>300</v>
      </c>
      <c r="D43" s="426" t="s">
        <v>568</v>
      </c>
      <c r="E43" s="426">
        <v>1000006284</v>
      </c>
      <c r="F43" s="426">
        <v>84151090</v>
      </c>
      <c r="G43" s="422"/>
      <c r="H43" s="426">
        <v>28</v>
      </c>
      <c r="I43" s="423"/>
      <c r="J43" s="425" t="s">
        <v>502</v>
      </c>
      <c r="K43" s="426" t="s">
        <v>471</v>
      </c>
      <c r="L43" s="426">
        <v>1</v>
      </c>
      <c r="M43" s="565"/>
      <c r="N43" s="428" t="str">
        <f t="shared" si="0"/>
        <v>INCLUDED</v>
      </c>
      <c r="O43" s="645">
        <f t="shared" si="2"/>
        <v>0</v>
      </c>
      <c r="P43" s="645">
        <f t="shared" si="3"/>
        <v>0</v>
      </c>
      <c r="Q43" s="645">
        <f>Discount!$H$36</f>
        <v>0</v>
      </c>
      <c r="R43" s="646">
        <f t="shared" si="4"/>
        <v>0</v>
      </c>
      <c r="S43" s="646">
        <f t="shared" si="5"/>
        <v>0</v>
      </c>
      <c r="T43" s="647">
        <f t="shared" si="1"/>
        <v>0</v>
      </c>
    </row>
    <row r="44" spans="1:20" ht="31.5">
      <c r="A44" s="644">
        <v>27</v>
      </c>
      <c r="B44" s="426">
        <v>7000026766</v>
      </c>
      <c r="C44" s="426">
        <v>310</v>
      </c>
      <c r="D44" s="426" t="s">
        <v>568</v>
      </c>
      <c r="E44" s="426">
        <v>1000012022</v>
      </c>
      <c r="F44" s="426">
        <v>84241000</v>
      </c>
      <c r="G44" s="422"/>
      <c r="H44" s="426">
        <v>18</v>
      </c>
      <c r="I44" s="423"/>
      <c r="J44" s="425" t="s">
        <v>504</v>
      </c>
      <c r="K44" s="426" t="s">
        <v>470</v>
      </c>
      <c r="L44" s="426">
        <v>1</v>
      </c>
      <c r="M44" s="565"/>
      <c r="N44" s="428" t="str">
        <f t="shared" si="0"/>
        <v>INCLUDED</v>
      </c>
      <c r="O44" s="645">
        <f t="shared" si="2"/>
        <v>0</v>
      </c>
      <c r="P44" s="645">
        <f t="shared" si="3"/>
        <v>0</v>
      </c>
      <c r="Q44" s="645">
        <f>Discount!$H$36</f>
        <v>0</v>
      </c>
      <c r="R44" s="646">
        <f t="shared" si="4"/>
        <v>0</v>
      </c>
      <c r="S44" s="646">
        <f t="shared" si="5"/>
        <v>0</v>
      </c>
      <c r="T44" s="647">
        <f t="shared" si="1"/>
        <v>0</v>
      </c>
    </row>
    <row r="45" spans="1:20" ht="31.5">
      <c r="A45" s="644">
        <v>28</v>
      </c>
      <c r="B45" s="426">
        <v>7000026766</v>
      </c>
      <c r="C45" s="426">
        <v>320</v>
      </c>
      <c r="D45" s="426" t="s">
        <v>568</v>
      </c>
      <c r="E45" s="426">
        <v>1000012018</v>
      </c>
      <c r="F45" s="426">
        <v>85311020</v>
      </c>
      <c r="G45" s="422"/>
      <c r="H45" s="426">
        <v>18</v>
      </c>
      <c r="I45" s="423"/>
      <c r="J45" s="425" t="s">
        <v>503</v>
      </c>
      <c r="K45" s="426" t="s">
        <v>471</v>
      </c>
      <c r="L45" s="426">
        <v>1</v>
      </c>
      <c r="M45" s="565"/>
      <c r="N45" s="428" t="str">
        <f t="shared" si="0"/>
        <v>INCLUDED</v>
      </c>
      <c r="O45" s="645">
        <f t="shared" si="2"/>
        <v>0</v>
      </c>
      <c r="P45" s="645">
        <f t="shared" si="3"/>
        <v>0</v>
      </c>
      <c r="Q45" s="645">
        <f>Discount!$H$36</f>
        <v>0</v>
      </c>
      <c r="R45" s="646">
        <f t="shared" si="4"/>
        <v>0</v>
      </c>
      <c r="S45" s="646">
        <f t="shared" si="5"/>
        <v>0</v>
      </c>
      <c r="T45" s="647">
        <f t="shared" si="1"/>
        <v>0</v>
      </c>
    </row>
    <row r="46" spans="1:20" ht="31.5">
      <c r="A46" s="648">
        <v>29</v>
      </c>
      <c r="B46" s="426">
        <v>7000026766</v>
      </c>
      <c r="C46" s="426">
        <v>330</v>
      </c>
      <c r="D46" s="426" t="s">
        <v>568</v>
      </c>
      <c r="E46" s="426">
        <v>1000013795</v>
      </c>
      <c r="F46" s="426">
        <v>94059900</v>
      </c>
      <c r="G46" s="422"/>
      <c r="H46" s="426">
        <v>18</v>
      </c>
      <c r="I46" s="423"/>
      <c r="J46" s="425" t="s">
        <v>507</v>
      </c>
      <c r="K46" s="426" t="s">
        <v>506</v>
      </c>
      <c r="L46" s="426">
        <v>1</v>
      </c>
      <c r="M46" s="565"/>
      <c r="N46" s="428" t="str">
        <f t="shared" si="0"/>
        <v>INCLUDED</v>
      </c>
      <c r="O46" s="645">
        <f t="shared" si="2"/>
        <v>0</v>
      </c>
      <c r="P46" s="645">
        <f t="shared" si="3"/>
        <v>0</v>
      </c>
      <c r="Q46" s="645">
        <f>Discount!$H$36</f>
        <v>0</v>
      </c>
      <c r="R46" s="646">
        <f t="shared" si="4"/>
        <v>0</v>
      </c>
      <c r="S46" s="646">
        <f t="shared" si="5"/>
        <v>0</v>
      </c>
      <c r="T46" s="647">
        <f t="shared" si="1"/>
        <v>0</v>
      </c>
    </row>
    <row r="47" spans="1:20" ht="31.5">
      <c r="A47" s="644">
        <v>30</v>
      </c>
      <c r="B47" s="426">
        <v>7000026766</v>
      </c>
      <c r="C47" s="426">
        <v>350</v>
      </c>
      <c r="D47" s="426" t="s">
        <v>569</v>
      </c>
      <c r="E47" s="426">
        <v>1000038387</v>
      </c>
      <c r="F47" s="426">
        <v>94051090</v>
      </c>
      <c r="G47" s="422"/>
      <c r="H47" s="426">
        <v>18</v>
      </c>
      <c r="I47" s="423"/>
      <c r="J47" s="425" t="s">
        <v>550</v>
      </c>
      <c r="K47" s="426" t="s">
        <v>470</v>
      </c>
      <c r="L47" s="426">
        <v>15</v>
      </c>
      <c r="M47" s="565"/>
      <c r="N47" s="428" t="str">
        <f t="shared" si="0"/>
        <v>INCLUDED</v>
      </c>
      <c r="O47" s="645">
        <f t="shared" si="2"/>
        <v>0</v>
      </c>
      <c r="P47" s="645">
        <f t="shared" si="3"/>
        <v>0</v>
      </c>
      <c r="Q47" s="645">
        <f>Discount!$H$36</f>
        <v>0</v>
      </c>
      <c r="R47" s="646">
        <f t="shared" si="4"/>
        <v>0</v>
      </c>
      <c r="S47" s="646">
        <f t="shared" si="5"/>
        <v>0</v>
      </c>
      <c r="T47" s="647">
        <f t="shared" si="1"/>
        <v>0</v>
      </c>
    </row>
    <row r="48" spans="1:20" ht="31.5">
      <c r="A48" s="644">
        <v>31</v>
      </c>
      <c r="B48" s="426">
        <v>7000026766</v>
      </c>
      <c r="C48" s="426">
        <v>360</v>
      </c>
      <c r="D48" s="426" t="s">
        <v>569</v>
      </c>
      <c r="E48" s="426">
        <v>1000038325</v>
      </c>
      <c r="F48" s="426">
        <v>94059900</v>
      </c>
      <c r="G48" s="422"/>
      <c r="H48" s="426">
        <v>18</v>
      </c>
      <c r="I48" s="423"/>
      <c r="J48" s="425" t="s">
        <v>509</v>
      </c>
      <c r="K48" s="426" t="s">
        <v>470</v>
      </c>
      <c r="L48" s="426">
        <v>15</v>
      </c>
      <c r="M48" s="565"/>
      <c r="N48" s="428" t="str">
        <f t="shared" si="0"/>
        <v>INCLUDED</v>
      </c>
      <c r="O48" s="645">
        <f t="shared" si="2"/>
        <v>0</v>
      </c>
      <c r="P48" s="645">
        <f t="shared" si="3"/>
        <v>0</v>
      </c>
      <c r="Q48" s="645">
        <f>Discount!$H$36</f>
        <v>0</v>
      </c>
      <c r="R48" s="646">
        <f t="shared" si="4"/>
        <v>0</v>
      </c>
      <c r="S48" s="646">
        <f t="shared" si="5"/>
        <v>0</v>
      </c>
      <c r="T48" s="647">
        <f t="shared" si="1"/>
        <v>0</v>
      </c>
    </row>
    <row r="49" spans="1:20" ht="31.5">
      <c r="A49" s="648">
        <v>32</v>
      </c>
      <c r="B49" s="426">
        <v>7000026766</v>
      </c>
      <c r="C49" s="426">
        <v>370</v>
      </c>
      <c r="D49" s="426" t="s">
        <v>569</v>
      </c>
      <c r="E49" s="426">
        <v>1000020262</v>
      </c>
      <c r="F49" s="426">
        <v>85371000</v>
      </c>
      <c r="G49" s="422"/>
      <c r="H49" s="426">
        <v>18</v>
      </c>
      <c r="I49" s="423"/>
      <c r="J49" s="425" t="s">
        <v>588</v>
      </c>
      <c r="K49" s="426" t="s">
        <v>470</v>
      </c>
      <c r="L49" s="426">
        <v>2</v>
      </c>
      <c r="M49" s="565"/>
      <c r="N49" s="428" t="str">
        <f t="shared" si="0"/>
        <v>INCLUDED</v>
      </c>
      <c r="O49" s="645">
        <f t="shared" si="2"/>
        <v>0</v>
      </c>
      <c r="P49" s="645">
        <f t="shared" si="3"/>
        <v>0</v>
      </c>
      <c r="Q49" s="645">
        <f>Discount!$H$36</f>
        <v>0</v>
      </c>
      <c r="R49" s="646">
        <f t="shared" si="4"/>
        <v>0</v>
      </c>
      <c r="S49" s="646">
        <f t="shared" si="5"/>
        <v>0</v>
      </c>
      <c r="T49" s="647">
        <f t="shared" si="1"/>
        <v>0</v>
      </c>
    </row>
    <row r="50" spans="1:20" ht="31.5">
      <c r="A50" s="644">
        <v>33</v>
      </c>
      <c r="B50" s="426">
        <v>7000026766</v>
      </c>
      <c r="C50" s="426">
        <v>380</v>
      </c>
      <c r="D50" s="426" t="s">
        <v>569</v>
      </c>
      <c r="E50" s="426">
        <v>1000014547</v>
      </c>
      <c r="F50" s="426">
        <v>85371000</v>
      </c>
      <c r="G50" s="422"/>
      <c r="H50" s="426">
        <v>18</v>
      </c>
      <c r="I50" s="423"/>
      <c r="J50" s="425" t="s">
        <v>508</v>
      </c>
      <c r="K50" s="426" t="s">
        <v>470</v>
      </c>
      <c r="L50" s="426">
        <v>1</v>
      </c>
      <c r="M50" s="565"/>
      <c r="N50" s="428" t="str">
        <f t="shared" si="0"/>
        <v>INCLUDED</v>
      </c>
      <c r="O50" s="645">
        <f t="shared" si="2"/>
        <v>0</v>
      </c>
      <c r="P50" s="645">
        <f t="shared" si="3"/>
        <v>0</v>
      </c>
      <c r="Q50" s="645">
        <f>Discount!$H$36</f>
        <v>0</v>
      </c>
      <c r="R50" s="646">
        <f t="shared" si="4"/>
        <v>0</v>
      </c>
      <c r="S50" s="646">
        <f t="shared" si="5"/>
        <v>0</v>
      </c>
      <c r="T50" s="647">
        <f t="shared" si="1"/>
        <v>0</v>
      </c>
    </row>
    <row r="51" spans="1:20">
      <c r="A51" s="644">
        <v>34</v>
      </c>
      <c r="B51" s="426">
        <v>7000026766</v>
      </c>
      <c r="C51" s="426">
        <v>400</v>
      </c>
      <c r="D51" s="426" t="s">
        <v>570</v>
      </c>
      <c r="E51" s="426">
        <v>1000032055</v>
      </c>
      <c r="F51" s="426">
        <v>72159090</v>
      </c>
      <c r="G51" s="422"/>
      <c r="H51" s="426">
        <v>18</v>
      </c>
      <c r="I51" s="423"/>
      <c r="J51" s="425" t="s">
        <v>511</v>
      </c>
      <c r="K51" s="426" t="s">
        <v>493</v>
      </c>
      <c r="L51" s="426">
        <v>3</v>
      </c>
      <c r="M51" s="565"/>
      <c r="N51" s="428" t="str">
        <f t="shared" si="0"/>
        <v>INCLUDED</v>
      </c>
      <c r="O51" s="645">
        <f t="shared" si="2"/>
        <v>0</v>
      </c>
      <c r="P51" s="645">
        <f t="shared" si="3"/>
        <v>0</v>
      </c>
      <c r="Q51" s="645">
        <f>Discount!$H$36</f>
        <v>0</v>
      </c>
      <c r="R51" s="646">
        <f t="shared" si="4"/>
        <v>0</v>
      </c>
      <c r="S51" s="646">
        <f t="shared" si="5"/>
        <v>0</v>
      </c>
      <c r="T51" s="647">
        <f t="shared" si="1"/>
        <v>0</v>
      </c>
    </row>
    <row r="52" spans="1:20" ht="78.75">
      <c r="A52" s="648">
        <v>35</v>
      </c>
      <c r="B52" s="426">
        <v>7000026766</v>
      </c>
      <c r="C52" s="426">
        <v>420</v>
      </c>
      <c r="D52" s="426" t="s">
        <v>571</v>
      </c>
      <c r="E52" s="426">
        <v>1000030433</v>
      </c>
      <c r="F52" s="426">
        <v>85287390</v>
      </c>
      <c r="G52" s="422"/>
      <c r="H52" s="426">
        <v>18</v>
      </c>
      <c r="I52" s="423"/>
      <c r="J52" s="425" t="s">
        <v>589</v>
      </c>
      <c r="K52" s="426" t="s">
        <v>471</v>
      </c>
      <c r="L52" s="426">
        <v>1</v>
      </c>
      <c r="M52" s="565"/>
      <c r="N52" s="428" t="str">
        <f t="shared" si="0"/>
        <v>INCLUDED</v>
      </c>
      <c r="O52" s="645">
        <f t="shared" si="2"/>
        <v>0</v>
      </c>
      <c r="P52" s="645">
        <f t="shared" si="3"/>
        <v>0</v>
      </c>
      <c r="Q52" s="645">
        <f>Discount!$H$36</f>
        <v>0</v>
      </c>
      <c r="R52" s="646">
        <f t="shared" si="4"/>
        <v>0</v>
      </c>
      <c r="S52" s="646">
        <f t="shared" si="5"/>
        <v>0</v>
      </c>
      <c r="T52" s="647">
        <f t="shared" si="1"/>
        <v>0</v>
      </c>
    </row>
    <row r="53" spans="1:20">
      <c r="A53" s="644">
        <v>36</v>
      </c>
      <c r="B53" s="426">
        <v>7000026766</v>
      </c>
      <c r="C53" s="426">
        <v>440</v>
      </c>
      <c r="D53" s="426" t="s">
        <v>572</v>
      </c>
      <c r="E53" s="426">
        <v>1000019918</v>
      </c>
      <c r="F53" s="426">
        <v>85359090</v>
      </c>
      <c r="G53" s="422"/>
      <c r="H53" s="426">
        <v>18</v>
      </c>
      <c r="I53" s="423"/>
      <c r="J53" s="425" t="s">
        <v>527</v>
      </c>
      <c r="K53" s="426" t="s">
        <v>506</v>
      </c>
      <c r="L53" s="426">
        <v>1</v>
      </c>
      <c r="M53" s="565"/>
      <c r="N53" s="428" t="str">
        <f t="shared" si="0"/>
        <v>INCLUDED</v>
      </c>
      <c r="O53" s="645">
        <f t="shared" si="2"/>
        <v>0</v>
      </c>
      <c r="P53" s="645">
        <f t="shared" si="3"/>
        <v>0</v>
      </c>
      <c r="Q53" s="645">
        <f>Discount!$H$36</f>
        <v>0</v>
      </c>
      <c r="R53" s="646">
        <f t="shared" si="4"/>
        <v>0</v>
      </c>
      <c r="S53" s="646">
        <f t="shared" si="5"/>
        <v>0</v>
      </c>
      <c r="T53" s="647">
        <f t="shared" si="1"/>
        <v>0</v>
      </c>
    </row>
    <row r="54" spans="1:20">
      <c r="A54" s="644">
        <v>37</v>
      </c>
      <c r="B54" s="426">
        <v>7000026766</v>
      </c>
      <c r="C54" s="426">
        <v>450</v>
      </c>
      <c r="D54" s="426" t="s">
        <v>573</v>
      </c>
      <c r="E54" s="426">
        <v>1000019919</v>
      </c>
      <c r="F54" s="426">
        <v>85353090</v>
      </c>
      <c r="G54" s="422"/>
      <c r="H54" s="426">
        <v>18</v>
      </c>
      <c r="I54" s="423"/>
      <c r="J54" s="425" t="s">
        <v>528</v>
      </c>
      <c r="K54" s="426" t="s">
        <v>506</v>
      </c>
      <c r="L54" s="426">
        <v>1</v>
      </c>
      <c r="M54" s="565"/>
      <c r="N54" s="428" t="str">
        <f t="shared" si="0"/>
        <v>INCLUDED</v>
      </c>
      <c r="O54" s="645">
        <f t="shared" si="2"/>
        <v>0</v>
      </c>
      <c r="P54" s="645">
        <f t="shared" si="3"/>
        <v>0</v>
      </c>
      <c r="Q54" s="645">
        <f>Discount!$H$36</f>
        <v>0</v>
      </c>
      <c r="R54" s="646">
        <f t="shared" si="4"/>
        <v>0</v>
      </c>
      <c r="S54" s="646">
        <f t="shared" si="5"/>
        <v>0</v>
      </c>
      <c r="T54" s="647">
        <f t="shared" si="1"/>
        <v>0</v>
      </c>
    </row>
    <row r="55" spans="1:20">
      <c r="A55" s="648">
        <v>38</v>
      </c>
      <c r="B55" s="426">
        <v>7000026766</v>
      </c>
      <c r="C55" s="426">
        <v>460</v>
      </c>
      <c r="D55" s="426" t="s">
        <v>574</v>
      </c>
      <c r="E55" s="426">
        <v>1000025941</v>
      </c>
      <c r="F55" s="426">
        <v>85389000</v>
      </c>
      <c r="G55" s="422"/>
      <c r="H55" s="426">
        <v>18</v>
      </c>
      <c r="I55" s="423"/>
      <c r="J55" s="425" t="s">
        <v>529</v>
      </c>
      <c r="K55" s="426" t="s">
        <v>471</v>
      </c>
      <c r="L55" s="426">
        <v>1</v>
      </c>
      <c r="M55" s="565"/>
      <c r="N55" s="428" t="str">
        <f t="shared" si="0"/>
        <v>INCLUDED</v>
      </c>
      <c r="O55" s="645">
        <f t="shared" si="2"/>
        <v>0</v>
      </c>
      <c r="P55" s="645">
        <f>IF( I55="",H55*(IF(N55="Included",0,N55))/100,I55*(IF(N55="Included",0,N55)))</f>
        <v>0</v>
      </c>
      <c r="Q55" s="645">
        <f>Discount!$H$36</f>
        <v>0</v>
      </c>
      <c r="R55" s="646">
        <f t="shared" si="4"/>
        <v>0</v>
      </c>
      <c r="S55" s="646">
        <f t="shared" si="5"/>
        <v>0</v>
      </c>
      <c r="T55" s="647">
        <f t="shared" si="1"/>
        <v>0</v>
      </c>
    </row>
    <row r="56" spans="1:20">
      <c r="A56" s="644">
        <v>39</v>
      </c>
      <c r="B56" s="426">
        <v>7000026766</v>
      </c>
      <c r="C56" s="426">
        <v>470</v>
      </c>
      <c r="D56" s="426" t="s">
        <v>575</v>
      </c>
      <c r="E56" s="426">
        <v>1000024186</v>
      </c>
      <c r="F56" s="426">
        <v>85354010</v>
      </c>
      <c r="G56" s="422"/>
      <c r="H56" s="426">
        <v>18</v>
      </c>
      <c r="I56" s="423"/>
      <c r="J56" s="425" t="s">
        <v>531</v>
      </c>
      <c r="K56" s="426" t="s">
        <v>506</v>
      </c>
      <c r="L56" s="426">
        <v>1</v>
      </c>
      <c r="M56" s="565"/>
      <c r="N56" s="428" t="str">
        <f t="shared" si="0"/>
        <v>INCLUDED</v>
      </c>
      <c r="O56" s="645">
        <f t="shared" si="2"/>
        <v>0</v>
      </c>
      <c r="P56" s="645">
        <f>IF( I56="",H56*(IF(N56="Included",0,N56))/100,I56*(IF(N56="Included",0,N56)))</f>
        <v>0</v>
      </c>
      <c r="Q56" s="645">
        <f>Discount!$H$36</f>
        <v>0</v>
      </c>
      <c r="R56" s="646">
        <f t="shared" si="4"/>
        <v>0</v>
      </c>
      <c r="S56" s="646">
        <f t="shared" si="5"/>
        <v>0</v>
      </c>
      <c r="T56" s="647">
        <f t="shared" si="1"/>
        <v>0</v>
      </c>
    </row>
    <row r="57" spans="1:20">
      <c r="A57" s="644">
        <v>40</v>
      </c>
      <c r="B57" s="426">
        <v>7000026766</v>
      </c>
      <c r="C57" s="426">
        <v>480</v>
      </c>
      <c r="D57" s="426" t="s">
        <v>576</v>
      </c>
      <c r="E57" s="426">
        <v>1000031964</v>
      </c>
      <c r="F57" s="426">
        <v>85446020</v>
      </c>
      <c r="G57" s="422"/>
      <c r="H57" s="426">
        <v>18</v>
      </c>
      <c r="I57" s="423"/>
      <c r="J57" s="425" t="s">
        <v>515</v>
      </c>
      <c r="K57" s="426" t="s">
        <v>493</v>
      </c>
      <c r="L57" s="426">
        <v>1</v>
      </c>
      <c r="M57" s="565"/>
      <c r="N57" s="428" t="str">
        <f t="shared" si="0"/>
        <v>INCLUDED</v>
      </c>
      <c r="O57" s="645">
        <f t="shared" si="2"/>
        <v>0</v>
      </c>
      <c r="P57" s="645">
        <f t="shared" si="3"/>
        <v>0</v>
      </c>
      <c r="Q57" s="645">
        <f>Discount!$H$36</f>
        <v>0</v>
      </c>
      <c r="R57" s="646">
        <f t="shared" si="4"/>
        <v>0</v>
      </c>
      <c r="S57" s="646">
        <f t="shared" si="5"/>
        <v>0</v>
      </c>
      <c r="T57" s="647">
        <f t="shared" si="1"/>
        <v>0</v>
      </c>
    </row>
    <row r="58" spans="1:20">
      <c r="A58" s="648">
        <v>41</v>
      </c>
      <c r="B58" s="426">
        <v>7000026766</v>
      </c>
      <c r="C58" s="426">
        <v>490</v>
      </c>
      <c r="D58" s="426" t="s">
        <v>576</v>
      </c>
      <c r="E58" s="426">
        <v>1000031987</v>
      </c>
      <c r="F58" s="426">
        <v>85446020</v>
      </c>
      <c r="G58" s="422"/>
      <c r="H58" s="426">
        <v>18</v>
      </c>
      <c r="I58" s="423"/>
      <c r="J58" s="425" t="s">
        <v>516</v>
      </c>
      <c r="K58" s="426" t="s">
        <v>493</v>
      </c>
      <c r="L58" s="426">
        <v>3</v>
      </c>
      <c r="M58" s="565"/>
      <c r="N58" s="428" t="str">
        <f t="shared" ref="N58:N108" si="6">IF(M58=0, "INCLUDED", IF(ISERROR(M58*L58), M58, M58*L58))</f>
        <v>INCLUDED</v>
      </c>
      <c r="O58" s="645">
        <f t="shared" ref="O58:O71" si="7">IF(N58="Included",0,N58)</f>
        <v>0</v>
      </c>
      <c r="P58" s="645">
        <f t="shared" ref="P58:P71" si="8">IF( I58="",H58*(IF(N58="Included",0,N58))/100,I58*(IF(N58="Included",0,N58)))</f>
        <v>0</v>
      </c>
      <c r="Q58" s="645">
        <f>Discount!$H$36</f>
        <v>0</v>
      </c>
      <c r="R58" s="646">
        <f t="shared" ref="R58:R71" si="9">Q58*O58</f>
        <v>0</v>
      </c>
      <c r="S58" s="646">
        <f t="shared" ref="S58:S71" si="10">IF(I58="",H58*R58/100,I58*R58)</f>
        <v>0</v>
      </c>
      <c r="T58" s="647">
        <f t="shared" si="1"/>
        <v>0</v>
      </c>
    </row>
    <row r="59" spans="1:20">
      <c r="A59" s="644">
        <v>42</v>
      </c>
      <c r="B59" s="426">
        <v>7000026766</v>
      </c>
      <c r="C59" s="426">
        <v>500</v>
      </c>
      <c r="D59" s="426" t="s">
        <v>576</v>
      </c>
      <c r="E59" s="426">
        <v>1000031887</v>
      </c>
      <c r="F59" s="426">
        <v>85446020</v>
      </c>
      <c r="G59" s="422"/>
      <c r="H59" s="426">
        <v>18</v>
      </c>
      <c r="I59" s="423"/>
      <c r="J59" s="425" t="s">
        <v>517</v>
      </c>
      <c r="K59" s="426" t="s">
        <v>493</v>
      </c>
      <c r="L59" s="426">
        <v>1</v>
      </c>
      <c r="M59" s="565"/>
      <c r="N59" s="428" t="str">
        <f t="shared" si="6"/>
        <v>INCLUDED</v>
      </c>
      <c r="O59" s="645">
        <f t="shared" si="7"/>
        <v>0</v>
      </c>
      <c r="P59" s="645">
        <f t="shared" si="8"/>
        <v>0</v>
      </c>
      <c r="Q59" s="645">
        <f>Discount!$H$36</f>
        <v>0</v>
      </c>
      <c r="R59" s="646">
        <f t="shared" si="9"/>
        <v>0</v>
      </c>
      <c r="S59" s="646">
        <f t="shared" si="10"/>
        <v>0</v>
      </c>
      <c r="T59" s="647">
        <f t="shared" si="1"/>
        <v>0</v>
      </c>
    </row>
    <row r="60" spans="1:20">
      <c r="A60" s="644">
        <v>43</v>
      </c>
      <c r="B60" s="426">
        <v>7000026766</v>
      </c>
      <c r="C60" s="426">
        <v>510</v>
      </c>
      <c r="D60" s="426" t="s">
        <v>576</v>
      </c>
      <c r="E60" s="426">
        <v>1000056264</v>
      </c>
      <c r="F60" s="426">
        <v>85446020</v>
      </c>
      <c r="G60" s="422"/>
      <c r="H60" s="426">
        <v>18</v>
      </c>
      <c r="I60" s="423"/>
      <c r="J60" s="425" t="s">
        <v>519</v>
      </c>
      <c r="K60" s="426" t="s">
        <v>493</v>
      </c>
      <c r="L60" s="426">
        <v>1</v>
      </c>
      <c r="M60" s="565"/>
      <c r="N60" s="428" t="str">
        <f t="shared" si="6"/>
        <v>INCLUDED</v>
      </c>
      <c r="O60" s="645">
        <f t="shared" si="7"/>
        <v>0</v>
      </c>
      <c r="P60" s="645">
        <f t="shared" si="8"/>
        <v>0</v>
      </c>
      <c r="Q60" s="645">
        <f>Discount!$H$36</f>
        <v>0</v>
      </c>
      <c r="R60" s="646">
        <f t="shared" si="9"/>
        <v>0</v>
      </c>
      <c r="S60" s="646">
        <f t="shared" si="10"/>
        <v>0</v>
      </c>
      <c r="T60" s="647">
        <f t="shared" si="1"/>
        <v>0</v>
      </c>
    </row>
    <row r="61" spans="1:20">
      <c r="A61" s="648">
        <v>44</v>
      </c>
      <c r="B61" s="426">
        <v>7000026766</v>
      </c>
      <c r="C61" s="426">
        <v>520</v>
      </c>
      <c r="D61" s="426" t="s">
        <v>576</v>
      </c>
      <c r="E61" s="426">
        <v>1000056265</v>
      </c>
      <c r="F61" s="426">
        <v>85446020</v>
      </c>
      <c r="G61" s="422"/>
      <c r="H61" s="426">
        <v>18</v>
      </c>
      <c r="I61" s="423"/>
      <c r="J61" s="425" t="s">
        <v>520</v>
      </c>
      <c r="K61" s="426" t="s">
        <v>493</v>
      </c>
      <c r="L61" s="426">
        <v>1</v>
      </c>
      <c r="M61" s="565"/>
      <c r="N61" s="428" t="str">
        <f t="shared" si="6"/>
        <v>INCLUDED</v>
      </c>
      <c r="O61" s="645">
        <f t="shared" si="7"/>
        <v>0</v>
      </c>
      <c r="P61" s="645">
        <f t="shared" si="8"/>
        <v>0</v>
      </c>
      <c r="Q61" s="645">
        <f>Discount!$H$36</f>
        <v>0</v>
      </c>
      <c r="R61" s="646">
        <f t="shared" si="9"/>
        <v>0</v>
      </c>
      <c r="S61" s="646">
        <f t="shared" si="10"/>
        <v>0</v>
      </c>
      <c r="T61" s="647">
        <f t="shared" si="1"/>
        <v>0</v>
      </c>
    </row>
    <row r="62" spans="1:20">
      <c r="A62" s="644">
        <v>45</v>
      </c>
      <c r="B62" s="426">
        <v>7000026766</v>
      </c>
      <c r="C62" s="426">
        <v>530</v>
      </c>
      <c r="D62" s="426" t="s">
        <v>576</v>
      </c>
      <c r="E62" s="426">
        <v>1000032049</v>
      </c>
      <c r="F62" s="426">
        <v>85446020</v>
      </c>
      <c r="G62" s="422"/>
      <c r="H62" s="426">
        <v>18</v>
      </c>
      <c r="I62" s="423"/>
      <c r="J62" s="425" t="s">
        <v>590</v>
      </c>
      <c r="K62" s="426" t="s">
        <v>493</v>
      </c>
      <c r="L62" s="426">
        <v>0.5</v>
      </c>
      <c r="M62" s="565"/>
      <c r="N62" s="428" t="str">
        <f t="shared" si="6"/>
        <v>INCLUDED</v>
      </c>
      <c r="O62" s="645">
        <f t="shared" si="7"/>
        <v>0</v>
      </c>
      <c r="P62" s="645">
        <f t="shared" si="8"/>
        <v>0</v>
      </c>
      <c r="Q62" s="645">
        <f>Discount!$H$36</f>
        <v>0</v>
      </c>
      <c r="R62" s="646">
        <f t="shared" si="9"/>
        <v>0</v>
      </c>
      <c r="S62" s="646">
        <f t="shared" si="10"/>
        <v>0</v>
      </c>
      <c r="T62" s="647">
        <f t="shared" si="1"/>
        <v>0</v>
      </c>
    </row>
    <row r="63" spans="1:20">
      <c r="A63" s="644">
        <v>46</v>
      </c>
      <c r="B63" s="426">
        <v>7000026766</v>
      </c>
      <c r="C63" s="426">
        <v>540</v>
      </c>
      <c r="D63" s="426" t="s">
        <v>576</v>
      </c>
      <c r="E63" s="426">
        <v>1000031957</v>
      </c>
      <c r="F63" s="426">
        <v>85446020</v>
      </c>
      <c r="G63" s="422"/>
      <c r="H63" s="426">
        <v>18</v>
      </c>
      <c r="I63" s="423"/>
      <c r="J63" s="425" t="s">
        <v>522</v>
      </c>
      <c r="K63" s="426" t="s">
        <v>493</v>
      </c>
      <c r="L63" s="426">
        <v>1</v>
      </c>
      <c r="M63" s="565"/>
      <c r="N63" s="428" t="str">
        <f t="shared" si="6"/>
        <v>INCLUDED</v>
      </c>
      <c r="O63" s="645">
        <f t="shared" si="7"/>
        <v>0</v>
      </c>
      <c r="P63" s="645">
        <f t="shared" si="8"/>
        <v>0</v>
      </c>
      <c r="Q63" s="645">
        <f>Discount!$H$36</f>
        <v>0</v>
      </c>
      <c r="R63" s="646">
        <f t="shared" si="9"/>
        <v>0</v>
      </c>
      <c r="S63" s="646">
        <f t="shared" si="10"/>
        <v>0</v>
      </c>
      <c r="T63" s="647">
        <f t="shared" si="1"/>
        <v>0</v>
      </c>
    </row>
    <row r="64" spans="1:20">
      <c r="A64" s="648">
        <v>47</v>
      </c>
      <c r="B64" s="426">
        <v>7000026766</v>
      </c>
      <c r="C64" s="426">
        <v>550</v>
      </c>
      <c r="D64" s="426" t="s">
        <v>576</v>
      </c>
      <c r="E64" s="426">
        <v>1000031943</v>
      </c>
      <c r="F64" s="426">
        <v>85446020</v>
      </c>
      <c r="G64" s="422"/>
      <c r="H64" s="426">
        <v>18</v>
      </c>
      <c r="I64" s="423"/>
      <c r="J64" s="425" t="s">
        <v>526</v>
      </c>
      <c r="K64" s="426" t="s">
        <v>493</v>
      </c>
      <c r="L64" s="426">
        <v>1</v>
      </c>
      <c r="M64" s="565"/>
      <c r="N64" s="428" t="str">
        <f t="shared" si="6"/>
        <v>INCLUDED</v>
      </c>
      <c r="O64" s="645">
        <f t="shared" si="7"/>
        <v>0</v>
      </c>
      <c r="P64" s="645">
        <f t="shared" si="8"/>
        <v>0</v>
      </c>
      <c r="Q64" s="645">
        <f>Discount!$H$36</f>
        <v>0</v>
      </c>
      <c r="R64" s="646">
        <f t="shared" si="9"/>
        <v>0</v>
      </c>
      <c r="S64" s="646">
        <f t="shared" si="10"/>
        <v>0</v>
      </c>
      <c r="T64" s="647">
        <f t="shared" si="1"/>
        <v>0</v>
      </c>
    </row>
    <row r="65" spans="1:20">
      <c r="A65" s="644">
        <v>48</v>
      </c>
      <c r="B65" s="426">
        <v>7000026766</v>
      </c>
      <c r="C65" s="426">
        <v>560</v>
      </c>
      <c r="D65" s="426" t="s">
        <v>576</v>
      </c>
      <c r="E65" s="426">
        <v>1000031985</v>
      </c>
      <c r="F65" s="426">
        <v>85446020</v>
      </c>
      <c r="G65" s="422"/>
      <c r="H65" s="426">
        <v>18</v>
      </c>
      <c r="I65" s="423"/>
      <c r="J65" s="425" t="s">
        <v>525</v>
      </c>
      <c r="K65" s="426" t="s">
        <v>493</v>
      </c>
      <c r="L65" s="426">
        <v>1</v>
      </c>
      <c r="M65" s="565"/>
      <c r="N65" s="428" t="str">
        <f t="shared" si="6"/>
        <v>INCLUDED</v>
      </c>
      <c r="O65" s="645">
        <f t="shared" si="7"/>
        <v>0</v>
      </c>
      <c r="P65" s="645">
        <f t="shared" si="8"/>
        <v>0</v>
      </c>
      <c r="Q65" s="645">
        <f>Discount!$H$36</f>
        <v>0</v>
      </c>
      <c r="R65" s="646">
        <f t="shared" si="9"/>
        <v>0</v>
      </c>
      <c r="S65" s="646">
        <f t="shared" si="10"/>
        <v>0</v>
      </c>
      <c r="T65" s="647">
        <f t="shared" si="1"/>
        <v>0</v>
      </c>
    </row>
    <row r="66" spans="1:20" ht="47.25">
      <c r="A66" s="644">
        <v>49</v>
      </c>
      <c r="B66" s="426">
        <v>7000026766</v>
      </c>
      <c r="C66" s="426">
        <v>570</v>
      </c>
      <c r="D66" s="426" t="s">
        <v>577</v>
      </c>
      <c r="E66" s="426">
        <v>1000015954</v>
      </c>
      <c r="F66" s="426">
        <v>73082011</v>
      </c>
      <c r="G66" s="422"/>
      <c r="H66" s="426">
        <v>18</v>
      </c>
      <c r="I66" s="423"/>
      <c r="J66" s="425" t="s">
        <v>537</v>
      </c>
      <c r="K66" s="426" t="s">
        <v>536</v>
      </c>
      <c r="L66" s="426">
        <v>105</v>
      </c>
      <c r="M66" s="565"/>
      <c r="N66" s="428" t="str">
        <f t="shared" si="6"/>
        <v>INCLUDED</v>
      </c>
      <c r="O66" s="645">
        <f t="shared" si="7"/>
        <v>0</v>
      </c>
      <c r="P66" s="645">
        <f t="shared" si="8"/>
        <v>0</v>
      </c>
      <c r="Q66" s="645">
        <f>Discount!$H$36</f>
        <v>0</v>
      </c>
      <c r="R66" s="646">
        <f t="shared" si="9"/>
        <v>0</v>
      </c>
      <c r="S66" s="646">
        <f t="shared" si="10"/>
        <v>0</v>
      </c>
      <c r="T66" s="647">
        <f t="shared" si="1"/>
        <v>0</v>
      </c>
    </row>
    <row r="67" spans="1:20" ht="31.5">
      <c r="A67" s="648">
        <v>50</v>
      </c>
      <c r="B67" s="426">
        <v>7000026766</v>
      </c>
      <c r="C67" s="426">
        <v>580</v>
      </c>
      <c r="D67" s="426" t="s">
        <v>577</v>
      </c>
      <c r="E67" s="426">
        <v>1000011713</v>
      </c>
      <c r="F67" s="426">
        <v>73082011</v>
      </c>
      <c r="G67" s="422"/>
      <c r="H67" s="426">
        <v>18</v>
      </c>
      <c r="I67" s="423"/>
      <c r="J67" s="425" t="s">
        <v>538</v>
      </c>
      <c r="K67" s="426" t="s">
        <v>536</v>
      </c>
      <c r="L67" s="426">
        <v>9</v>
      </c>
      <c r="M67" s="565"/>
      <c r="N67" s="428" t="str">
        <f t="shared" si="6"/>
        <v>INCLUDED</v>
      </c>
      <c r="O67" s="645">
        <f t="shared" si="7"/>
        <v>0</v>
      </c>
      <c r="P67" s="645">
        <f t="shared" si="8"/>
        <v>0</v>
      </c>
      <c r="Q67" s="645">
        <f>Discount!$H$36</f>
        <v>0</v>
      </c>
      <c r="R67" s="646">
        <f t="shared" si="9"/>
        <v>0</v>
      </c>
      <c r="S67" s="646">
        <f t="shared" si="10"/>
        <v>0</v>
      </c>
      <c r="T67" s="647">
        <f t="shared" si="1"/>
        <v>0</v>
      </c>
    </row>
    <row r="68" spans="1:20" ht="31.5">
      <c r="A68" s="644">
        <v>51</v>
      </c>
      <c r="B68" s="426">
        <v>7000026766</v>
      </c>
      <c r="C68" s="426">
        <v>590</v>
      </c>
      <c r="D68" s="426" t="s">
        <v>577</v>
      </c>
      <c r="E68" s="426">
        <v>1000012373</v>
      </c>
      <c r="F68" s="426">
        <v>73082011</v>
      </c>
      <c r="G68" s="422"/>
      <c r="H68" s="426">
        <v>18</v>
      </c>
      <c r="I68" s="423"/>
      <c r="J68" s="425" t="s">
        <v>539</v>
      </c>
      <c r="K68" s="426" t="s">
        <v>536</v>
      </c>
      <c r="L68" s="426">
        <v>5</v>
      </c>
      <c r="M68" s="565"/>
      <c r="N68" s="428" t="str">
        <f t="shared" si="6"/>
        <v>INCLUDED</v>
      </c>
      <c r="O68" s="645">
        <f t="shared" si="7"/>
        <v>0</v>
      </c>
      <c r="P68" s="645">
        <f t="shared" si="8"/>
        <v>0</v>
      </c>
      <c r="Q68" s="645">
        <f>Discount!$H$36</f>
        <v>0</v>
      </c>
      <c r="R68" s="646">
        <f t="shared" si="9"/>
        <v>0</v>
      </c>
      <c r="S68" s="646">
        <f t="shared" si="10"/>
        <v>0</v>
      </c>
      <c r="T68" s="647">
        <f t="shared" si="1"/>
        <v>0</v>
      </c>
    </row>
    <row r="69" spans="1:20" ht="63">
      <c r="A69" s="644">
        <v>52</v>
      </c>
      <c r="B69" s="426">
        <v>7000026766</v>
      </c>
      <c r="C69" s="426">
        <v>620</v>
      </c>
      <c r="D69" s="426" t="s">
        <v>578</v>
      </c>
      <c r="E69" s="426">
        <v>1000031367</v>
      </c>
      <c r="F69" s="426">
        <v>85176260</v>
      </c>
      <c r="G69" s="422"/>
      <c r="H69" s="426">
        <v>18</v>
      </c>
      <c r="I69" s="423"/>
      <c r="J69" s="425" t="s">
        <v>495</v>
      </c>
      <c r="K69" s="426" t="s">
        <v>470</v>
      </c>
      <c r="L69" s="426">
        <v>1</v>
      </c>
      <c r="M69" s="565"/>
      <c r="N69" s="428" t="str">
        <f t="shared" si="6"/>
        <v>INCLUDED</v>
      </c>
      <c r="O69" s="645">
        <f t="shared" si="7"/>
        <v>0</v>
      </c>
      <c r="P69" s="645">
        <f t="shared" si="8"/>
        <v>0</v>
      </c>
      <c r="Q69" s="645">
        <f>Discount!$H$36</f>
        <v>0</v>
      </c>
      <c r="R69" s="646">
        <f t="shared" si="9"/>
        <v>0</v>
      </c>
      <c r="S69" s="646">
        <f t="shared" si="10"/>
        <v>0</v>
      </c>
      <c r="T69" s="647">
        <f t="shared" si="1"/>
        <v>0</v>
      </c>
    </row>
    <row r="70" spans="1:20" ht="31.5">
      <c r="A70" s="648">
        <v>53</v>
      </c>
      <c r="B70" s="426">
        <v>7000026766</v>
      </c>
      <c r="C70" s="426">
        <v>630</v>
      </c>
      <c r="D70" s="426" t="s">
        <v>578</v>
      </c>
      <c r="E70" s="426">
        <v>1000018706</v>
      </c>
      <c r="F70" s="426">
        <v>85176990</v>
      </c>
      <c r="G70" s="422"/>
      <c r="H70" s="426">
        <v>18</v>
      </c>
      <c r="I70" s="423"/>
      <c r="J70" s="425" t="s">
        <v>501</v>
      </c>
      <c r="K70" s="426" t="s">
        <v>470</v>
      </c>
      <c r="L70" s="426">
        <v>4</v>
      </c>
      <c r="M70" s="565"/>
      <c r="N70" s="428" t="str">
        <f t="shared" si="6"/>
        <v>INCLUDED</v>
      </c>
      <c r="O70" s="645">
        <f t="shared" si="7"/>
        <v>0</v>
      </c>
      <c r="P70" s="645">
        <f t="shared" si="8"/>
        <v>0</v>
      </c>
      <c r="Q70" s="645">
        <f>Discount!$H$36</f>
        <v>0</v>
      </c>
      <c r="R70" s="646">
        <f t="shared" si="9"/>
        <v>0</v>
      </c>
      <c r="S70" s="646">
        <f t="shared" si="10"/>
        <v>0</v>
      </c>
      <c r="T70" s="647">
        <f t="shared" si="1"/>
        <v>0</v>
      </c>
    </row>
    <row r="71" spans="1:20" ht="31.5">
      <c r="A71" s="644">
        <v>54</v>
      </c>
      <c r="B71" s="426">
        <v>7000026766</v>
      </c>
      <c r="C71" s="426">
        <v>640</v>
      </c>
      <c r="D71" s="426" t="s">
        <v>578</v>
      </c>
      <c r="E71" s="426">
        <v>1000031374</v>
      </c>
      <c r="F71" s="426">
        <v>85176290</v>
      </c>
      <c r="G71" s="422"/>
      <c r="H71" s="426">
        <v>18</v>
      </c>
      <c r="I71" s="423"/>
      <c r="J71" s="425" t="s">
        <v>496</v>
      </c>
      <c r="K71" s="426" t="s">
        <v>471</v>
      </c>
      <c r="L71" s="426">
        <v>2</v>
      </c>
      <c r="M71" s="565"/>
      <c r="N71" s="428" t="str">
        <f t="shared" si="6"/>
        <v>INCLUDED</v>
      </c>
      <c r="O71" s="645">
        <f t="shared" si="7"/>
        <v>0</v>
      </c>
      <c r="P71" s="645">
        <f t="shared" si="8"/>
        <v>0</v>
      </c>
      <c r="Q71" s="645">
        <f>Discount!$H$36</f>
        <v>0</v>
      </c>
      <c r="R71" s="646">
        <f t="shared" si="9"/>
        <v>0</v>
      </c>
      <c r="S71" s="646">
        <f t="shared" si="10"/>
        <v>0</v>
      </c>
      <c r="T71" s="647">
        <f t="shared" si="1"/>
        <v>0</v>
      </c>
    </row>
    <row r="72" spans="1:20" ht="31.5">
      <c r="A72" s="644">
        <v>55</v>
      </c>
      <c r="B72" s="426">
        <v>7000026766</v>
      </c>
      <c r="C72" s="426">
        <v>650</v>
      </c>
      <c r="D72" s="426" t="s">
        <v>578</v>
      </c>
      <c r="E72" s="426">
        <v>1000034950</v>
      </c>
      <c r="F72" s="426">
        <v>85176990</v>
      </c>
      <c r="G72" s="422"/>
      <c r="H72" s="426">
        <v>18</v>
      </c>
      <c r="I72" s="423"/>
      <c r="J72" s="425" t="s">
        <v>497</v>
      </c>
      <c r="K72" s="426" t="s">
        <v>470</v>
      </c>
      <c r="L72" s="426">
        <v>2</v>
      </c>
      <c r="M72" s="565"/>
      <c r="N72" s="428" t="str">
        <f t="shared" si="6"/>
        <v>INCLUDED</v>
      </c>
      <c r="O72" s="645">
        <f t="shared" ref="O72:O86" si="11">IF(N72="Included",0,N72)</f>
        <v>0</v>
      </c>
      <c r="P72" s="645">
        <f t="shared" ref="P72:P86" si="12">IF( I72="",H72*(IF(N72="Included",0,N72))/100,I72*(IF(N72="Included",0,N72)))</f>
        <v>0</v>
      </c>
      <c r="Q72" s="645">
        <f>Discount!$H$36</f>
        <v>0</v>
      </c>
      <c r="R72" s="646">
        <f t="shared" ref="R72:R86" si="13">Q72*O72</f>
        <v>0</v>
      </c>
      <c r="S72" s="646">
        <f t="shared" ref="S72:S86" si="14">IF(I72="",H72*R72/100,I72*R72)</f>
        <v>0</v>
      </c>
      <c r="T72" s="647">
        <f t="shared" si="1"/>
        <v>0</v>
      </c>
    </row>
    <row r="73" spans="1:20" ht="31.5">
      <c r="A73" s="648">
        <v>56</v>
      </c>
      <c r="B73" s="426">
        <v>7000026766</v>
      </c>
      <c r="C73" s="426">
        <v>660</v>
      </c>
      <c r="D73" s="426" t="s">
        <v>578</v>
      </c>
      <c r="E73" s="426">
        <v>1000031381</v>
      </c>
      <c r="F73" s="426">
        <v>85176290</v>
      </c>
      <c r="G73" s="422"/>
      <c r="H73" s="426">
        <v>18</v>
      </c>
      <c r="I73" s="423"/>
      <c r="J73" s="425" t="s">
        <v>498</v>
      </c>
      <c r="K73" s="426" t="s">
        <v>471</v>
      </c>
      <c r="L73" s="426">
        <v>1</v>
      </c>
      <c r="M73" s="565"/>
      <c r="N73" s="428" t="str">
        <f t="shared" si="6"/>
        <v>INCLUDED</v>
      </c>
      <c r="O73" s="645">
        <f t="shared" si="11"/>
        <v>0</v>
      </c>
      <c r="P73" s="645">
        <f t="shared" si="12"/>
        <v>0</v>
      </c>
      <c r="Q73" s="645">
        <f>Discount!$H$36</f>
        <v>0</v>
      </c>
      <c r="R73" s="646">
        <f t="shared" si="13"/>
        <v>0</v>
      </c>
      <c r="S73" s="646">
        <f t="shared" si="14"/>
        <v>0</v>
      </c>
      <c r="T73" s="647">
        <f t="shared" si="1"/>
        <v>0</v>
      </c>
    </row>
    <row r="74" spans="1:20" ht="31.5">
      <c r="A74" s="644">
        <v>57</v>
      </c>
      <c r="B74" s="426">
        <v>7000026766</v>
      </c>
      <c r="C74" s="426">
        <v>670</v>
      </c>
      <c r="D74" s="426" t="s">
        <v>578</v>
      </c>
      <c r="E74" s="426">
        <v>1000026228</v>
      </c>
      <c r="F74" s="426">
        <v>85176290</v>
      </c>
      <c r="G74" s="422"/>
      <c r="H74" s="426">
        <v>18</v>
      </c>
      <c r="I74" s="423"/>
      <c r="J74" s="425" t="s">
        <v>499</v>
      </c>
      <c r="K74" s="426" t="s">
        <v>470</v>
      </c>
      <c r="L74" s="426">
        <v>1</v>
      </c>
      <c r="M74" s="565"/>
      <c r="N74" s="428" t="str">
        <f t="shared" si="6"/>
        <v>INCLUDED</v>
      </c>
      <c r="O74" s="645">
        <f t="shared" si="11"/>
        <v>0</v>
      </c>
      <c r="P74" s="645">
        <f t="shared" si="12"/>
        <v>0</v>
      </c>
      <c r="Q74" s="645">
        <f>Discount!$H$36</f>
        <v>0</v>
      </c>
      <c r="R74" s="646">
        <f t="shared" si="13"/>
        <v>0</v>
      </c>
      <c r="S74" s="646">
        <f t="shared" si="14"/>
        <v>0</v>
      </c>
      <c r="T74" s="647">
        <f t="shared" si="1"/>
        <v>0</v>
      </c>
    </row>
    <row r="75" spans="1:20" ht="31.5">
      <c r="A75" s="644">
        <v>58</v>
      </c>
      <c r="B75" s="426">
        <v>7000026766</v>
      </c>
      <c r="C75" s="426">
        <v>680</v>
      </c>
      <c r="D75" s="426" t="s">
        <v>578</v>
      </c>
      <c r="E75" s="426">
        <v>1000037545</v>
      </c>
      <c r="F75" s="426">
        <v>85447090</v>
      </c>
      <c r="G75" s="422"/>
      <c r="H75" s="426">
        <v>18</v>
      </c>
      <c r="I75" s="423"/>
      <c r="J75" s="425" t="s">
        <v>591</v>
      </c>
      <c r="K75" s="426" t="s">
        <v>493</v>
      </c>
      <c r="L75" s="426">
        <v>1</v>
      </c>
      <c r="M75" s="565"/>
      <c r="N75" s="428" t="str">
        <f t="shared" si="6"/>
        <v>INCLUDED</v>
      </c>
      <c r="O75" s="645">
        <f t="shared" si="11"/>
        <v>0</v>
      </c>
      <c r="P75" s="645">
        <f t="shared" si="12"/>
        <v>0</v>
      </c>
      <c r="Q75" s="645">
        <f>Discount!$H$36</f>
        <v>0</v>
      </c>
      <c r="R75" s="646">
        <f t="shared" si="13"/>
        <v>0</v>
      </c>
      <c r="S75" s="646">
        <f t="shared" si="14"/>
        <v>0</v>
      </c>
      <c r="T75" s="647">
        <f t="shared" si="1"/>
        <v>0</v>
      </c>
    </row>
    <row r="76" spans="1:20" ht="31.5">
      <c r="A76" s="648">
        <v>59</v>
      </c>
      <c r="B76" s="426">
        <v>7000026766</v>
      </c>
      <c r="C76" s="426">
        <v>690</v>
      </c>
      <c r="D76" s="426" t="s">
        <v>578</v>
      </c>
      <c r="E76" s="426">
        <v>1000066614</v>
      </c>
      <c r="F76" s="426">
        <v>73069011</v>
      </c>
      <c r="G76" s="422"/>
      <c r="H76" s="426">
        <v>18</v>
      </c>
      <c r="I76" s="423"/>
      <c r="J76" s="425" t="s">
        <v>592</v>
      </c>
      <c r="K76" s="426" t="s">
        <v>493</v>
      </c>
      <c r="L76" s="426">
        <v>1</v>
      </c>
      <c r="M76" s="565"/>
      <c r="N76" s="428" t="str">
        <f t="shared" si="6"/>
        <v>INCLUDED</v>
      </c>
      <c r="O76" s="645">
        <f t="shared" si="11"/>
        <v>0</v>
      </c>
      <c r="P76" s="645">
        <f t="shared" si="12"/>
        <v>0</v>
      </c>
      <c r="Q76" s="645">
        <f>Discount!$H$36</f>
        <v>0</v>
      </c>
      <c r="R76" s="646">
        <f t="shared" si="13"/>
        <v>0</v>
      </c>
      <c r="S76" s="646">
        <f t="shared" si="14"/>
        <v>0</v>
      </c>
      <c r="T76" s="647">
        <f t="shared" si="1"/>
        <v>0</v>
      </c>
    </row>
    <row r="77" spans="1:20" ht="31.5">
      <c r="A77" s="644">
        <v>60</v>
      </c>
      <c r="B77" s="426">
        <v>7000026766</v>
      </c>
      <c r="C77" s="426">
        <v>700</v>
      </c>
      <c r="D77" s="426" t="s">
        <v>578</v>
      </c>
      <c r="E77" s="426">
        <v>1000066612</v>
      </c>
      <c r="F77" s="426">
        <v>73071900</v>
      </c>
      <c r="G77" s="422"/>
      <c r="H77" s="426">
        <v>18</v>
      </c>
      <c r="I77" s="423"/>
      <c r="J77" s="425" t="s">
        <v>593</v>
      </c>
      <c r="K77" s="426" t="s">
        <v>470</v>
      </c>
      <c r="L77" s="426">
        <v>100</v>
      </c>
      <c r="M77" s="565"/>
      <c r="N77" s="428" t="str">
        <f t="shared" si="6"/>
        <v>INCLUDED</v>
      </c>
      <c r="O77" s="645">
        <f t="shared" si="11"/>
        <v>0</v>
      </c>
      <c r="P77" s="645">
        <f t="shared" si="12"/>
        <v>0</v>
      </c>
      <c r="Q77" s="645">
        <f>Discount!$H$36</f>
        <v>0</v>
      </c>
      <c r="R77" s="646">
        <f t="shared" si="13"/>
        <v>0</v>
      </c>
      <c r="S77" s="646">
        <f t="shared" si="14"/>
        <v>0</v>
      </c>
      <c r="T77" s="647">
        <f t="shared" si="1"/>
        <v>0</v>
      </c>
    </row>
    <row r="78" spans="1:20" ht="31.5">
      <c r="A78" s="644">
        <v>61</v>
      </c>
      <c r="B78" s="426">
        <v>7000026766</v>
      </c>
      <c r="C78" s="426">
        <v>710</v>
      </c>
      <c r="D78" s="426" t="s">
        <v>578</v>
      </c>
      <c r="E78" s="426">
        <v>1000066613</v>
      </c>
      <c r="F78" s="426">
        <v>83071000</v>
      </c>
      <c r="G78" s="422"/>
      <c r="H78" s="426">
        <v>18</v>
      </c>
      <c r="I78" s="423"/>
      <c r="J78" s="425" t="s">
        <v>594</v>
      </c>
      <c r="K78" s="426" t="s">
        <v>470</v>
      </c>
      <c r="L78" s="426">
        <v>75</v>
      </c>
      <c r="M78" s="565"/>
      <c r="N78" s="428" t="str">
        <f t="shared" si="6"/>
        <v>INCLUDED</v>
      </c>
      <c r="O78" s="645">
        <f t="shared" si="11"/>
        <v>0</v>
      </c>
      <c r="P78" s="645">
        <f t="shared" si="12"/>
        <v>0</v>
      </c>
      <c r="Q78" s="645">
        <f>Discount!$H$36</f>
        <v>0</v>
      </c>
      <c r="R78" s="646">
        <f t="shared" si="13"/>
        <v>0</v>
      </c>
      <c r="S78" s="646">
        <f t="shared" si="14"/>
        <v>0</v>
      </c>
      <c r="T78" s="647">
        <f t="shared" si="1"/>
        <v>0</v>
      </c>
    </row>
    <row r="79" spans="1:20" ht="31.5">
      <c r="A79" s="648">
        <v>62</v>
      </c>
      <c r="B79" s="426">
        <v>7000026766</v>
      </c>
      <c r="C79" s="426">
        <v>720</v>
      </c>
      <c r="D79" s="426" t="s">
        <v>578</v>
      </c>
      <c r="E79" s="426">
        <v>1000023471</v>
      </c>
      <c r="F79" s="426">
        <v>85372000</v>
      </c>
      <c r="G79" s="422"/>
      <c r="H79" s="426">
        <v>18</v>
      </c>
      <c r="I79" s="423"/>
      <c r="J79" s="425" t="s">
        <v>500</v>
      </c>
      <c r="K79" s="426" t="s">
        <v>470</v>
      </c>
      <c r="L79" s="426">
        <v>1</v>
      </c>
      <c r="M79" s="565"/>
      <c r="N79" s="428" t="str">
        <f t="shared" si="6"/>
        <v>INCLUDED</v>
      </c>
      <c r="O79" s="645">
        <f t="shared" si="11"/>
        <v>0</v>
      </c>
      <c r="P79" s="645">
        <f t="shared" si="12"/>
        <v>0</v>
      </c>
      <c r="Q79" s="645">
        <f>Discount!$H$36</f>
        <v>0</v>
      </c>
      <c r="R79" s="646">
        <f t="shared" si="13"/>
        <v>0</v>
      </c>
      <c r="S79" s="646">
        <f t="shared" si="14"/>
        <v>0</v>
      </c>
      <c r="T79" s="647">
        <f t="shared" si="1"/>
        <v>0</v>
      </c>
    </row>
    <row r="80" spans="1:20" ht="31.5">
      <c r="A80" s="644">
        <v>63</v>
      </c>
      <c r="B80" s="426">
        <v>7000026766</v>
      </c>
      <c r="C80" s="426">
        <v>740</v>
      </c>
      <c r="D80" s="426" t="s">
        <v>579</v>
      </c>
      <c r="E80" s="426">
        <v>1000017518</v>
      </c>
      <c r="F80" s="426">
        <v>85364900</v>
      </c>
      <c r="G80" s="422"/>
      <c r="H80" s="426">
        <v>18</v>
      </c>
      <c r="I80" s="423"/>
      <c r="J80" s="425" t="s">
        <v>512</v>
      </c>
      <c r="K80" s="426" t="s">
        <v>470</v>
      </c>
      <c r="L80" s="426">
        <v>1</v>
      </c>
      <c r="M80" s="565"/>
      <c r="N80" s="428" t="str">
        <f t="shared" si="6"/>
        <v>INCLUDED</v>
      </c>
      <c r="O80" s="645">
        <f t="shared" si="11"/>
        <v>0</v>
      </c>
      <c r="P80" s="645">
        <f t="shared" si="12"/>
        <v>0</v>
      </c>
      <c r="Q80" s="645">
        <f>Discount!$H$36</f>
        <v>0</v>
      </c>
      <c r="R80" s="646">
        <f t="shared" si="13"/>
        <v>0</v>
      </c>
      <c r="S80" s="646">
        <f t="shared" si="14"/>
        <v>0</v>
      </c>
      <c r="T80" s="647">
        <f t="shared" si="1"/>
        <v>0</v>
      </c>
    </row>
    <row r="81" spans="1:20" ht="31.5">
      <c r="A81" s="644">
        <v>64</v>
      </c>
      <c r="B81" s="426">
        <v>7000026766</v>
      </c>
      <c r="C81" s="426">
        <v>750</v>
      </c>
      <c r="D81" s="426" t="s">
        <v>579</v>
      </c>
      <c r="E81" s="426">
        <v>1000022512</v>
      </c>
      <c r="F81" s="426">
        <v>90311000</v>
      </c>
      <c r="G81" s="422"/>
      <c r="H81" s="426">
        <v>18</v>
      </c>
      <c r="I81" s="423"/>
      <c r="J81" s="425" t="s">
        <v>513</v>
      </c>
      <c r="K81" s="426" t="s">
        <v>470</v>
      </c>
      <c r="L81" s="426">
        <v>1</v>
      </c>
      <c r="M81" s="565"/>
      <c r="N81" s="428" t="str">
        <f t="shared" si="6"/>
        <v>INCLUDED</v>
      </c>
      <c r="O81" s="645">
        <f t="shared" si="11"/>
        <v>0</v>
      </c>
      <c r="P81" s="645">
        <f t="shared" si="12"/>
        <v>0</v>
      </c>
      <c r="Q81" s="645">
        <f>Discount!$H$36</f>
        <v>0</v>
      </c>
      <c r="R81" s="646">
        <f t="shared" si="13"/>
        <v>0</v>
      </c>
      <c r="S81" s="646">
        <f t="shared" si="14"/>
        <v>0</v>
      </c>
      <c r="T81" s="647">
        <f t="shared" si="1"/>
        <v>0</v>
      </c>
    </row>
    <row r="82" spans="1:20" ht="31.5">
      <c r="A82" s="648">
        <v>65</v>
      </c>
      <c r="B82" s="426">
        <v>7000026766</v>
      </c>
      <c r="C82" s="426">
        <v>760</v>
      </c>
      <c r="D82" s="426" t="s">
        <v>579</v>
      </c>
      <c r="E82" s="426">
        <v>1000071061</v>
      </c>
      <c r="F82" s="426">
        <v>85176290</v>
      </c>
      <c r="G82" s="422"/>
      <c r="H82" s="426">
        <v>18</v>
      </c>
      <c r="I82" s="423"/>
      <c r="J82" s="425" t="s">
        <v>595</v>
      </c>
      <c r="K82" s="426" t="s">
        <v>470</v>
      </c>
      <c r="L82" s="426">
        <v>1</v>
      </c>
      <c r="M82" s="565"/>
      <c r="N82" s="428" t="str">
        <f t="shared" si="6"/>
        <v>INCLUDED</v>
      </c>
      <c r="O82" s="645">
        <f t="shared" si="11"/>
        <v>0</v>
      </c>
      <c r="P82" s="645">
        <f t="shared" si="12"/>
        <v>0</v>
      </c>
      <c r="Q82" s="645">
        <f>Discount!$H$36</f>
        <v>0</v>
      </c>
      <c r="R82" s="646">
        <f t="shared" si="13"/>
        <v>0</v>
      </c>
      <c r="S82" s="646">
        <f t="shared" si="14"/>
        <v>0</v>
      </c>
      <c r="T82" s="647">
        <f t="shared" ref="T82:T91" si="15">M82*L82</f>
        <v>0</v>
      </c>
    </row>
    <row r="83" spans="1:20" ht="31.5">
      <c r="A83" s="644">
        <v>66</v>
      </c>
      <c r="B83" s="426">
        <v>7000026766</v>
      </c>
      <c r="C83" s="426">
        <v>770</v>
      </c>
      <c r="D83" s="426" t="s">
        <v>579</v>
      </c>
      <c r="E83" s="426">
        <v>1000071062</v>
      </c>
      <c r="F83" s="426">
        <v>85176290</v>
      </c>
      <c r="G83" s="422"/>
      <c r="H83" s="426">
        <v>18</v>
      </c>
      <c r="I83" s="423"/>
      <c r="J83" s="425" t="s">
        <v>596</v>
      </c>
      <c r="K83" s="426" t="s">
        <v>470</v>
      </c>
      <c r="L83" s="426">
        <v>1</v>
      </c>
      <c r="M83" s="565"/>
      <c r="N83" s="428" t="str">
        <f t="shared" si="6"/>
        <v>INCLUDED</v>
      </c>
      <c r="O83" s="645">
        <f t="shared" si="11"/>
        <v>0</v>
      </c>
      <c r="P83" s="645">
        <f t="shared" si="12"/>
        <v>0</v>
      </c>
      <c r="Q83" s="645">
        <f>Discount!$H$36</f>
        <v>0</v>
      </c>
      <c r="R83" s="646">
        <f t="shared" si="13"/>
        <v>0</v>
      </c>
      <c r="S83" s="646">
        <f t="shared" si="14"/>
        <v>0</v>
      </c>
      <c r="T83" s="647">
        <f t="shared" si="15"/>
        <v>0</v>
      </c>
    </row>
    <row r="84" spans="1:20" ht="31.5">
      <c r="A84" s="644">
        <v>67</v>
      </c>
      <c r="B84" s="426">
        <v>7000026766</v>
      </c>
      <c r="C84" s="426">
        <v>780</v>
      </c>
      <c r="D84" s="426" t="s">
        <v>579</v>
      </c>
      <c r="E84" s="426">
        <v>1000022487</v>
      </c>
      <c r="F84" s="426">
        <v>85447090</v>
      </c>
      <c r="G84" s="422"/>
      <c r="H84" s="426">
        <v>18</v>
      </c>
      <c r="I84" s="423"/>
      <c r="J84" s="425" t="s">
        <v>514</v>
      </c>
      <c r="K84" s="426" t="s">
        <v>470</v>
      </c>
      <c r="L84" s="426">
        <v>1</v>
      </c>
      <c r="M84" s="565"/>
      <c r="N84" s="428" t="str">
        <f t="shared" si="6"/>
        <v>INCLUDED</v>
      </c>
      <c r="O84" s="645">
        <f t="shared" si="11"/>
        <v>0</v>
      </c>
      <c r="P84" s="645">
        <f t="shared" si="12"/>
        <v>0</v>
      </c>
      <c r="Q84" s="645">
        <f>Discount!$H$36</f>
        <v>0</v>
      </c>
      <c r="R84" s="646">
        <f t="shared" si="13"/>
        <v>0</v>
      </c>
      <c r="S84" s="646">
        <f t="shared" si="14"/>
        <v>0</v>
      </c>
      <c r="T84" s="647">
        <f t="shared" si="15"/>
        <v>0</v>
      </c>
    </row>
    <row r="85" spans="1:20" ht="31.5">
      <c r="A85" s="648">
        <v>68</v>
      </c>
      <c r="B85" s="426">
        <v>7000026766</v>
      </c>
      <c r="C85" s="426">
        <v>790</v>
      </c>
      <c r="D85" s="426" t="s">
        <v>579</v>
      </c>
      <c r="E85" s="426">
        <v>1000030641</v>
      </c>
      <c r="F85" s="426">
        <v>85389000</v>
      </c>
      <c r="G85" s="422"/>
      <c r="H85" s="426">
        <v>18</v>
      </c>
      <c r="I85" s="423"/>
      <c r="J85" s="425" t="s">
        <v>597</v>
      </c>
      <c r="K85" s="426" t="s">
        <v>470</v>
      </c>
      <c r="L85" s="426">
        <v>2</v>
      </c>
      <c r="M85" s="565"/>
      <c r="N85" s="428" t="str">
        <f t="shared" si="6"/>
        <v>INCLUDED</v>
      </c>
      <c r="O85" s="645">
        <f t="shared" si="11"/>
        <v>0</v>
      </c>
      <c r="P85" s="645">
        <f t="shared" si="12"/>
        <v>0</v>
      </c>
      <c r="Q85" s="645">
        <f>Discount!$H$36</f>
        <v>0</v>
      </c>
      <c r="R85" s="646">
        <f t="shared" si="13"/>
        <v>0</v>
      </c>
      <c r="S85" s="646">
        <f t="shared" si="14"/>
        <v>0</v>
      </c>
      <c r="T85" s="647">
        <f t="shared" si="15"/>
        <v>0</v>
      </c>
    </row>
    <row r="86" spans="1:20" ht="31.5">
      <c r="A86" s="644">
        <v>69</v>
      </c>
      <c r="B86" s="426">
        <v>7000026766</v>
      </c>
      <c r="C86" s="426">
        <v>810</v>
      </c>
      <c r="D86" s="426" t="s">
        <v>580</v>
      </c>
      <c r="E86" s="426">
        <v>1000019912</v>
      </c>
      <c r="F86" s="426">
        <v>85371000</v>
      </c>
      <c r="G86" s="422"/>
      <c r="H86" s="426">
        <v>18</v>
      </c>
      <c r="I86" s="423"/>
      <c r="J86" s="425" t="s">
        <v>532</v>
      </c>
      <c r="K86" s="426" t="s">
        <v>506</v>
      </c>
      <c r="L86" s="426">
        <v>1</v>
      </c>
      <c r="M86" s="565"/>
      <c r="N86" s="428" t="str">
        <f t="shared" si="6"/>
        <v>INCLUDED</v>
      </c>
      <c r="O86" s="645">
        <f t="shared" si="11"/>
        <v>0</v>
      </c>
      <c r="P86" s="645">
        <f t="shared" si="12"/>
        <v>0</v>
      </c>
      <c r="Q86" s="645">
        <f>Discount!$H$36</f>
        <v>0</v>
      </c>
      <c r="R86" s="646">
        <f t="shared" si="13"/>
        <v>0</v>
      </c>
      <c r="S86" s="646">
        <f t="shared" si="14"/>
        <v>0</v>
      </c>
      <c r="T86" s="647">
        <f t="shared" si="15"/>
        <v>0</v>
      </c>
    </row>
    <row r="87" spans="1:20" ht="31.5">
      <c r="A87" s="644">
        <v>70</v>
      </c>
      <c r="B87" s="426">
        <v>7000026766</v>
      </c>
      <c r="C87" s="426">
        <v>820</v>
      </c>
      <c r="D87" s="426" t="s">
        <v>580</v>
      </c>
      <c r="E87" s="426">
        <v>1000019927</v>
      </c>
      <c r="F87" s="426">
        <v>85389000</v>
      </c>
      <c r="G87" s="422"/>
      <c r="H87" s="426">
        <v>18</v>
      </c>
      <c r="I87" s="423"/>
      <c r="J87" s="425" t="s">
        <v>533</v>
      </c>
      <c r="K87" s="426" t="s">
        <v>506</v>
      </c>
      <c r="L87" s="426">
        <v>1</v>
      </c>
      <c r="M87" s="565"/>
      <c r="N87" s="428" t="str">
        <f t="shared" si="6"/>
        <v>INCLUDED</v>
      </c>
      <c r="O87" s="645">
        <f t="shared" ref="O87:O91" si="16">IF(N87="Included",0,N87)</f>
        <v>0</v>
      </c>
      <c r="P87" s="645">
        <f t="shared" ref="P87:P91" si="17">IF( I87="",H87*(IF(N87="Included",0,N87))/100,I87*(IF(N87="Included",0,N87)))</f>
        <v>0</v>
      </c>
      <c r="Q87" s="645">
        <f>Discount!$H$36</f>
        <v>0</v>
      </c>
      <c r="R87" s="646">
        <f t="shared" ref="R87:R91" si="18">Q87*O87</f>
        <v>0</v>
      </c>
      <c r="S87" s="646">
        <f t="shared" ref="S87:S91" si="19">IF(I87="",H87*R87/100,I87*R87)</f>
        <v>0</v>
      </c>
      <c r="T87" s="647">
        <f t="shared" si="15"/>
        <v>0</v>
      </c>
    </row>
    <row r="88" spans="1:20">
      <c r="A88" s="648">
        <v>71</v>
      </c>
      <c r="B88" s="426">
        <v>7000026766</v>
      </c>
      <c r="C88" s="426">
        <v>840</v>
      </c>
      <c r="D88" s="426" t="s">
        <v>581</v>
      </c>
      <c r="E88" s="426">
        <v>1000025943</v>
      </c>
      <c r="F88" s="426">
        <v>85359090</v>
      </c>
      <c r="G88" s="422"/>
      <c r="H88" s="426">
        <v>18</v>
      </c>
      <c r="I88" s="423"/>
      <c r="J88" s="425" t="s">
        <v>530</v>
      </c>
      <c r="K88" s="426" t="s">
        <v>471</v>
      </c>
      <c r="L88" s="426">
        <v>1</v>
      </c>
      <c r="M88" s="565"/>
      <c r="N88" s="428" t="str">
        <f t="shared" si="6"/>
        <v>INCLUDED</v>
      </c>
      <c r="O88" s="645">
        <f t="shared" si="16"/>
        <v>0</v>
      </c>
      <c r="P88" s="645">
        <f t="shared" si="17"/>
        <v>0</v>
      </c>
      <c r="Q88" s="645">
        <f>Discount!$H$36</f>
        <v>0</v>
      </c>
      <c r="R88" s="646">
        <f t="shared" si="18"/>
        <v>0</v>
      </c>
      <c r="S88" s="646">
        <f t="shared" si="19"/>
        <v>0</v>
      </c>
      <c r="T88" s="647">
        <f t="shared" si="15"/>
        <v>0</v>
      </c>
    </row>
    <row r="89" spans="1:20" ht="31.5">
      <c r="A89" s="644">
        <v>72</v>
      </c>
      <c r="B89" s="426">
        <v>7000026766</v>
      </c>
      <c r="C89" s="426">
        <v>850</v>
      </c>
      <c r="D89" s="426" t="s">
        <v>582</v>
      </c>
      <c r="E89" s="426">
        <v>1000019213</v>
      </c>
      <c r="F89" s="426">
        <v>85176210</v>
      </c>
      <c r="G89" s="422"/>
      <c r="H89" s="426">
        <v>18</v>
      </c>
      <c r="I89" s="423"/>
      <c r="J89" s="425" t="s">
        <v>598</v>
      </c>
      <c r="K89" s="426" t="s">
        <v>506</v>
      </c>
      <c r="L89" s="426">
        <v>1</v>
      </c>
      <c r="M89" s="565"/>
      <c r="N89" s="428" t="str">
        <f t="shared" si="6"/>
        <v>INCLUDED</v>
      </c>
      <c r="O89" s="645">
        <f t="shared" si="16"/>
        <v>0</v>
      </c>
      <c r="P89" s="645">
        <f t="shared" si="17"/>
        <v>0</v>
      </c>
      <c r="Q89" s="645">
        <f>Discount!$H$36</f>
        <v>0</v>
      </c>
      <c r="R89" s="646">
        <f t="shared" si="18"/>
        <v>0</v>
      </c>
      <c r="S89" s="646">
        <f t="shared" si="19"/>
        <v>0</v>
      </c>
      <c r="T89" s="647">
        <f t="shared" si="15"/>
        <v>0</v>
      </c>
    </row>
    <row r="90" spans="1:20" s="638" customFormat="1" ht="33.75" customHeight="1">
      <c r="A90" s="639" t="s">
        <v>63</v>
      </c>
      <c r="B90" s="640" t="s">
        <v>558</v>
      </c>
      <c r="C90" s="641"/>
      <c r="D90" s="642"/>
      <c r="E90" s="643"/>
      <c r="F90" s="643"/>
      <c r="G90" s="643"/>
      <c r="H90" s="643"/>
      <c r="I90" s="643"/>
      <c r="J90" s="643"/>
      <c r="K90" s="643"/>
      <c r="L90" s="643"/>
      <c r="M90" s="643"/>
      <c r="N90" s="643"/>
    </row>
    <row r="91" spans="1:20">
      <c r="A91" s="644">
        <v>1</v>
      </c>
      <c r="B91" s="426">
        <v>7000026861</v>
      </c>
      <c r="C91" s="426">
        <v>10</v>
      </c>
      <c r="D91" s="426" t="s">
        <v>599</v>
      </c>
      <c r="E91" s="426">
        <v>1000005826</v>
      </c>
      <c r="F91" s="426">
        <v>85352919</v>
      </c>
      <c r="G91" s="422"/>
      <c r="H91" s="426">
        <v>18</v>
      </c>
      <c r="I91" s="423"/>
      <c r="J91" s="425" t="s">
        <v>616</v>
      </c>
      <c r="K91" s="426" t="s">
        <v>470</v>
      </c>
      <c r="L91" s="426">
        <v>1</v>
      </c>
      <c r="M91" s="565"/>
      <c r="N91" s="428" t="str">
        <f t="shared" si="6"/>
        <v>INCLUDED</v>
      </c>
      <c r="O91" s="645">
        <f t="shared" si="16"/>
        <v>0</v>
      </c>
      <c r="P91" s="645">
        <f t="shared" si="17"/>
        <v>0</v>
      </c>
      <c r="Q91" s="645">
        <f>Discount!$H$36</f>
        <v>0</v>
      </c>
      <c r="R91" s="646">
        <f t="shared" si="18"/>
        <v>0</v>
      </c>
      <c r="S91" s="646">
        <f t="shared" si="19"/>
        <v>0</v>
      </c>
      <c r="T91" s="647">
        <f t="shared" si="15"/>
        <v>0</v>
      </c>
    </row>
    <row r="92" spans="1:20">
      <c r="A92" s="648">
        <v>2</v>
      </c>
      <c r="B92" s="426">
        <v>7000026861</v>
      </c>
      <c r="C92" s="426">
        <v>20</v>
      </c>
      <c r="D92" s="426" t="s">
        <v>599</v>
      </c>
      <c r="E92" s="426">
        <v>1000005853</v>
      </c>
      <c r="F92" s="426">
        <v>85353090</v>
      </c>
      <c r="G92" s="422"/>
      <c r="H92" s="426">
        <v>18</v>
      </c>
      <c r="I92" s="423"/>
      <c r="J92" s="425" t="s">
        <v>617</v>
      </c>
      <c r="K92" s="426" t="s">
        <v>470</v>
      </c>
      <c r="L92" s="426">
        <v>1</v>
      </c>
      <c r="M92" s="565"/>
      <c r="N92" s="428" t="str">
        <f t="shared" si="6"/>
        <v>INCLUDED</v>
      </c>
      <c r="O92" s="645">
        <f t="shared" ref="O92:O108" si="20">IF(N92="Included",0,N92)</f>
        <v>0</v>
      </c>
      <c r="P92" s="645">
        <f t="shared" ref="P92:P108" si="21">IF( I92="",H92*(IF(N92="Included",0,N92))/100,I92*(IF(N92="Included",0,N92)))</f>
        <v>0</v>
      </c>
      <c r="Q92" s="645">
        <f>Discount!$H$36</f>
        <v>0</v>
      </c>
      <c r="R92" s="646">
        <f t="shared" ref="R92:R108" si="22">Q92*O92</f>
        <v>0</v>
      </c>
      <c r="S92" s="646">
        <f t="shared" ref="S92:S108" si="23">IF(I92="",H92*R92/100,I92*R92)</f>
        <v>0</v>
      </c>
      <c r="T92" s="647">
        <f t="shared" ref="T92:T108" si="24">M92*L92</f>
        <v>0</v>
      </c>
    </row>
    <row r="93" spans="1:20">
      <c r="A93" s="644">
        <v>3</v>
      </c>
      <c r="B93" s="426">
        <v>7000026861</v>
      </c>
      <c r="C93" s="426">
        <v>30</v>
      </c>
      <c r="D93" s="426" t="s">
        <v>599</v>
      </c>
      <c r="E93" s="426">
        <v>1000005820</v>
      </c>
      <c r="F93" s="426">
        <v>85353090</v>
      </c>
      <c r="G93" s="422"/>
      <c r="H93" s="426">
        <v>18</v>
      </c>
      <c r="I93" s="423"/>
      <c r="J93" s="425" t="s">
        <v>618</v>
      </c>
      <c r="K93" s="426" t="s">
        <v>470</v>
      </c>
      <c r="L93" s="426">
        <v>3</v>
      </c>
      <c r="M93" s="565"/>
      <c r="N93" s="428" t="str">
        <f t="shared" si="6"/>
        <v>INCLUDED</v>
      </c>
      <c r="O93" s="645">
        <f t="shared" si="20"/>
        <v>0</v>
      </c>
      <c r="P93" s="645">
        <f t="shared" si="21"/>
        <v>0</v>
      </c>
      <c r="Q93" s="645">
        <f>Discount!$H$36</f>
        <v>0</v>
      </c>
      <c r="R93" s="646">
        <f t="shared" si="22"/>
        <v>0</v>
      </c>
      <c r="S93" s="646">
        <f t="shared" si="23"/>
        <v>0</v>
      </c>
      <c r="T93" s="647">
        <f t="shared" si="24"/>
        <v>0</v>
      </c>
    </row>
    <row r="94" spans="1:20">
      <c r="A94" s="644">
        <v>4</v>
      </c>
      <c r="B94" s="426">
        <v>7000026861</v>
      </c>
      <c r="C94" s="426">
        <v>40</v>
      </c>
      <c r="D94" s="426" t="s">
        <v>599</v>
      </c>
      <c r="E94" s="426">
        <v>1000005819</v>
      </c>
      <c r="F94" s="426">
        <v>85353090</v>
      </c>
      <c r="G94" s="422"/>
      <c r="H94" s="426">
        <v>18</v>
      </c>
      <c r="I94" s="423"/>
      <c r="J94" s="425" t="s">
        <v>619</v>
      </c>
      <c r="K94" s="426" t="s">
        <v>470</v>
      </c>
      <c r="L94" s="426">
        <v>6</v>
      </c>
      <c r="M94" s="565"/>
      <c r="N94" s="428" t="str">
        <f t="shared" si="6"/>
        <v>INCLUDED</v>
      </c>
      <c r="O94" s="645">
        <f t="shared" si="20"/>
        <v>0</v>
      </c>
      <c r="P94" s="645">
        <f t="shared" si="21"/>
        <v>0</v>
      </c>
      <c r="Q94" s="645">
        <f>Discount!$H$36</f>
        <v>0</v>
      </c>
      <c r="R94" s="646">
        <f t="shared" si="22"/>
        <v>0</v>
      </c>
      <c r="S94" s="646">
        <f t="shared" si="23"/>
        <v>0</v>
      </c>
      <c r="T94" s="647">
        <f t="shared" si="24"/>
        <v>0</v>
      </c>
    </row>
    <row r="95" spans="1:20">
      <c r="A95" s="648">
        <v>5</v>
      </c>
      <c r="B95" s="426">
        <v>7000026861</v>
      </c>
      <c r="C95" s="426">
        <v>50</v>
      </c>
      <c r="D95" s="426" t="s">
        <v>599</v>
      </c>
      <c r="E95" s="426">
        <v>1000005848</v>
      </c>
      <c r="F95" s="426">
        <v>85359090</v>
      </c>
      <c r="G95" s="422"/>
      <c r="H95" s="426">
        <v>18</v>
      </c>
      <c r="I95" s="423"/>
      <c r="J95" s="425" t="s">
        <v>620</v>
      </c>
      <c r="K95" s="426" t="s">
        <v>470</v>
      </c>
      <c r="L95" s="426">
        <v>3</v>
      </c>
      <c r="M95" s="565"/>
      <c r="N95" s="428" t="str">
        <f t="shared" si="6"/>
        <v>INCLUDED</v>
      </c>
      <c r="O95" s="645">
        <f t="shared" si="20"/>
        <v>0</v>
      </c>
      <c r="P95" s="645">
        <f t="shared" si="21"/>
        <v>0</v>
      </c>
      <c r="Q95" s="645">
        <f>Discount!$H$36</f>
        <v>0</v>
      </c>
      <c r="R95" s="646">
        <f t="shared" si="22"/>
        <v>0</v>
      </c>
      <c r="S95" s="646">
        <f t="shared" si="23"/>
        <v>0</v>
      </c>
      <c r="T95" s="647">
        <f t="shared" si="24"/>
        <v>0</v>
      </c>
    </row>
    <row r="96" spans="1:20">
      <c r="A96" s="644">
        <v>6</v>
      </c>
      <c r="B96" s="426">
        <v>7000026861</v>
      </c>
      <c r="C96" s="426">
        <v>60</v>
      </c>
      <c r="D96" s="426" t="s">
        <v>599</v>
      </c>
      <c r="E96" s="426">
        <v>1000020421</v>
      </c>
      <c r="F96" s="426">
        <v>85354010</v>
      </c>
      <c r="G96" s="422"/>
      <c r="H96" s="426">
        <v>18</v>
      </c>
      <c r="I96" s="423"/>
      <c r="J96" s="425" t="s">
        <v>621</v>
      </c>
      <c r="K96" s="426" t="s">
        <v>470</v>
      </c>
      <c r="L96" s="426">
        <v>3</v>
      </c>
      <c r="M96" s="565"/>
      <c r="N96" s="428" t="str">
        <f t="shared" si="6"/>
        <v>INCLUDED</v>
      </c>
      <c r="O96" s="645">
        <f t="shared" si="20"/>
        <v>0</v>
      </c>
      <c r="P96" s="645">
        <f t="shared" si="21"/>
        <v>0</v>
      </c>
      <c r="Q96" s="645">
        <f>Discount!$H$36</f>
        <v>0</v>
      </c>
      <c r="R96" s="646">
        <f t="shared" si="22"/>
        <v>0</v>
      </c>
      <c r="S96" s="646">
        <f t="shared" si="23"/>
        <v>0</v>
      </c>
      <c r="T96" s="647">
        <f t="shared" si="24"/>
        <v>0</v>
      </c>
    </row>
    <row r="97" spans="1:20">
      <c r="A97" s="644">
        <v>7</v>
      </c>
      <c r="B97" s="426">
        <v>7000026861</v>
      </c>
      <c r="C97" s="426">
        <v>70</v>
      </c>
      <c r="D97" s="426" t="s">
        <v>599</v>
      </c>
      <c r="E97" s="426">
        <v>1000005791</v>
      </c>
      <c r="F97" s="426">
        <v>85462040</v>
      </c>
      <c r="G97" s="422"/>
      <c r="H97" s="426">
        <v>18</v>
      </c>
      <c r="I97" s="423"/>
      <c r="J97" s="425" t="s">
        <v>622</v>
      </c>
      <c r="K97" s="426" t="s">
        <v>470</v>
      </c>
      <c r="L97" s="426">
        <v>6</v>
      </c>
      <c r="M97" s="565"/>
      <c r="N97" s="428" t="str">
        <f t="shared" si="6"/>
        <v>INCLUDED</v>
      </c>
      <c r="O97" s="645">
        <f t="shared" si="20"/>
        <v>0</v>
      </c>
      <c r="P97" s="645">
        <f t="shared" si="21"/>
        <v>0</v>
      </c>
      <c r="Q97" s="645">
        <f>Discount!$H$36</f>
        <v>0</v>
      </c>
      <c r="R97" s="646">
        <f t="shared" si="22"/>
        <v>0</v>
      </c>
      <c r="S97" s="646">
        <f t="shared" si="23"/>
        <v>0</v>
      </c>
      <c r="T97" s="647">
        <f t="shared" si="24"/>
        <v>0</v>
      </c>
    </row>
    <row r="98" spans="1:20">
      <c r="A98" s="648">
        <v>8</v>
      </c>
      <c r="B98" s="426">
        <v>7000026861</v>
      </c>
      <c r="C98" s="426">
        <v>80</v>
      </c>
      <c r="D98" s="426" t="s">
        <v>599</v>
      </c>
      <c r="E98" s="426">
        <v>1000009714</v>
      </c>
      <c r="F98" s="426">
        <v>85364900</v>
      </c>
      <c r="G98" s="422"/>
      <c r="H98" s="426">
        <v>18</v>
      </c>
      <c r="I98" s="423"/>
      <c r="J98" s="425" t="s">
        <v>623</v>
      </c>
      <c r="K98" s="426" t="s">
        <v>470</v>
      </c>
      <c r="L98" s="426">
        <v>2</v>
      </c>
      <c r="M98" s="565"/>
      <c r="N98" s="428" t="str">
        <f t="shared" si="6"/>
        <v>INCLUDED</v>
      </c>
      <c r="O98" s="645">
        <f t="shared" si="20"/>
        <v>0</v>
      </c>
      <c r="P98" s="645">
        <f t="shared" si="21"/>
        <v>0</v>
      </c>
      <c r="Q98" s="645">
        <f>Discount!$H$36</f>
        <v>0</v>
      </c>
      <c r="R98" s="646">
        <f t="shared" si="22"/>
        <v>0</v>
      </c>
      <c r="S98" s="646">
        <f t="shared" si="23"/>
        <v>0</v>
      </c>
      <c r="T98" s="647">
        <f t="shared" si="24"/>
        <v>0</v>
      </c>
    </row>
    <row r="99" spans="1:20" ht="31.5">
      <c r="A99" s="644">
        <v>9</v>
      </c>
      <c r="B99" s="426">
        <v>7000026861</v>
      </c>
      <c r="C99" s="426">
        <v>90</v>
      </c>
      <c r="D99" s="426" t="s">
        <v>600</v>
      </c>
      <c r="E99" s="426">
        <v>1000004501</v>
      </c>
      <c r="F99" s="426">
        <v>85352913</v>
      </c>
      <c r="G99" s="422"/>
      <c r="H99" s="426">
        <v>18</v>
      </c>
      <c r="I99" s="423"/>
      <c r="J99" s="425" t="s">
        <v>472</v>
      </c>
      <c r="K99" s="426" t="s">
        <v>470</v>
      </c>
      <c r="L99" s="426">
        <v>1</v>
      </c>
      <c r="M99" s="565"/>
      <c r="N99" s="428" t="str">
        <f t="shared" si="6"/>
        <v>INCLUDED</v>
      </c>
      <c r="O99" s="645">
        <f t="shared" si="20"/>
        <v>0</v>
      </c>
      <c r="P99" s="645">
        <f t="shared" si="21"/>
        <v>0</v>
      </c>
      <c r="Q99" s="645">
        <f>Discount!$H$36</f>
        <v>0</v>
      </c>
      <c r="R99" s="646">
        <f t="shared" si="22"/>
        <v>0</v>
      </c>
      <c r="S99" s="646">
        <f t="shared" si="23"/>
        <v>0</v>
      </c>
      <c r="T99" s="647">
        <f t="shared" si="24"/>
        <v>0</v>
      </c>
    </row>
    <row r="100" spans="1:20" ht="31.5">
      <c r="A100" s="644">
        <v>10</v>
      </c>
      <c r="B100" s="426">
        <v>7000026861</v>
      </c>
      <c r="C100" s="426">
        <v>100</v>
      </c>
      <c r="D100" s="426" t="s">
        <v>600</v>
      </c>
      <c r="E100" s="426">
        <v>1000004498</v>
      </c>
      <c r="F100" s="426">
        <v>85353090</v>
      </c>
      <c r="G100" s="422"/>
      <c r="H100" s="426">
        <v>18</v>
      </c>
      <c r="I100" s="423"/>
      <c r="J100" s="425" t="s">
        <v>475</v>
      </c>
      <c r="K100" s="426" t="s">
        <v>470</v>
      </c>
      <c r="L100" s="426">
        <v>1</v>
      </c>
      <c r="M100" s="565"/>
      <c r="N100" s="428" t="str">
        <f t="shared" si="6"/>
        <v>INCLUDED</v>
      </c>
      <c r="O100" s="645">
        <f t="shared" si="20"/>
        <v>0</v>
      </c>
      <c r="P100" s="645">
        <f t="shared" si="21"/>
        <v>0</v>
      </c>
      <c r="Q100" s="645">
        <f>Discount!$H$36</f>
        <v>0</v>
      </c>
      <c r="R100" s="646">
        <f t="shared" si="22"/>
        <v>0</v>
      </c>
      <c r="S100" s="646">
        <f t="shared" si="23"/>
        <v>0</v>
      </c>
      <c r="T100" s="647">
        <f t="shared" si="24"/>
        <v>0</v>
      </c>
    </row>
    <row r="101" spans="1:20" ht="31.5">
      <c r="A101" s="648">
        <v>11</v>
      </c>
      <c r="B101" s="426">
        <v>7000026861</v>
      </c>
      <c r="C101" s="426">
        <v>110</v>
      </c>
      <c r="D101" s="426" t="s">
        <v>600</v>
      </c>
      <c r="E101" s="426">
        <v>1000004496</v>
      </c>
      <c r="F101" s="426">
        <v>85353090</v>
      </c>
      <c r="G101" s="422"/>
      <c r="H101" s="426">
        <v>18</v>
      </c>
      <c r="I101" s="423"/>
      <c r="J101" s="425" t="s">
        <v>624</v>
      </c>
      <c r="K101" s="426" t="s">
        <v>470</v>
      </c>
      <c r="L101" s="426">
        <v>3</v>
      </c>
      <c r="M101" s="565"/>
      <c r="N101" s="428" t="str">
        <f t="shared" si="6"/>
        <v>INCLUDED</v>
      </c>
      <c r="O101" s="645">
        <f t="shared" si="20"/>
        <v>0</v>
      </c>
      <c r="P101" s="645">
        <f t="shared" si="21"/>
        <v>0</v>
      </c>
      <c r="Q101" s="645">
        <f>Discount!$H$36</f>
        <v>0</v>
      </c>
      <c r="R101" s="646">
        <f t="shared" si="22"/>
        <v>0</v>
      </c>
      <c r="S101" s="646">
        <f t="shared" si="23"/>
        <v>0</v>
      </c>
      <c r="T101" s="647">
        <f t="shared" si="24"/>
        <v>0</v>
      </c>
    </row>
    <row r="102" spans="1:20" ht="31.5">
      <c r="A102" s="644">
        <v>12</v>
      </c>
      <c r="B102" s="426">
        <v>7000026861</v>
      </c>
      <c r="C102" s="426">
        <v>120</v>
      </c>
      <c r="D102" s="426" t="s">
        <v>600</v>
      </c>
      <c r="E102" s="426">
        <v>1000004495</v>
      </c>
      <c r="F102" s="426">
        <v>85353090</v>
      </c>
      <c r="G102" s="422"/>
      <c r="H102" s="426">
        <v>18</v>
      </c>
      <c r="I102" s="423"/>
      <c r="J102" s="425" t="s">
        <v>625</v>
      </c>
      <c r="K102" s="426" t="s">
        <v>470</v>
      </c>
      <c r="L102" s="426">
        <v>3</v>
      </c>
      <c r="M102" s="565"/>
      <c r="N102" s="428" t="str">
        <f t="shared" si="6"/>
        <v>INCLUDED</v>
      </c>
      <c r="O102" s="645">
        <f t="shared" si="20"/>
        <v>0</v>
      </c>
      <c r="P102" s="645">
        <f t="shared" si="21"/>
        <v>0</v>
      </c>
      <c r="Q102" s="645">
        <f>Discount!$H$36</f>
        <v>0</v>
      </c>
      <c r="R102" s="646">
        <f t="shared" si="22"/>
        <v>0</v>
      </c>
      <c r="S102" s="646">
        <f t="shared" si="23"/>
        <v>0</v>
      </c>
      <c r="T102" s="647">
        <f t="shared" si="24"/>
        <v>0</v>
      </c>
    </row>
    <row r="103" spans="1:20" ht="31.5">
      <c r="A103" s="644">
        <v>13</v>
      </c>
      <c r="B103" s="426">
        <v>7000026861</v>
      </c>
      <c r="C103" s="426">
        <v>130</v>
      </c>
      <c r="D103" s="426" t="s">
        <v>600</v>
      </c>
      <c r="E103" s="426">
        <v>1000004463</v>
      </c>
      <c r="F103" s="426">
        <v>85359090</v>
      </c>
      <c r="G103" s="422"/>
      <c r="H103" s="426">
        <v>18</v>
      </c>
      <c r="I103" s="423"/>
      <c r="J103" s="425" t="s">
        <v>474</v>
      </c>
      <c r="K103" s="426" t="s">
        <v>470</v>
      </c>
      <c r="L103" s="426">
        <v>3</v>
      </c>
      <c r="M103" s="565"/>
      <c r="N103" s="428" t="str">
        <f t="shared" si="6"/>
        <v>INCLUDED</v>
      </c>
      <c r="O103" s="645">
        <f t="shared" si="20"/>
        <v>0</v>
      </c>
      <c r="P103" s="645">
        <f t="shared" si="21"/>
        <v>0</v>
      </c>
      <c r="Q103" s="645">
        <f>Discount!$H$36</f>
        <v>0</v>
      </c>
      <c r="R103" s="646">
        <f t="shared" si="22"/>
        <v>0</v>
      </c>
      <c r="S103" s="646">
        <f t="shared" si="23"/>
        <v>0</v>
      </c>
      <c r="T103" s="647">
        <f t="shared" si="24"/>
        <v>0</v>
      </c>
    </row>
    <row r="104" spans="1:20" ht="31.5">
      <c r="A104" s="648">
        <v>14</v>
      </c>
      <c r="B104" s="426">
        <v>7000026861</v>
      </c>
      <c r="C104" s="426">
        <v>140</v>
      </c>
      <c r="D104" s="426" t="s">
        <v>600</v>
      </c>
      <c r="E104" s="426">
        <v>1000020419</v>
      </c>
      <c r="F104" s="426">
        <v>85354010</v>
      </c>
      <c r="G104" s="422"/>
      <c r="H104" s="426">
        <v>18</v>
      </c>
      <c r="I104" s="423"/>
      <c r="J104" s="425" t="s">
        <v>477</v>
      </c>
      <c r="K104" s="426" t="s">
        <v>470</v>
      </c>
      <c r="L104" s="426">
        <v>3</v>
      </c>
      <c r="M104" s="565"/>
      <c r="N104" s="428" t="str">
        <f t="shared" si="6"/>
        <v>INCLUDED</v>
      </c>
      <c r="O104" s="645">
        <f t="shared" si="20"/>
        <v>0</v>
      </c>
      <c r="P104" s="645">
        <f t="shared" si="21"/>
        <v>0</v>
      </c>
      <c r="Q104" s="645">
        <f>Discount!$H$36</f>
        <v>0</v>
      </c>
      <c r="R104" s="646">
        <f t="shared" si="22"/>
        <v>0</v>
      </c>
      <c r="S104" s="646">
        <f t="shared" si="23"/>
        <v>0</v>
      </c>
      <c r="T104" s="647">
        <f t="shared" si="24"/>
        <v>0</v>
      </c>
    </row>
    <row r="105" spans="1:20" ht="31.5">
      <c r="A105" s="644">
        <v>15</v>
      </c>
      <c r="B105" s="426">
        <v>7000026861</v>
      </c>
      <c r="C105" s="426">
        <v>150</v>
      </c>
      <c r="D105" s="426" t="s">
        <v>600</v>
      </c>
      <c r="E105" s="426">
        <v>1000004401</v>
      </c>
      <c r="F105" s="426">
        <v>85462040</v>
      </c>
      <c r="G105" s="422"/>
      <c r="H105" s="426">
        <v>18</v>
      </c>
      <c r="I105" s="423"/>
      <c r="J105" s="425" t="s">
        <v>478</v>
      </c>
      <c r="K105" s="426" t="s">
        <v>470</v>
      </c>
      <c r="L105" s="426">
        <v>12</v>
      </c>
      <c r="M105" s="565"/>
      <c r="N105" s="428" t="str">
        <f t="shared" si="6"/>
        <v>INCLUDED</v>
      </c>
      <c r="O105" s="645">
        <f t="shared" si="20"/>
        <v>0</v>
      </c>
      <c r="P105" s="645">
        <f t="shared" si="21"/>
        <v>0</v>
      </c>
      <c r="Q105" s="645">
        <f>Discount!$H$36</f>
        <v>0</v>
      </c>
      <c r="R105" s="646">
        <f t="shared" si="22"/>
        <v>0</v>
      </c>
      <c r="S105" s="646">
        <f t="shared" si="23"/>
        <v>0</v>
      </c>
      <c r="T105" s="647">
        <f t="shared" si="24"/>
        <v>0</v>
      </c>
    </row>
    <row r="106" spans="1:20" ht="31.5">
      <c r="A106" s="644">
        <v>16</v>
      </c>
      <c r="B106" s="426">
        <v>7000026861</v>
      </c>
      <c r="C106" s="426">
        <v>160</v>
      </c>
      <c r="D106" s="426" t="s">
        <v>600</v>
      </c>
      <c r="E106" s="426">
        <v>1000009713</v>
      </c>
      <c r="F106" s="426">
        <v>85389000</v>
      </c>
      <c r="G106" s="422"/>
      <c r="H106" s="426">
        <v>18</v>
      </c>
      <c r="I106" s="423"/>
      <c r="J106" s="425" t="s">
        <v>473</v>
      </c>
      <c r="K106" s="426" t="s">
        <v>470</v>
      </c>
      <c r="L106" s="426">
        <v>2</v>
      </c>
      <c r="M106" s="565"/>
      <c r="N106" s="428" t="str">
        <f t="shared" si="6"/>
        <v>INCLUDED</v>
      </c>
      <c r="O106" s="645">
        <f t="shared" si="20"/>
        <v>0</v>
      </c>
      <c r="P106" s="645">
        <f t="shared" si="21"/>
        <v>0</v>
      </c>
      <c r="Q106" s="645">
        <f>Discount!$H$36</f>
        <v>0</v>
      </c>
      <c r="R106" s="646">
        <f t="shared" si="22"/>
        <v>0</v>
      </c>
      <c r="S106" s="646">
        <f t="shared" si="23"/>
        <v>0</v>
      </c>
      <c r="T106" s="647">
        <f t="shared" si="24"/>
        <v>0</v>
      </c>
    </row>
    <row r="107" spans="1:20" ht="31.5">
      <c r="A107" s="648">
        <v>17</v>
      </c>
      <c r="B107" s="426">
        <v>7000026861</v>
      </c>
      <c r="C107" s="426">
        <v>170</v>
      </c>
      <c r="D107" s="426" t="s">
        <v>600</v>
      </c>
      <c r="E107" s="426">
        <v>1000001998</v>
      </c>
      <c r="F107" s="426">
        <v>85049010</v>
      </c>
      <c r="G107" s="422"/>
      <c r="H107" s="426">
        <v>18</v>
      </c>
      <c r="I107" s="423"/>
      <c r="J107" s="425" t="s">
        <v>626</v>
      </c>
      <c r="K107" s="426" t="s">
        <v>471</v>
      </c>
      <c r="L107" s="426">
        <v>1</v>
      </c>
      <c r="M107" s="565"/>
      <c r="N107" s="428" t="str">
        <f t="shared" si="6"/>
        <v>INCLUDED</v>
      </c>
      <c r="O107" s="645">
        <f t="shared" si="20"/>
        <v>0</v>
      </c>
      <c r="P107" s="645">
        <f t="shared" si="21"/>
        <v>0</v>
      </c>
      <c r="Q107" s="645">
        <f>Discount!$H$36</f>
        <v>0</v>
      </c>
      <c r="R107" s="646">
        <f t="shared" si="22"/>
        <v>0</v>
      </c>
      <c r="S107" s="646">
        <f t="shared" si="23"/>
        <v>0</v>
      </c>
      <c r="T107" s="647">
        <f t="shared" si="24"/>
        <v>0</v>
      </c>
    </row>
    <row r="108" spans="1:20">
      <c r="A108" s="644">
        <v>18</v>
      </c>
      <c r="B108" s="426">
        <v>7000026861</v>
      </c>
      <c r="C108" s="426">
        <v>180</v>
      </c>
      <c r="D108" s="426" t="s">
        <v>601</v>
      </c>
      <c r="E108" s="426">
        <v>1000050141</v>
      </c>
      <c r="F108" s="426">
        <v>85359030</v>
      </c>
      <c r="G108" s="422"/>
      <c r="H108" s="426">
        <v>18</v>
      </c>
      <c r="I108" s="423"/>
      <c r="J108" s="425" t="s">
        <v>627</v>
      </c>
      <c r="K108" s="426" t="s">
        <v>470</v>
      </c>
      <c r="L108" s="426">
        <v>2</v>
      </c>
      <c r="M108" s="565"/>
      <c r="N108" s="428" t="str">
        <f t="shared" si="6"/>
        <v>INCLUDED</v>
      </c>
      <c r="O108" s="645">
        <f t="shared" si="20"/>
        <v>0</v>
      </c>
      <c r="P108" s="645">
        <f t="shared" si="21"/>
        <v>0</v>
      </c>
      <c r="Q108" s="645">
        <f>Discount!$H$36</f>
        <v>0</v>
      </c>
      <c r="R108" s="646">
        <f t="shared" si="22"/>
        <v>0</v>
      </c>
      <c r="S108" s="646">
        <f t="shared" si="23"/>
        <v>0</v>
      </c>
      <c r="T108" s="647">
        <f t="shared" si="24"/>
        <v>0</v>
      </c>
    </row>
    <row r="109" spans="1:20" ht="31.5">
      <c r="A109" s="644">
        <v>19</v>
      </c>
      <c r="B109" s="426">
        <v>7000026861</v>
      </c>
      <c r="C109" s="426">
        <v>190</v>
      </c>
      <c r="D109" s="426" t="s">
        <v>601</v>
      </c>
      <c r="E109" s="426">
        <v>1000006101</v>
      </c>
      <c r="F109" s="426">
        <v>85389000</v>
      </c>
      <c r="G109" s="422"/>
      <c r="H109" s="426">
        <v>18</v>
      </c>
      <c r="I109" s="423"/>
      <c r="J109" s="425" t="s">
        <v>628</v>
      </c>
      <c r="K109" s="426" t="s">
        <v>518</v>
      </c>
      <c r="L109" s="426">
        <v>150</v>
      </c>
      <c r="M109" s="565"/>
      <c r="N109" s="428" t="str">
        <f t="shared" ref="N109:N112" si="25">IF(M109=0, "INCLUDED", IF(ISERROR(M109*L109), M109, M109*L109))</f>
        <v>INCLUDED</v>
      </c>
      <c r="O109" s="645">
        <f t="shared" ref="O109:O112" si="26">IF(N109="Included",0,N109)</f>
        <v>0</v>
      </c>
      <c r="P109" s="645">
        <f t="shared" ref="P109:P112" si="27">IF( I109="",H109*(IF(N109="Included",0,N109))/100,I109*(IF(N109="Included",0,N109)))</f>
        <v>0</v>
      </c>
      <c r="Q109" s="645">
        <f>Discount!$H$36</f>
        <v>0</v>
      </c>
      <c r="R109" s="646">
        <f t="shared" ref="R109:R112" si="28">Q109*O109</f>
        <v>0</v>
      </c>
      <c r="S109" s="646">
        <f t="shared" ref="S109:S112" si="29">IF(I109="",H109*R109/100,I109*R109)</f>
        <v>0</v>
      </c>
      <c r="T109" s="647">
        <f t="shared" ref="T109:T112" si="30">M109*L109</f>
        <v>0</v>
      </c>
    </row>
    <row r="110" spans="1:20">
      <c r="A110" s="648">
        <v>20</v>
      </c>
      <c r="B110" s="426">
        <v>7000026861</v>
      </c>
      <c r="C110" s="426">
        <v>200</v>
      </c>
      <c r="D110" s="426" t="s">
        <v>602</v>
      </c>
      <c r="E110" s="426">
        <v>1000032796</v>
      </c>
      <c r="F110" s="426">
        <v>85389000</v>
      </c>
      <c r="G110" s="422"/>
      <c r="H110" s="426">
        <v>18</v>
      </c>
      <c r="I110" s="423"/>
      <c r="J110" s="425" t="s">
        <v>629</v>
      </c>
      <c r="K110" s="426" t="s">
        <v>471</v>
      </c>
      <c r="L110" s="426">
        <v>8</v>
      </c>
      <c r="M110" s="565"/>
      <c r="N110" s="428" t="str">
        <f t="shared" si="25"/>
        <v>INCLUDED</v>
      </c>
      <c r="O110" s="645">
        <f t="shared" si="26"/>
        <v>0</v>
      </c>
      <c r="P110" s="645">
        <f t="shared" si="27"/>
        <v>0</v>
      </c>
      <c r="Q110" s="645">
        <f>Discount!$H$36</f>
        <v>0</v>
      </c>
      <c r="R110" s="646">
        <f t="shared" si="28"/>
        <v>0</v>
      </c>
      <c r="S110" s="646">
        <f t="shared" si="29"/>
        <v>0</v>
      </c>
      <c r="T110" s="647">
        <f t="shared" si="30"/>
        <v>0</v>
      </c>
    </row>
    <row r="111" spans="1:20" ht="31.5">
      <c r="A111" s="644">
        <v>21</v>
      </c>
      <c r="B111" s="426">
        <v>7000026861</v>
      </c>
      <c r="C111" s="426">
        <v>210</v>
      </c>
      <c r="D111" s="426" t="s">
        <v>602</v>
      </c>
      <c r="E111" s="426">
        <v>1000059207</v>
      </c>
      <c r="F111" s="426">
        <v>85359030</v>
      </c>
      <c r="G111" s="422"/>
      <c r="H111" s="426">
        <v>18</v>
      </c>
      <c r="I111" s="423"/>
      <c r="J111" s="425" t="s">
        <v>630</v>
      </c>
      <c r="K111" s="426" t="s">
        <v>518</v>
      </c>
      <c r="L111" s="426">
        <v>750</v>
      </c>
      <c r="M111" s="565"/>
      <c r="N111" s="428" t="str">
        <f t="shared" si="25"/>
        <v>INCLUDED</v>
      </c>
      <c r="O111" s="645">
        <f t="shared" si="26"/>
        <v>0</v>
      </c>
      <c r="P111" s="645">
        <f t="shared" si="27"/>
        <v>0</v>
      </c>
      <c r="Q111" s="645">
        <f>Discount!$H$36</f>
        <v>0</v>
      </c>
      <c r="R111" s="646">
        <f t="shared" si="28"/>
        <v>0</v>
      </c>
      <c r="S111" s="646">
        <f t="shared" si="29"/>
        <v>0</v>
      </c>
      <c r="T111" s="647">
        <f t="shared" si="30"/>
        <v>0</v>
      </c>
    </row>
    <row r="112" spans="1:20">
      <c r="A112" s="644">
        <v>22</v>
      </c>
      <c r="B112" s="426">
        <v>7000026861</v>
      </c>
      <c r="C112" s="426">
        <v>220</v>
      </c>
      <c r="D112" s="426" t="s">
        <v>603</v>
      </c>
      <c r="E112" s="426">
        <v>1000031144</v>
      </c>
      <c r="F112" s="426">
        <v>85446090</v>
      </c>
      <c r="G112" s="422"/>
      <c r="H112" s="426">
        <v>18</v>
      </c>
      <c r="I112" s="423"/>
      <c r="J112" s="425" t="s">
        <v>631</v>
      </c>
      <c r="K112" s="426" t="s">
        <v>518</v>
      </c>
      <c r="L112" s="426">
        <v>1200</v>
      </c>
      <c r="M112" s="565"/>
      <c r="N112" s="428" t="str">
        <f t="shared" si="25"/>
        <v>INCLUDED</v>
      </c>
      <c r="O112" s="645">
        <f t="shared" si="26"/>
        <v>0</v>
      </c>
      <c r="P112" s="645">
        <f t="shared" si="27"/>
        <v>0</v>
      </c>
      <c r="Q112" s="645">
        <f>Discount!$H$36</f>
        <v>0</v>
      </c>
      <c r="R112" s="646">
        <f t="shared" si="28"/>
        <v>0</v>
      </c>
      <c r="S112" s="646">
        <f t="shared" si="29"/>
        <v>0</v>
      </c>
      <c r="T112" s="647">
        <f t="shared" si="30"/>
        <v>0</v>
      </c>
    </row>
    <row r="113" spans="1:20" ht="31.5">
      <c r="A113" s="648">
        <v>23</v>
      </c>
      <c r="B113" s="426">
        <v>7000026861</v>
      </c>
      <c r="C113" s="426">
        <v>230</v>
      </c>
      <c r="D113" s="426" t="s">
        <v>603</v>
      </c>
      <c r="E113" s="426">
        <v>1000052625</v>
      </c>
      <c r="F113" s="426">
        <v>85469090</v>
      </c>
      <c r="G113" s="422"/>
      <c r="H113" s="426">
        <v>18</v>
      </c>
      <c r="I113" s="423"/>
      <c r="J113" s="425" t="s">
        <v>632</v>
      </c>
      <c r="K113" s="426" t="s">
        <v>470</v>
      </c>
      <c r="L113" s="426">
        <v>8</v>
      </c>
      <c r="M113" s="565"/>
      <c r="N113" s="428" t="str">
        <f t="shared" ref="N113:N118" si="31">IF(M113=0, "INCLUDED", IF(ISERROR(M113*L113), M113, M113*L113))</f>
        <v>INCLUDED</v>
      </c>
      <c r="O113" s="645">
        <f t="shared" ref="O113:O118" si="32">IF(N113="Included",0,N113)</f>
        <v>0</v>
      </c>
      <c r="P113" s="645">
        <f t="shared" ref="P113:P118" si="33">IF( I113="",H113*(IF(N113="Included",0,N113))/100,I113*(IF(N113="Included",0,N113)))</f>
        <v>0</v>
      </c>
      <c r="Q113" s="645">
        <f>Discount!$H$36</f>
        <v>0</v>
      </c>
      <c r="R113" s="646">
        <f t="shared" ref="R113:R118" si="34">Q113*O113</f>
        <v>0</v>
      </c>
      <c r="S113" s="646">
        <f t="shared" ref="S113:S118" si="35">IF(I113="",H113*R113/100,I113*R113)</f>
        <v>0</v>
      </c>
      <c r="T113" s="647">
        <f t="shared" ref="T113:T118" si="36">M113*L113</f>
        <v>0</v>
      </c>
    </row>
    <row r="114" spans="1:20" ht="47.25">
      <c r="A114" s="644">
        <v>24</v>
      </c>
      <c r="B114" s="426">
        <v>7000026861</v>
      </c>
      <c r="C114" s="426">
        <v>290</v>
      </c>
      <c r="D114" s="426" t="s">
        <v>604</v>
      </c>
      <c r="E114" s="426">
        <v>1000015954</v>
      </c>
      <c r="F114" s="426">
        <v>73082011</v>
      </c>
      <c r="G114" s="422"/>
      <c r="H114" s="426">
        <v>18</v>
      </c>
      <c r="I114" s="423"/>
      <c r="J114" s="425" t="s">
        <v>537</v>
      </c>
      <c r="K114" s="426" t="s">
        <v>536</v>
      </c>
      <c r="L114" s="426">
        <v>102</v>
      </c>
      <c r="M114" s="565"/>
      <c r="N114" s="428" t="str">
        <f t="shared" si="31"/>
        <v>INCLUDED</v>
      </c>
      <c r="O114" s="645">
        <f t="shared" si="32"/>
        <v>0</v>
      </c>
      <c r="P114" s="645">
        <f t="shared" si="33"/>
        <v>0</v>
      </c>
      <c r="Q114" s="645">
        <f>Discount!$H$36</f>
        <v>0</v>
      </c>
      <c r="R114" s="646">
        <f t="shared" si="34"/>
        <v>0</v>
      </c>
      <c r="S114" s="646">
        <f t="shared" si="35"/>
        <v>0</v>
      </c>
      <c r="T114" s="647">
        <f t="shared" si="36"/>
        <v>0</v>
      </c>
    </row>
    <row r="115" spans="1:20" ht="47.25">
      <c r="A115" s="644">
        <v>25</v>
      </c>
      <c r="B115" s="426">
        <v>7000026861</v>
      </c>
      <c r="C115" s="426">
        <v>300</v>
      </c>
      <c r="D115" s="426" t="s">
        <v>604</v>
      </c>
      <c r="E115" s="426">
        <v>1000015953</v>
      </c>
      <c r="F115" s="426">
        <v>73082011</v>
      </c>
      <c r="G115" s="422"/>
      <c r="H115" s="426">
        <v>18</v>
      </c>
      <c r="I115" s="423"/>
      <c r="J115" s="425" t="s">
        <v>633</v>
      </c>
      <c r="K115" s="426" t="s">
        <v>536</v>
      </c>
      <c r="L115" s="426">
        <v>26</v>
      </c>
      <c r="M115" s="565"/>
      <c r="N115" s="428" t="str">
        <f t="shared" si="31"/>
        <v>INCLUDED</v>
      </c>
      <c r="O115" s="645">
        <f t="shared" si="32"/>
        <v>0</v>
      </c>
      <c r="P115" s="645">
        <f t="shared" si="33"/>
        <v>0</v>
      </c>
      <c r="Q115" s="645">
        <f>Discount!$H$36</f>
        <v>0</v>
      </c>
      <c r="R115" s="646">
        <f t="shared" si="34"/>
        <v>0</v>
      </c>
      <c r="S115" s="646">
        <f t="shared" si="35"/>
        <v>0</v>
      </c>
      <c r="T115" s="647">
        <f t="shared" si="36"/>
        <v>0</v>
      </c>
    </row>
    <row r="116" spans="1:20" ht="31.5">
      <c r="A116" s="648">
        <v>26</v>
      </c>
      <c r="B116" s="426">
        <v>7000026861</v>
      </c>
      <c r="C116" s="426">
        <v>310</v>
      </c>
      <c r="D116" s="426" t="s">
        <v>604</v>
      </c>
      <c r="E116" s="426">
        <v>1000011713</v>
      </c>
      <c r="F116" s="426">
        <v>73082011</v>
      </c>
      <c r="G116" s="422"/>
      <c r="H116" s="426">
        <v>18</v>
      </c>
      <c r="I116" s="423"/>
      <c r="J116" s="425" t="s">
        <v>538</v>
      </c>
      <c r="K116" s="426" t="s">
        <v>536</v>
      </c>
      <c r="L116" s="426">
        <v>6</v>
      </c>
      <c r="M116" s="565"/>
      <c r="N116" s="428" t="str">
        <f t="shared" si="31"/>
        <v>INCLUDED</v>
      </c>
      <c r="O116" s="645">
        <f t="shared" si="32"/>
        <v>0</v>
      </c>
      <c r="P116" s="645">
        <f t="shared" si="33"/>
        <v>0</v>
      </c>
      <c r="Q116" s="645">
        <f>Discount!$H$36</f>
        <v>0</v>
      </c>
      <c r="R116" s="646">
        <f t="shared" si="34"/>
        <v>0</v>
      </c>
      <c r="S116" s="646">
        <f t="shared" si="35"/>
        <v>0</v>
      </c>
      <c r="T116" s="647">
        <f t="shared" si="36"/>
        <v>0</v>
      </c>
    </row>
    <row r="117" spans="1:20" ht="31.5">
      <c r="A117" s="644">
        <v>27</v>
      </c>
      <c r="B117" s="426">
        <v>7000026861</v>
      </c>
      <c r="C117" s="426">
        <v>320</v>
      </c>
      <c r="D117" s="426" t="s">
        <v>604</v>
      </c>
      <c r="E117" s="426">
        <v>1000012373</v>
      </c>
      <c r="F117" s="426">
        <v>73082011</v>
      </c>
      <c r="G117" s="422"/>
      <c r="H117" s="426">
        <v>18</v>
      </c>
      <c r="I117" s="423"/>
      <c r="J117" s="425" t="s">
        <v>539</v>
      </c>
      <c r="K117" s="426" t="s">
        <v>536</v>
      </c>
      <c r="L117" s="426">
        <v>11</v>
      </c>
      <c r="M117" s="565"/>
      <c r="N117" s="428" t="str">
        <f t="shared" si="31"/>
        <v>INCLUDED</v>
      </c>
      <c r="O117" s="645">
        <f t="shared" si="32"/>
        <v>0</v>
      </c>
      <c r="P117" s="645">
        <f t="shared" si="33"/>
        <v>0</v>
      </c>
      <c r="Q117" s="645">
        <f>Discount!$H$36</f>
        <v>0</v>
      </c>
      <c r="R117" s="646">
        <f t="shared" si="34"/>
        <v>0</v>
      </c>
      <c r="S117" s="646">
        <f t="shared" si="35"/>
        <v>0</v>
      </c>
      <c r="T117" s="647">
        <f t="shared" si="36"/>
        <v>0</v>
      </c>
    </row>
    <row r="118" spans="1:20">
      <c r="A118" s="644">
        <v>28</v>
      </c>
      <c r="B118" s="426">
        <v>7000026861</v>
      </c>
      <c r="C118" s="426">
        <v>350</v>
      </c>
      <c r="D118" s="426" t="s">
        <v>605</v>
      </c>
      <c r="E118" s="426">
        <v>1000005789</v>
      </c>
      <c r="F118" s="426">
        <v>85371000</v>
      </c>
      <c r="G118" s="422"/>
      <c r="H118" s="426">
        <v>18</v>
      </c>
      <c r="I118" s="423"/>
      <c r="J118" s="425" t="s">
        <v>634</v>
      </c>
      <c r="K118" s="426" t="s">
        <v>470</v>
      </c>
      <c r="L118" s="426">
        <v>1</v>
      </c>
      <c r="M118" s="565"/>
      <c r="N118" s="428" t="str">
        <f t="shared" si="31"/>
        <v>INCLUDED</v>
      </c>
      <c r="O118" s="645">
        <f t="shared" si="32"/>
        <v>0</v>
      </c>
      <c r="P118" s="645">
        <f t="shared" si="33"/>
        <v>0</v>
      </c>
      <c r="Q118" s="645">
        <f>Discount!$H$36</f>
        <v>0</v>
      </c>
      <c r="R118" s="646">
        <f t="shared" si="34"/>
        <v>0</v>
      </c>
      <c r="S118" s="646">
        <f t="shared" si="35"/>
        <v>0</v>
      </c>
      <c r="T118" s="647">
        <f t="shared" si="36"/>
        <v>0</v>
      </c>
    </row>
    <row r="119" spans="1:20">
      <c r="A119" s="648">
        <v>29</v>
      </c>
      <c r="B119" s="426">
        <v>7000026861</v>
      </c>
      <c r="C119" s="426">
        <v>360</v>
      </c>
      <c r="D119" s="426" t="s">
        <v>605</v>
      </c>
      <c r="E119" s="426">
        <v>1000055448</v>
      </c>
      <c r="F119" s="426">
        <v>85371000</v>
      </c>
      <c r="G119" s="422"/>
      <c r="H119" s="426">
        <v>18</v>
      </c>
      <c r="I119" s="423"/>
      <c r="J119" s="425" t="s">
        <v>635</v>
      </c>
      <c r="K119" s="426" t="s">
        <v>470</v>
      </c>
      <c r="L119" s="426">
        <v>1</v>
      </c>
      <c r="M119" s="565"/>
      <c r="N119" s="428" t="str">
        <f t="shared" ref="N119:N204" si="37">IF(M119=0, "INCLUDED", IF(ISERROR(M119*L119), M119, M119*L119))</f>
        <v>INCLUDED</v>
      </c>
      <c r="O119" s="645">
        <f t="shared" ref="O119:O157" si="38">IF(N119="Included",0,N119)</f>
        <v>0</v>
      </c>
      <c r="P119" s="645">
        <f t="shared" ref="P119:P157" si="39">IF( I119="",H119*(IF(N119="Included",0,N119))/100,I119*(IF(N119="Included",0,N119)))</f>
        <v>0</v>
      </c>
      <c r="Q119" s="645">
        <f>Discount!$H$36</f>
        <v>0</v>
      </c>
      <c r="R119" s="646">
        <f t="shared" ref="R119:R157" si="40">Q119*O119</f>
        <v>0</v>
      </c>
      <c r="S119" s="646">
        <f t="shared" ref="S119:S157" si="41">IF(I119="",H119*R119/100,I119*R119)</f>
        <v>0</v>
      </c>
      <c r="T119" s="647">
        <f t="shared" ref="T119:T204" si="42">M119*L119</f>
        <v>0</v>
      </c>
    </row>
    <row r="120" spans="1:20">
      <c r="A120" s="644">
        <v>30</v>
      </c>
      <c r="B120" s="426">
        <v>7000026861</v>
      </c>
      <c r="C120" s="426">
        <v>370</v>
      </c>
      <c r="D120" s="426" t="s">
        <v>606</v>
      </c>
      <c r="E120" s="426">
        <v>1000055446</v>
      </c>
      <c r="F120" s="426">
        <v>85371000</v>
      </c>
      <c r="G120" s="422"/>
      <c r="H120" s="426">
        <v>18</v>
      </c>
      <c r="I120" s="423"/>
      <c r="J120" s="425" t="s">
        <v>547</v>
      </c>
      <c r="K120" s="426" t="s">
        <v>470</v>
      </c>
      <c r="L120" s="426">
        <v>1</v>
      </c>
      <c r="M120" s="565"/>
      <c r="N120" s="428" t="str">
        <f t="shared" si="37"/>
        <v>INCLUDED</v>
      </c>
      <c r="O120" s="645">
        <f t="shared" si="38"/>
        <v>0</v>
      </c>
      <c r="P120" s="645">
        <f t="shared" si="39"/>
        <v>0</v>
      </c>
      <c r="Q120" s="645">
        <f>Discount!$H$36</f>
        <v>0</v>
      </c>
      <c r="R120" s="646">
        <f t="shared" si="40"/>
        <v>0</v>
      </c>
      <c r="S120" s="646">
        <f t="shared" si="41"/>
        <v>0</v>
      </c>
      <c r="T120" s="647">
        <f t="shared" si="42"/>
        <v>0</v>
      </c>
    </row>
    <row r="121" spans="1:20">
      <c r="A121" s="644">
        <v>31</v>
      </c>
      <c r="B121" s="426">
        <v>7000026861</v>
      </c>
      <c r="C121" s="426">
        <v>380</v>
      </c>
      <c r="D121" s="426" t="s">
        <v>607</v>
      </c>
      <c r="E121" s="426">
        <v>1000005535</v>
      </c>
      <c r="F121" s="426">
        <v>85371000</v>
      </c>
      <c r="G121" s="422"/>
      <c r="H121" s="426">
        <v>18</v>
      </c>
      <c r="I121" s="423"/>
      <c r="J121" s="425" t="s">
        <v>636</v>
      </c>
      <c r="K121" s="426" t="s">
        <v>470</v>
      </c>
      <c r="L121" s="426">
        <v>1</v>
      </c>
      <c r="M121" s="565"/>
      <c r="N121" s="428" t="str">
        <f t="shared" si="37"/>
        <v>INCLUDED</v>
      </c>
      <c r="O121" s="645">
        <f t="shared" si="38"/>
        <v>0</v>
      </c>
      <c r="P121" s="645">
        <f t="shared" si="39"/>
        <v>0</v>
      </c>
      <c r="Q121" s="645">
        <f>Discount!$H$36</f>
        <v>0</v>
      </c>
      <c r="R121" s="646">
        <f t="shared" si="40"/>
        <v>0</v>
      </c>
      <c r="S121" s="646">
        <f t="shared" si="41"/>
        <v>0</v>
      </c>
      <c r="T121" s="647">
        <f t="shared" si="42"/>
        <v>0</v>
      </c>
    </row>
    <row r="122" spans="1:20">
      <c r="A122" s="648">
        <v>32</v>
      </c>
      <c r="B122" s="426">
        <v>7000026861</v>
      </c>
      <c r="C122" s="426">
        <v>390</v>
      </c>
      <c r="D122" s="426" t="s">
        <v>608</v>
      </c>
      <c r="E122" s="426">
        <v>1000003409</v>
      </c>
      <c r="F122" s="426">
        <v>85371000</v>
      </c>
      <c r="G122" s="422"/>
      <c r="H122" s="426">
        <v>18</v>
      </c>
      <c r="I122" s="423"/>
      <c r="J122" s="425" t="s">
        <v>535</v>
      </c>
      <c r="K122" s="426" t="s">
        <v>470</v>
      </c>
      <c r="L122" s="426">
        <v>1</v>
      </c>
      <c r="M122" s="565"/>
      <c r="N122" s="428" t="str">
        <f t="shared" si="37"/>
        <v>INCLUDED</v>
      </c>
      <c r="O122" s="645">
        <f t="shared" si="38"/>
        <v>0</v>
      </c>
      <c r="P122" s="645">
        <f t="shared" si="39"/>
        <v>0</v>
      </c>
      <c r="Q122" s="645">
        <f>Discount!$H$36</f>
        <v>0</v>
      </c>
      <c r="R122" s="646">
        <f t="shared" si="40"/>
        <v>0</v>
      </c>
      <c r="S122" s="646">
        <f t="shared" si="41"/>
        <v>0</v>
      </c>
      <c r="T122" s="647">
        <f t="shared" si="42"/>
        <v>0</v>
      </c>
    </row>
    <row r="123" spans="1:20" ht="31.5">
      <c r="A123" s="644">
        <v>33</v>
      </c>
      <c r="B123" s="426">
        <v>7000026861</v>
      </c>
      <c r="C123" s="426">
        <v>440</v>
      </c>
      <c r="D123" s="426" t="s">
        <v>609</v>
      </c>
      <c r="E123" s="426">
        <v>1000011363</v>
      </c>
      <c r="F123" s="426">
        <v>72169990</v>
      </c>
      <c r="G123" s="424"/>
      <c r="H123" s="426">
        <v>18</v>
      </c>
      <c r="I123" s="423"/>
      <c r="J123" s="425" t="s">
        <v>637</v>
      </c>
      <c r="K123" s="426" t="s">
        <v>471</v>
      </c>
      <c r="L123" s="426">
        <v>1</v>
      </c>
      <c r="M123" s="565"/>
      <c r="N123" s="428" t="str">
        <f>IF(M123=0, "INCLUDED", IF(ISERROR(M123*L123), M123, M123*L123))</f>
        <v>INCLUDED</v>
      </c>
      <c r="O123" s="645">
        <f>IF(N123="Included",0,N123)</f>
        <v>0</v>
      </c>
      <c r="P123" s="645">
        <f>IF( I123="",H123*(IF(N123="Included",0,N123))/100,I123*(IF(N123="Included",0,N123)))</f>
        <v>0</v>
      </c>
      <c r="Q123" s="646">
        <f>Discount!$H$36</f>
        <v>0</v>
      </c>
      <c r="R123" s="646">
        <f>Q123*O123</f>
        <v>0</v>
      </c>
      <c r="S123" s="646">
        <f>IF(I123="",H123*R123/100,I123*R123)</f>
        <v>0</v>
      </c>
      <c r="T123" s="647">
        <f>M123*L123</f>
        <v>0</v>
      </c>
    </row>
    <row r="124" spans="1:20" ht="78.75">
      <c r="A124" s="644">
        <v>34</v>
      </c>
      <c r="B124" s="426">
        <v>7000026861</v>
      </c>
      <c r="C124" s="426">
        <v>450</v>
      </c>
      <c r="D124" s="426" t="s">
        <v>609</v>
      </c>
      <c r="E124" s="426">
        <v>1000015788</v>
      </c>
      <c r="F124" s="426">
        <v>85049010</v>
      </c>
      <c r="G124" s="422"/>
      <c r="H124" s="426">
        <v>18</v>
      </c>
      <c r="I124" s="423"/>
      <c r="J124" s="425" t="s">
        <v>638</v>
      </c>
      <c r="K124" s="426" t="s">
        <v>505</v>
      </c>
      <c r="L124" s="426">
        <v>1</v>
      </c>
      <c r="M124" s="565"/>
      <c r="N124" s="428" t="str">
        <f t="shared" ref="N124:N156" si="43">IF(M124=0, "INCLUDED", IF(ISERROR(M124*L124), M124, M124*L124))</f>
        <v>INCLUDED</v>
      </c>
      <c r="O124" s="645">
        <f>IF(N124="Included",0,N124)</f>
        <v>0</v>
      </c>
      <c r="P124" s="645">
        <f>IF( I124="",H124*(IF(N124="Included",0,N124))/100,I124*(IF(N124="Included",0,N124)))</f>
        <v>0</v>
      </c>
      <c r="Q124" s="645">
        <f>Discount!$H$36</f>
        <v>0</v>
      </c>
      <c r="R124" s="646">
        <f>Q124*O124</f>
        <v>0</v>
      </c>
      <c r="S124" s="646">
        <f>IF(I124="",H124*R124/100,I124*R124)</f>
        <v>0</v>
      </c>
      <c r="T124" s="647">
        <f t="shared" ref="T124:T156" si="44">M124*L124</f>
        <v>0</v>
      </c>
    </row>
    <row r="125" spans="1:20" ht="31.5">
      <c r="A125" s="648">
        <v>35</v>
      </c>
      <c r="B125" s="426">
        <v>7000026861</v>
      </c>
      <c r="C125" s="426">
        <v>460</v>
      </c>
      <c r="D125" s="426" t="s">
        <v>610</v>
      </c>
      <c r="E125" s="426">
        <v>1000011327</v>
      </c>
      <c r="F125" s="426">
        <v>72169990</v>
      </c>
      <c r="G125" s="422"/>
      <c r="H125" s="426">
        <v>18</v>
      </c>
      <c r="I125" s="423"/>
      <c r="J125" s="425" t="s">
        <v>485</v>
      </c>
      <c r="K125" s="426" t="s">
        <v>471</v>
      </c>
      <c r="L125" s="426">
        <v>1</v>
      </c>
      <c r="M125" s="565"/>
      <c r="N125" s="428" t="str">
        <f t="shared" si="43"/>
        <v>INCLUDED</v>
      </c>
      <c r="O125" s="645">
        <f>IF(N125="Included",0,N125)</f>
        <v>0</v>
      </c>
      <c r="P125" s="645">
        <f>IF( I125="",H125*(IF(N125="Included",0,N125))/100,I125*(IF(N125="Included",0,N125)))</f>
        <v>0</v>
      </c>
      <c r="Q125" s="645">
        <f>Discount!$H$36</f>
        <v>0</v>
      </c>
      <c r="R125" s="646">
        <f>Q125*O125</f>
        <v>0</v>
      </c>
      <c r="S125" s="646">
        <f>IF(I125="",H125*R125/100,I125*R125)</f>
        <v>0</v>
      </c>
      <c r="T125" s="647">
        <f t="shared" si="44"/>
        <v>0</v>
      </c>
    </row>
    <row r="126" spans="1:20" ht="31.5">
      <c r="A126" s="644">
        <v>36</v>
      </c>
      <c r="B126" s="426">
        <v>7000026861</v>
      </c>
      <c r="C126" s="426">
        <v>490</v>
      </c>
      <c r="D126" s="426" t="s">
        <v>611</v>
      </c>
      <c r="E126" s="426">
        <v>1000055995</v>
      </c>
      <c r="F126" s="426">
        <v>72169990</v>
      </c>
      <c r="G126" s="422"/>
      <c r="H126" s="426">
        <v>18</v>
      </c>
      <c r="I126" s="423"/>
      <c r="J126" s="425" t="s">
        <v>639</v>
      </c>
      <c r="K126" s="426" t="s">
        <v>470</v>
      </c>
      <c r="L126" s="426">
        <v>3</v>
      </c>
      <c r="M126" s="565"/>
      <c r="N126" s="428" t="str">
        <f t="shared" si="43"/>
        <v>INCLUDED</v>
      </c>
      <c r="O126" s="645">
        <f>IF(N126="Included",0,N126)</f>
        <v>0</v>
      </c>
      <c r="P126" s="645">
        <f>IF( I126="",H126*(IF(N126="Included",0,N126))/100,I126*(IF(N126="Included",0,N126)))</f>
        <v>0</v>
      </c>
      <c r="Q126" s="645">
        <f>Discount!$H$36</f>
        <v>0</v>
      </c>
      <c r="R126" s="646">
        <f>Q126*O126</f>
        <v>0</v>
      </c>
      <c r="S126" s="646">
        <f>IF(I126="",H126*R126/100,I126*R126)</f>
        <v>0</v>
      </c>
      <c r="T126" s="647">
        <f t="shared" si="44"/>
        <v>0</v>
      </c>
    </row>
    <row r="127" spans="1:20" ht="31.5">
      <c r="A127" s="644">
        <v>37</v>
      </c>
      <c r="B127" s="426">
        <v>7000026861</v>
      </c>
      <c r="C127" s="426">
        <v>500</v>
      </c>
      <c r="D127" s="426" t="s">
        <v>611</v>
      </c>
      <c r="E127" s="426">
        <v>1000055997</v>
      </c>
      <c r="F127" s="426">
        <v>72169990</v>
      </c>
      <c r="G127" s="422"/>
      <c r="H127" s="426">
        <v>18</v>
      </c>
      <c r="I127" s="423"/>
      <c r="J127" s="425" t="s">
        <v>640</v>
      </c>
      <c r="K127" s="426" t="s">
        <v>470</v>
      </c>
      <c r="L127" s="426">
        <v>3</v>
      </c>
      <c r="M127" s="565"/>
      <c r="N127" s="428" t="str">
        <f t="shared" si="43"/>
        <v>INCLUDED</v>
      </c>
      <c r="O127" s="645">
        <f t="shared" ref="O127:O156" si="45">IF(N127="Included",0,N127)</f>
        <v>0</v>
      </c>
      <c r="P127" s="645">
        <f t="shared" ref="P127:P156" si="46">IF( I127="",H127*(IF(N127="Included",0,N127))/100,I127*(IF(N127="Included",0,N127)))</f>
        <v>0</v>
      </c>
      <c r="Q127" s="645">
        <f>Discount!$H$36</f>
        <v>0</v>
      </c>
      <c r="R127" s="646">
        <f t="shared" ref="R127:R156" si="47">Q127*O127</f>
        <v>0</v>
      </c>
      <c r="S127" s="646">
        <f t="shared" ref="S127:S156" si="48">IF(I127="",H127*R127/100,I127*R127)</f>
        <v>0</v>
      </c>
      <c r="T127" s="647">
        <f t="shared" si="44"/>
        <v>0</v>
      </c>
    </row>
    <row r="128" spans="1:20" ht="31.5">
      <c r="A128" s="648">
        <v>38</v>
      </c>
      <c r="B128" s="426">
        <v>7000026861</v>
      </c>
      <c r="C128" s="426">
        <v>510</v>
      </c>
      <c r="D128" s="426" t="s">
        <v>611</v>
      </c>
      <c r="E128" s="426">
        <v>1000055993</v>
      </c>
      <c r="F128" s="426">
        <v>72169990</v>
      </c>
      <c r="G128" s="422"/>
      <c r="H128" s="426">
        <v>18</v>
      </c>
      <c r="I128" s="423"/>
      <c r="J128" s="425" t="s">
        <v>641</v>
      </c>
      <c r="K128" s="426" t="s">
        <v>470</v>
      </c>
      <c r="L128" s="426">
        <v>3</v>
      </c>
      <c r="M128" s="565"/>
      <c r="N128" s="428" t="str">
        <f t="shared" si="43"/>
        <v>INCLUDED</v>
      </c>
      <c r="O128" s="645">
        <f t="shared" si="45"/>
        <v>0</v>
      </c>
      <c r="P128" s="645">
        <f t="shared" si="46"/>
        <v>0</v>
      </c>
      <c r="Q128" s="645">
        <f>Discount!$H$36</f>
        <v>0</v>
      </c>
      <c r="R128" s="646">
        <f t="shared" si="47"/>
        <v>0</v>
      </c>
      <c r="S128" s="646">
        <f t="shared" si="48"/>
        <v>0</v>
      </c>
      <c r="T128" s="647">
        <f t="shared" si="44"/>
        <v>0</v>
      </c>
    </row>
    <row r="129" spans="1:20" ht="31.5">
      <c r="A129" s="644">
        <v>39</v>
      </c>
      <c r="B129" s="426">
        <v>7000026861</v>
      </c>
      <c r="C129" s="426">
        <v>520</v>
      </c>
      <c r="D129" s="426" t="s">
        <v>612</v>
      </c>
      <c r="E129" s="426">
        <v>1000055984</v>
      </c>
      <c r="F129" s="426">
        <v>72169990</v>
      </c>
      <c r="G129" s="422"/>
      <c r="H129" s="426">
        <v>18</v>
      </c>
      <c r="I129" s="423"/>
      <c r="J129" s="425" t="s">
        <v>481</v>
      </c>
      <c r="K129" s="426" t="s">
        <v>470</v>
      </c>
      <c r="L129" s="426">
        <v>6</v>
      </c>
      <c r="M129" s="565"/>
      <c r="N129" s="428" t="str">
        <f t="shared" si="43"/>
        <v>INCLUDED</v>
      </c>
      <c r="O129" s="645">
        <f t="shared" si="45"/>
        <v>0</v>
      </c>
      <c r="P129" s="645">
        <f t="shared" si="46"/>
        <v>0</v>
      </c>
      <c r="Q129" s="645">
        <f>Discount!$H$36</f>
        <v>0</v>
      </c>
      <c r="R129" s="646">
        <f t="shared" si="47"/>
        <v>0</v>
      </c>
      <c r="S129" s="646">
        <f t="shared" si="48"/>
        <v>0</v>
      </c>
      <c r="T129" s="647">
        <f t="shared" si="44"/>
        <v>0</v>
      </c>
    </row>
    <row r="130" spans="1:20" ht="31.5">
      <c r="A130" s="644">
        <v>40</v>
      </c>
      <c r="B130" s="426">
        <v>7000026861</v>
      </c>
      <c r="C130" s="426">
        <v>530</v>
      </c>
      <c r="D130" s="426" t="s">
        <v>612</v>
      </c>
      <c r="E130" s="426">
        <v>1000055991</v>
      </c>
      <c r="F130" s="426">
        <v>72169990</v>
      </c>
      <c r="G130" s="422"/>
      <c r="H130" s="426">
        <v>18</v>
      </c>
      <c r="I130" s="423"/>
      <c r="J130" s="425" t="s">
        <v>482</v>
      </c>
      <c r="K130" s="426" t="s">
        <v>470</v>
      </c>
      <c r="L130" s="426">
        <v>6</v>
      </c>
      <c r="M130" s="565"/>
      <c r="N130" s="428" t="str">
        <f t="shared" si="43"/>
        <v>INCLUDED</v>
      </c>
      <c r="O130" s="645">
        <f t="shared" si="45"/>
        <v>0</v>
      </c>
      <c r="P130" s="645">
        <f t="shared" si="46"/>
        <v>0</v>
      </c>
      <c r="Q130" s="645">
        <f>Discount!$H$36</f>
        <v>0</v>
      </c>
      <c r="R130" s="646">
        <f t="shared" si="47"/>
        <v>0</v>
      </c>
      <c r="S130" s="646">
        <f t="shared" si="48"/>
        <v>0</v>
      </c>
      <c r="T130" s="647">
        <f t="shared" si="44"/>
        <v>0</v>
      </c>
    </row>
    <row r="131" spans="1:20" ht="31.5">
      <c r="A131" s="648">
        <v>41</v>
      </c>
      <c r="B131" s="426">
        <v>7000026861</v>
      </c>
      <c r="C131" s="426">
        <v>540</v>
      </c>
      <c r="D131" s="426" t="s">
        <v>612</v>
      </c>
      <c r="E131" s="426">
        <v>1000055986</v>
      </c>
      <c r="F131" s="426">
        <v>72169990</v>
      </c>
      <c r="G131" s="422"/>
      <c r="H131" s="426">
        <v>18</v>
      </c>
      <c r="I131" s="423"/>
      <c r="J131" s="425" t="s">
        <v>484</v>
      </c>
      <c r="K131" s="426" t="s">
        <v>470</v>
      </c>
      <c r="L131" s="426">
        <v>6</v>
      </c>
      <c r="M131" s="565"/>
      <c r="N131" s="428" t="str">
        <f t="shared" si="43"/>
        <v>INCLUDED</v>
      </c>
      <c r="O131" s="645">
        <f t="shared" si="45"/>
        <v>0</v>
      </c>
      <c r="P131" s="645">
        <f t="shared" si="46"/>
        <v>0</v>
      </c>
      <c r="Q131" s="645">
        <f>Discount!$H$36</f>
        <v>0</v>
      </c>
      <c r="R131" s="646">
        <f t="shared" si="47"/>
        <v>0</v>
      </c>
      <c r="S131" s="646">
        <f t="shared" si="48"/>
        <v>0</v>
      </c>
      <c r="T131" s="647">
        <f t="shared" si="44"/>
        <v>0</v>
      </c>
    </row>
    <row r="132" spans="1:20" ht="31.5">
      <c r="A132" s="644">
        <v>42</v>
      </c>
      <c r="B132" s="426">
        <v>7000026861</v>
      </c>
      <c r="C132" s="426">
        <v>550</v>
      </c>
      <c r="D132" s="426" t="s">
        <v>612</v>
      </c>
      <c r="E132" s="426">
        <v>1000055988</v>
      </c>
      <c r="F132" s="426">
        <v>72169990</v>
      </c>
      <c r="G132" s="422"/>
      <c r="H132" s="426">
        <v>18</v>
      </c>
      <c r="I132" s="423"/>
      <c r="J132" s="425" t="s">
        <v>642</v>
      </c>
      <c r="K132" s="426" t="s">
        <v>470</v>
      </c>
      <c r="L132" s="426">
        <v>3</v>
      </c>
      <c r="M132" s="565"/>
      <c r="N132" s="428" t="str">
        <f t="shared" si="43"/>
        <v>INCLUDED</v>
      </c>
      <c r="O132" s="645">
        <f t="shared" si="45"/>
        <v>0</v>
      </c>
      <c r="P132" s="645">
        <f t="shared" si="46"/>
        <v>0</v>
      </c>
      <c r="Q132" s="645">
        <f>Discount!$H$36</f>
        <v>0</v>
      </c>
      <c r="R132" s="646">
        <f t="shared" si="47"/>
        <v>0</v>
      </c>
      <c r="S132" s="646">
        <f t="shared" si="48"/>
        <v>0</v>
      </c>
      <c r="T132" s="647">
        <f t="shared" si="44"/>
        <v>0</v>
      </c>
    </row>
    <row r="133" spans="1:20" ht="31.5">
      <c r="A133" s="644">
        <v>43</v>
      </c>
      <c r="B133" s="426">
        <v>7000026861</v>
      </c>
      <c r="C133" s="426">
        <v>580</v>
      </c>
      <c r="D133" s="426" t="s">
        <v>543</v>
      </c>
      <c r="E133" s="426">
        <v>1000031964</v>
      </c>
      <c r="F133" s="426">
        <v>85446020</v>
      </c>
      <c r="G133" s="422"/>
      <c r="H133" s="426">
        <v>18</v>
      </c>
      <c r="I133" s="423"/>
      <c r="J133" s="425" t="s">
        <v>515</v>
      </c>
      <c r="K133" s="426" t="s">
        <v>493</v>
      </c>
      <c r="L133" s="426">
        <v>19.5</v>
      </c>
      <c r="M133" s="565"/>
      <c r="N133" s="428" t="str">
        <f t="shared" si="43"/>
        <v>INCLUDED</v>
      </c>
      <c r="O133" s="645">
        <f t="shared" si="45"/>
        <v>0</v>
      </c>
      <c r="P133" s="645">
        <f t="shared" si="46"/>
        <v>0</v>
      </c>
      <c r="Q133" s="645">
        <f>Discount!$H$36</f>
        <v>0</v>
      </c>
      <c r="R133" s="646">
        <f t="shared" si="47"/>
        <v>0</v>
      </c>
      <c r="S133" s="646">
        <f t="shared" si="48"/>
        <v>0</v>
      </c>
      <c r="T133" s="647">
        <f t="shared" si="44"/>
        <v>0</v>
      </c>
    </row>
    <row r="134" spans="1:20" ht="31.5">
      <c r="A134" s="648">
        <v>44</v>
      </c>
      <c r="B134" s="426">
        <v>7000026861</v>
      </c>
      <c r="C134" s="426">
        <v>590</v>
      </c>
      <c r="D134" s="426" t="s">
        <v>543</v>
      </c>
      <c r="E134" s="426">
        <v>1000031987</v>
      </c>
      <c r="F134" s="426">
        <v>85446020</v>
      </c>
      <c r="G134" s="422"/>
      <c r="H134" s="426">
        <v>18</v>
      </c>
      <c r="I134" s="423"/>
      <c r="J134" s="425" t="s">
        <v>516</v>
      </c>
      <c r="K134" s="426" t="s">
        <v>493</v>
      </c>
      <c r="L134" s="426">
        <v>37.6</v>
      </c>
      <c r="M134" s="565"/>
      <c r="N134" s="428" t="str">
        <f t="shared" si="43"/>
        <v>INCLUDED</v>
      </c>
      <c r="O134" s="645">
        <f t="shared" si="45"/>
        <v>0</v>
      </c>
      <c r="P134" s="645">
        <f t="shared" si="46"/>
        <v>0</v>
      </c>
      <c r="Q134" s="645">
        <f>Discount!$H$36</f>
        <v>0</v>
      </c>
      <c r="R134" s="646">
        <f t="shared" si="47"/>
        <v>0</v>
      </c>
      <c r="S134" s="646">
        <f t="shared" si="48"/>
        <v>0</v>
      </c>
      <c r="T134" s="647">
        <f t="shared" si="44"/>
        <v>0</v>
      </c>
    </row>
    <row r="135" spans="1:20" ht="31.5">
      <c r="A135" s="644">
        <v>45</v>
      </c>
      <c r="B135" s="426">
        <v>7000026861</v>
      </c>
      <c r="C135" s="426">
        <v>600</v>
      </c>
      <c r="D135" s="426" t="s">
        <v>543</v>
      </c>
      <c r="E135" s="426">
        <v>1000031993</v>
      </c>
      <c r="F135" s="426">
        <v>85446020</v>
      </c>
      <c r="G135" s="422"/>
      <c r="H135" s="426">
        <v>18</v>
      </c>
      <c r="I135" s="423"/>
      <c r="J135" s="425" t="s">
        <v>643</v>
      </c>
      <c r="K135" s="426" t="s">
        <v>493</v>
      </c>
      <c r="L135" s="426">
        <v>5.5</v>
      </c>
      <c r="M135" s="565"/>
      <c r="N135" s="428" t="str">
        <f t="shared" si="43"/>
        <v>INCLUDED</v>
      </c>
      <c r="O135" s="645">
        <f t="shared" si="45"/>
        <v>0</v>
      </c>
      <c r="P135" s="645">
        <f t="shared" si="46"/>
        <v>0</v>
      </c>
      <c r="Q135" s="645">
        <f>Discount!$H$36</f>
        <v>0</v>
      </c>
      <c r="R135" s="646">
        <f t="shared" si="47"/>
        <v>0</v>
      </c>
      <c r="S135" s="646">
        <f t="shared" si="48"/>
        <v>0</v>
      </c>
      <c r="T135" s="647">
        <f t="shared" si="44"/>
        <v>0</v>
      </c>
    </row>
    <row r="136" spans="1:20" ht="31.5">
      <c r="A136" s="644">
        <v>46</v>
      </c>
      <c r="B136" s="426">
        <v>7000026861</v>
      </c>
      <c r="C136" s="426">
        <v>610</v>
      </c>
      <c r="D136" s="426" t="s">
        <v>543</v>
      </c>
      <c r="E136" s="426">
        <v>1000031887</v>
      </c>
      <c r="F136" s="426">
        <v>85446020</v>
      </c>
      <c r="G136" s="422"/>
      <c r="H136" s="426">
        <v>18</v>
      </c>
      <c r="I136" s="423"/>
      <c r="J136" s="425" t="s">
        <v>517</v>
      </c>
      <c r="K136" s="426" t="s">
        <v>493</v>
      </c>
      <c r="L136" s="426">
        <v>11.3</v>
      </c>
      <c r="M136" s="565"/>
      <c r="N136" s="428" t="str">
        <f t="shared" si="43"/>
        <v>INCLUDED</v>
      </c>
      <c r="O136" s="645">
        <f t="shared" si="45"/>
        <v>0</v>
      </c>
      <c r="P136" s="645">
        <f t="shared" si="46"/>
        <v>0</v>
      </c>
      <c r="Q136" s="645">
        <f>Discount!$H$36</f>
        <v>0</v>
      </c>
      <c r="R136" s="646">
        <f t="shared" si="47"/>
        <v>0</v>
      </c>
      <c r="S136" s="646">
        <f t="shared" si="48"/>
        <v>0</v>
      </c>
      <c r="T136" s="647">
        <f t="shared" si="44"/>
        <v>0</v>
      </c>
    </row>
    <row r="137" spans="1:20" ht="31.5">
      <c r="A137" s="648">
        <v>47</v>
      </c>
      <c r="B137" s="426">
        <v>7000026861</v>
      </c>
      <c r="C137" s="426">
        <v>620</v>
      </c>
      <c r="D137" s="426" t="s">
        <v>543</v>
      </c>
      <c r="E137" s="426">
        <v>1000031904</v>
      </c>
      <c r="F137" s="426">
        <v>85446020</v>
      </c>
      <c r="G137" s="422"/>
      <c r="H137" s="426">
        <v>18</v>
      </c>
      <c r="I137" s="423"/>
      <c r="J137" s="425" t="s">
        <v>644</v>
      </c>
      <c r="K137" s="426" t="s">
        <v>493</v>
      </c>
      <c r="L137" s="426">
        <v>9.8000000000000007</v>
      </c>
      <c r="M137" s="565"/>
      <c r="N137" s="428" t="str">
        <f t="shared" si="43"/>
        <v>INCLUDED</v>
      </c>
      <c r="O137" s="645">
        <f t="shared" si="45"/>
        <v>0</v>
      </c>
      <c r="P137" s="645">
        <f t="shared" si="46"/>
        <v>0</v>
      </c>
      <c r="Q137" s="645">
        <f>Discount!$H$36</f>
        <v>0</v>
      </c>
      <c r="R137" s="646">
        <f t="shared" si="47"/>
        <v>0</v>
      </c>
      <c r="S137" s="646">
        <f t="shared" si="48"/>
        <v>0</v>
      </c>
      <c r="T137" s="647">
        <f t="shared" si="44"/>
        <v>0</v>
      </c>
    </row>
    <row r="138" spans="1:20" ht="31.5">
      <c r="A138" s="644">
        <v>48</v>
      </c>
      <c r="B138" s="426">
        <v>7000026861</v>
      </c>
      <c r="C138" s="426">
        <v>630</v>
      </c>
      <c r="D138" s="426" t="s">
        <v>543</v>
      </c>
      <c r="E138" s="426">
        <v>1000031908</v>
      </c>
      <c r="F138" s="426">
        <v>85446020</v>
      </c>
      <c r="G138" s="422"/>
      <c r="H138" s="426">
        <v>18</v>
      </c>
      <c r="I138" s="423"/>
      <c r="J138" s="425" t="s">
        <v>645</v>
      </c>
      <c r="K138" s="426" t="s">
        <v>493</v>
      </c>
      <c r="L138" s="426">
        <v>3.5</v>
      </c>
      <c r="M138" s="565"/>
      <c r="N138" s="428" t="str">
        <f t="shared" si="43"/>
        <v>INCLUDED</v>
      </c>
      <c r="O138" s="645">
        <f t="shared" si="45"/>
        <v>0</v>
      </c>
      <c r="P138" s="645">
        <f t="shared" si="46"/>
        <v>0</v>
      </c>
      <c r="Q138" s="645">
        <f>Discount!$H$36</f>
        <v>0</v>
      </c>
      <c r="R138" s="646">
        <f t="shared" si="47"/>
        <v>0</v>
      </c>
      <c r="S138" s="646">
        <f t="shared" si="48"/>
        <v>0</v>
      </c>
      <c r="T138" s="647">
        <f t="shared" si="44"/>
        <v>0</v>
      </c>
    </row>
    <row r="139" spans="1:20" ht="31.5">
      <c r="A139" s="644">
        <v>49</v>
      </c>
      <c r="B139" s="426">
        <v>7000026861</v>
      </c>
      <c r="C139" s="426">
        <v>640</v>
      </c>
      <c r="D139" s="426" t="s">
        <v>543</v>
      </c>
      <c r="E139" s="426">
        <v>1000031927</v>
      </c>
      <c r="F139" s="426">
        <v>85446020</v>
      </c>
      <c r="G139" s="422"/>
      <c r="H139" s="426">
        <v>18</v>
      </c>
      <c r="I139" s="423"/>
      <c r="J139" s="425" t="s">
        <v>646</v>
      </c>
      <c r="K139" s="426" t="s">
        <v>493</v>
      </c>
      <c r="L139" s="426">
        <v>3</v>
      </c>
      <c r="M139" s="565"/>
      <c r="N139" s="428" t="str">
        <f t="shared" si="43"/>
        <v>INCLUDED</v>
      </c>
      <c r="O139" s="645">
        <f t="shared" si="45"/>
        <v>0</v>
      </c>
      <c r="P139" s="645">
        <f t="shared" si="46"/>
        <v>0</v>
      </c>
      <c r="Q139" s="645">
        <f>Discount!$H$36</f>
        <v>0</v>
      </c>
      <c r="R139" s="646">
        <f t="shared" si="47"/>
        <v>0</v>
      </c>
      <c r="S139" s="646">
        <f t="shared" si="48"/>
        <v>0</v>
      </c>
      <c r="T139" s="647">
        <f t="shared" si="44"/>
        <v>0</v>
      </c>
    </row>
    <row r="140" spans="1:20" ht="31.5">
      <c r="A140" s="648">
        <v>50</v>
      </c>
      <c r="B140" s="426">
        <v>7000026861</v>
      </c>
      <c r="C140" s="426">
        <v>650</v>
      </c>
      <c r="D140" s="426" t="s">
        <v>543</v>
      </c>
      <c r="E140" s="426">
        <v>1000032049</v>
      </c>
      <c r="F140" s="426">
        <v>85446020</v>
      </c>
      <c r="G140" s="422"/>
      <c r="H140" s="426">
        <v>18</v>
      </c>
      <c r="I140" s="423"/>
      <c r="J140" s="425" t="s">
        <v>590</v>
      </c>
      <c r="K140" s="426" t="s">
        <v>493</v>
      </c>
      <c r="L140" s="426">
        <v>6.3</v>
      </c>
      <c r="M140" s="565"/>
      <c r="N140" s="428" t="str">
        <f t="shared" si="43"/>
        <v>INCLUDED</v>
      </c>
      <c r="O140" s="645">
        <f t="shared" si="45"/>
        <v>0</v>
      </c>
      <c r="P140" s="645">
        <f t="shared" si="46"/>
        <v>0</v>
      </c>
      <c r="Q140" s="645">
        <f>Discount!$H$36</f>
        <v>0</v>
      </c>
      <c r="R140" s="646">
        <f t="shared" si="47"/>
        <v>0</v>
      </c>
      <c r="S140" s="646">
        <f t="shared" si="48"/>
        <v>0</v>
      </c>
      <c r="T140" s="647">
        <f t="shared" si="44"/>
        <v>0</v>
      </c>
    </row>
    <row r="141" spans="1:20" ht="31.5">
      <c r="A141" s="644">
        <v>51</v>
      </c>
      <c r="B141" s="426">
        <v>7000026861</v>
      </c>
      <c r="C141" s="426">
        <v>660</v>
      </c>
      <c r="D141" s="426" t="s">
        <v>543</v>
      </c>
      <c r="E141" s="426">
        <v>1000031957</v>
      </c>
      <c r="F141" s="426">
        <v>85446020</v>
      </c>
      <c r="G141" s="422"/>
      <c r="H141" s="426">
        <v>18</v>
      </c>
      <c r="I141" s="423"/>
      <c r="J141" s="425" t="s">
        <v>522</v>
      </c>
      <c r="K141" s="426" t="s">
        <v>493</v>
      </c>
      <c r="L141" s="426">
        <v>3.5</v>
      </c>
      <c r="M141" s="565"/>
      <c r="N141" s="428" t="str">
        <f t="shared" si="43"/>
        <v>INCLUDED</v>
      </c>
      <c r="O141" s="645">
        <f t="shared" si="45"/>
        <v>0</v>
      </c>
      <c r="P141" s="645">
        <f t="shared" si="46"/>
        <v>0</v>
      </c>
      <c r="Q141" s="645">
        <f>Discount!$H$36</f>
        <v>0</v>
      </c>
      <c r="R141" s="646">
        <f t="shared" si="47"/>
        <v>0</v>
      </c>
      <c r="S141" s="646">
        <f t="shared" si="48"/>
        <v>0</v>
      </c>
      <c r="T141" s="647">
        <f t="shared" si="44"/>
        <v>0</v>
      </c>
    </row>
    <row r="142" spans="1:20" ht="31.5">
      <c r="A142" s="644">
        <v>52</v>
      </c>
      <c r="B142" s="426">
        <v>7000026861</v>
      </c>
      <c r="C142" s="426">
        <v>670</v>
      </c>
      <c r="D142" s="426" t="s">
        <v>543</v>
      </c>
      <c r="E142" s="426">
        <v>1000031953</v>
      </c>
      <c r="F142" s="426">
        <v>85446020</v>
      </c>
      <c r="G142" s="422"/>
      <c r="H142" s="426">
        <v>18</v>
      </c>
      <c r="I142" s="423"/>
      <c r="J142" s="425" t="s">
        <v>523</v>
      </c>
      <c r="K142" s="426" t="s">
        <v>493</v>
      </c>
      <c r="L142" s="426">
        <v>0.53</v>
      </c>
      <c r="M142" s="565"/>
      <c r="N142" s="428" t="str">
        <f t="shared" si="43"/>
        <v>INCLUDED</v>
      </c>
      <c r="O142" s="645">
        <f t="shared" si="45"/>
        <v>0</v>
      </c>
      <c r="P142" s="645">
        <f t="shared" si="46"/>
        <v>0</v>
      </c>
      <c r="Q142" s="645">
        <f>Discount!$H$36</f>
        <v>0</v>
      </c>
      <c r="R142" s="646">
        <f t="shared" si="47"/>
        <v>0</v>
      </c>
      <c r="S142" s="646">
        <f t="shared" si="48"/>
        <v>0</v>
      </c>
      <c r="T142" s="647">
        <f t="shared" si="44"/>
        <v>0</v>
      </c>
    </row>
    <row r="143" spans="1:20" ht="31.5">
      <c r="A143" s="648">
        <v>53</v>
      </c>
      <c r="B143" s="426">
        <v>7000026861</v>
      </c>
      <c r="C143" s="426">
        <v>680</v>
      </c>
      <c r="D143" s="426" t="s">
        <v>543</v>
      </c>
      <c r="E143" s="426">
        <v>1000031943</v>
      </c>
      <c r="F143" s="426">
        <v>85446020</v>
      </c>
      <c r="G143" s="422"/>
      <c r="H143" s="426">
        <v>18</v>
      </c>
      <c r="I143" s="423"/>
      <c r="J143" s="425" t="s">
        <v>526</v>
      </c>
      <c r="K143" s="426" t="s">
        <v>493</v>
      </c>
      <c r="L143" s="426">
        <v>6.3</v>
      </c>
      <c r="M143" s="565"/>
      <c r="N143" s="428" t="str">
        <f t="shared" si="43"/>
        <v>INCLUDED</v>
      </c>
      <c r="O143" s="645">
        <f t="shared" si="45"/>
        <v>0</v>
      </c>
      <c r="P143" s="645">
        <f t="shared" si="46"/>
        <v>0</v>
      </c>
      <c r="Q143" s="645">
        <f>Discount!$H$36</f>
        <v>0</v>
      </c>
      <c r="R143" s="646">
        <f t="shared" si="47"/>
        <v>0</v>
      </c>
      <c r="S143" s="646">
        <f t="shared" si="48"/>
        <v>0</v>
      </c>
      <c r="T143" s="647">
        <f t="shared" si="44"/>
        <v>0</v>
      </c>
    </row>
    <row r="144" spans="1:20" ht="31.5">
      <c r="A144" s="644">
        <v>54</v>
      </c>
      <c r="B144" s="426">
        <v>7000026861</v>
      </c>
      <c r="C144" s="426">
        <v>690</v>
      </c>
      <c r="D144" s="426" t="s">
        <v>543</v>
      </c>
      <c r="E144" s="426">
        <v>1000031985</v>
      </c>
      <c r="F144" s="426">
        <v>85446020</v>
      </c>
      <c r="G144" s="422"/>
      <c r="H144" s="426">
        <v>18</v>
      </c>
      <c r="I144" s="423"/>
      <c r="J144" s="425" t="s">
        <v>525</v>
      </c>
      <c r="K144" s="426" t="s">
        <v>493</v>
      </c>
      <c r="L144" s="426">
        <v>8</v>
      </c>
      <c r="M144" s="565"/>
      <c r="N144" s="428" t="str">
        <f t="shared" si="43"/>
        <v>INCLUDED</v>
      </c>
      <c r="O144" s="645">
        <f t="shared" si="45"/>
        <v>0</v>
      </c>
      <c r="P144" s="645">
        <f t="shared" si="46"/>
        <v>0</v>
      </c>
      <c r="Q144" s="645">
        <f>Discount!$H$36</f>
        <v>0</v>
      </c>
      <c r="R144" s="646">
        <f t="shared" si="47"/>
        <v>0</v>
      </c>
      <c r="S144" s="646">
        <f t="shared" si="48"/>
        <v>0</v>
      </c>
      <c r="T144" s="647">
        <f t="shared" si="44"/>
        <v>0</v>
      </c>
    </row>
    <row r="145" spans="1:20" ht="31.5">
      <c r="A145" s="644">
        <v>55</v>
      </c>
      <c r="B145" s="426">
        <v>7000026861</v>
      </c>
      <c r="C145" s="426">
        <v>700</v>
      </c>
      <c r="D145" s="426" t="s">
        <v>543</v>
      </c>
      <c r="E145" s="426">
        <v>1000031951</v>
      </c>
      <c r="F145" s="426">
        <v>85446090</v>
      </c>
      <c r="G145" s="422"/>
      <c r="H145" s="426">
        <v>18</v>
      </c>
      <c r="I145" s="423"/>
      <c r="J145" s="425" t="s">
        <v>521</v>
      </c>
      <c r="K145" s="426" t="s">
        <v>493</v>
      </c>
      <c r="L145" s="426">
        <v>2.5</v>
      </c>
      <c r="M145" s="565"/>
      <c r="N145" s="428" t="str">
        <f t="shared" si="43"/>
        <v>INCLUDED</v>
      </c>
      <c r="O145" s="645">
        <f t="shared" si="45"/>
        <v>0</v>
      </c>
      <c r="P145" s="645">
        <f t="shared" si="46"/>
        <v>0</v>
      </c>
      <c r="Q145" s="645">
        <f>Discount!$H$36</f>
        <v>0</v>
      </c>
      <c r="R145" s="646">
        <f t="shared" si="47"/>
        <v>0</v>
      </c>
      <c r="S145" s="646">
        <f t="shared" si="48"/>
        <v>0</v>
      </c>
      <c r="T145" s="647">
        <f t="shared" si="44"/>
        <v>0</v>
      </c>
    </row>
    <row r="146" spans="1:20" ht="31.5">
      <c r="A146" s="648">
        <v>56</v>
      </c>
      <c r="B146" s="426">
        <v>7000026861</v>
      </c>
      <c r="C146" s="426">
        <v>710</v>
      </c>
      <c r="D146" s="426" t="s">
        <v>543</v>
      </c>
      <c r="E146" s="426">
        <v>1000031976</v>
      </c>
      <c r="F146" s="426">
        <v>85446020</v>
      </c>
      <c r="G146" s="422"/>
      <c r="H146" s="426">
        <v>18</v>
      </c>
      <c r="I146" s="423"/>
      <c r="J146" s="425" t="s">
        <v>524</v>
      </c>
      <c r="K146" s="426" t="s">
        <v>493</v>
      </c>
      <c r="L146" s="426">
        <v>0.53</v>
      </c>
      <c r="M146" s="565"/>
      <c r="N146" s="428" t="str">
        <f t="shared" si="43"/>
        <v>INCLUDED</v>
      </c>
      <c r="O146" s="645">
        <f t="shared" si="45"/>
        <v>0</v>
      </c>
      <c r="P146" s="645">
        <f t="shared" si="46"/>
        <v>0</v>
      </c>
      <c r="Q146" s="645">
        <f>Discount!$H$36</f>
        <v>0</v>
      </c>
      <c r="R146" s="646">
        <f t="shared" si="47"/>
        <v>0</v>
      </c>
      <c r="S146" s="646">
        <f t="shared" si="48"/>
        <v>0</v>
      </c>
      <c r="T146" s="647">
        <f t="shared" si="44"/>
        <v>0</v>
      </c>
    </row>
    <row r="147" spans="1:20" ht="31.5">
      <c r="A147" s="644">
        <v>57</v>
      </c>
      <c r="B147" s="426">
        <v>7000026861</v>
      </c>
      <c r="C147" s="426">
        <v>720</v>
      </c>
      <c r="D147" s="426" t="s">
        <v>543</v>
      </c>
      <c r="E147" s="426">
        <v>1000031912</v>
      </c>
      <c r="F147" s="426">
        <v>85446090</v>
      </c>
      <c r="G147" s="422"/>
      <c r="H147" s="426">
        <v>18</v>
      </c>
      <c r="I147" s="423"/>
      <c r="J147" s="425" t="s">
        <v>647</v>
      </c>
      <c r="K147" s="426" t="s">
        <v>493</v>
      </c>
      <c r="L147" s="426">
        <v>2.5</v>
      </c>
      <c r="M147" s="565"/>
      <c r="N147" s="428" t="str">
        <f t="shared" si="43"/>
        <v>INCLUDED</v>
      </c>
      <c r="O147" s="645">
        <f t="shared" si="45"/>
        <v>0</v>
      </c>
      <c r="P147" s="645">
        <f t="shared" si="46"/>
        <v>0</v>
      </c>
      <c r="Q147" s="645">
        <f>Discount!$H$36</f>
        <v>0</v>
      </c>
      <c r="R147" s="646">
        <f t="shared" si="47"/>
        <v>0</v>
      </c>
      <c r="S147" s="646">
        <f t="shared" si="48"/>
        <v>0</v>
      </c>
      <c r="T147" s="647">
        <f t="shared" si="44"/>
        <v>0</v>
      </c>
    </row>
    <row r="148" spans="1:20" ht="31.5">
      <c r="A148" s="644">
        <v>58</v>
      </c>
      <c r="B148" s="426">
        <v>7000026861</v>
      </c>
      <c r="C148" s="426">
        <v>740</v>
      </c>
      <c r="D148" s="426" t="s">
        <v>544</v>
      </c>
      <c r="E148" s="426">
        <v>1000055460</v>
      </c>
      <c r="F148" s="426">
        <v>84248990</v>
      </c>
      <c r="G148" s="422"/>
      <c r="H148" s="426">
        <v>18</v>
      </c>
      <c r="I148" s="423"/>
      <c r="J148" s="425" t="s">
        <v>648</v>
      </c>
      <c r="K148" s="426" t="s">
        <v>471</v>
      </c>
      <c r="L148" s="426">
        <v>3</v>
      </c>
      <c r="M148" s="565"/>
      <c r="N148" s="428" t="str">
        <f t="shared" si="43"/>
        <v>INCLUDED</v>
      </c>
      <c r="O148" s="645">
        <f t="shared" si="45"/>
        <v>0</v>
      </c>
      <c r="P148" s="645">
        <f t="shared" si="46"/>
        <v>0</v>
      </c>
      <c r="Q148" s="645">
        <f>Discount!$H$36</f>
        <v>0</v>
      </c>
      <c r="R148" s="646">
        <f t="shared" si="47"/>
        <v>0</v>
      </c>
      <c r="S148" s="646">
        <f t="shared" si="48"/>
        <v>0</v>
      </c>
      <c r="T148" s="647">
        <f t="shared" si="44"/>
        <v>0</v>
      </c>
    </row>
    <row r="149" spans="1:20">
      <c r="A149" s="648">
        <v>59</v>
      </c>
      <c r="B149" s="426">
        <v>7000026861</v>
      </c>
      <c r="C149" s="426">
        <v>750</v>
      </c>
      <c r="D149" s="426" t="s">
        <v>545</v>
      </c>
      <c r="E149" s="426">
        <v>1000014547</v>
      </c>
      <c r="F149" s="426">
        <v>85371000</v>
      </c>
      <c r="G149" s="422"/>
      <c r="H149" s="426">
        <v>18</v>
      </c>
      <c r="I149" s="423"/>
      <c r="J149" s="425" t="s">
        <v>508</v>
      </c>
      <c r="K149" s="426" t="s">
        <v>470</v>
      </c>
      <c r="L149" s="426">
        <v>1</v>
      </c>
      <c r="M149" s="565"/>
      <c r="N149" s="428" t="str">
        <f t="shared" si="43"/>
        <v>INCLUDED</v>
      </c>
      <c r="O149" s="645">
        <f t="shared" si="45"/>
        <v>0</v>
      </c>
      <c r="P149" s="645">
        <f t="shared" si="46"/>
        <v>0</v>
      </c>
      <c r="Q149" s="645">
        <f>Discount!$H$36</f>
        <v>0</v>
      </c>
      <c r="R149" s="646">
        <f t="shared" si="47"/>
        <v>0</v>
      </c>
      <c r="S149" s="646">
        <f t="shared" si="48"/>
        <v>0</v>
      </c>
      <c r="T149" s="647">
        <f t="shared" si="44"/>
        <v>0</v>
      </c>
    </row>
    <row r="150" spans="1:20">
      <c r="A150" s="644">
        <v>60</v>
      </c>
      <c r="B150" s="426">
        <v>7000026861</v>
      </c>
      <c r="C150" s="426">
        <v>760</v>
      </c>
      <c r="D150" s="426" t="s">
        <v>545</v>
      </c>
      <c r="E150" s="426">
        <v>1000001894</v>
      </c>
      <c r="F150" s="426">
        <v>94059900</v>
      </c>
      <c r="G150" s="422"/>
      <c r="H150" s="426">
        <v>18</v>
      </c>
      <c r="I150" s="423"/>
      <c r="J150" s="425" t="s">
        <v>510</v>
      </c>
      <c r="K150" s="426" t="s">
        <v>470</v>
      </c>
      <c r="L150" s="426">
        <v>1</v>
      </c>
      <c r="M150" s="565"/>
      <c r="N150" s="428" t="str">
        <f t="shared" si="43"/>
        <v>INCLUDED</v>
      </c>
      <c r="O150" s="645">
        <f t="shared" si="45"/>
        <v>0</v>
      </c>
      <c r="P150" s="645">
        <f t="shared" si="46"/>
        <v>0</v>
      </c>
      <c r="Q150" s="645">
        <f>Discount!$H$36</f>
        <v>0</v>
      </c>
      <c r="R150" s="646">
        <f t="shared" si="47"/>
        <v>0</v>
      </c>
      <c r="S150" s="646">
        <f t="shared" si="48"/>
        <v>0</v>
      </c>
      <c r="T150" s="647">
        <f t="shared" si="44"/>
        <v>0</v>
      </c>
    </row>
    <row r="151" spans="1:20">
      <c r="A151" s="644">
        <v>61</v>
      </c>
      <c r="B151" s="426">
        <v>7000026861</v>
      </c>
      <c r="C151" s="426">
        <v>770</v>
      </c>
      <c r="D151" s="426" t="s">
        <v>545</v>
      </c>
      <c r="E151" s="426">
        <v>1000038387</v>
      </c>
      <c r="F151" s="426">
        <v>94051090</v>
      </c>
      <c r="G151" s="422"/>
      <c r="H151" s="426">
        <v>18</v>
      </c>
      <c r="I151" s="423"/>
      <c r="J151" s="425" t="s">
        <v>550</v>
      </c>
      <c r="K151" s="426" t="s">
        <v>470</v>
      </c>
      <c r="L151" s="426">
        <v>10</v>
      </c>
      <c r="M151" s="565"/>
      <c r="N151" s="428" t="str">
        <f t="shared" si="43"/>
        <v>INCLUDED</v>
      </c>
      <c r="O151" s="645">
        <f t="shared" si="45"/>
        <v>0</v>
      </c>
      <c r="P151" s="645">
        <f t="shared" si="46"/>
        <v>0</v>
      </c>
      <c r="Q151" s="645">
        <f>Discount!$H$36</f>
        <v>0</v>
      </c>
      <c r="R151" s="646">
        <f t="shared" si="47"/>
        <v>0</v>
      </c>
      <c r="S151" s="646">
        <f t="shared" si="48"/>
        <v>0</v>
      </c>
      <c r="T151" s="647">
        <f t="shared" si="44"/>
        <v>0</v>
      </c>
    </row>
    <row r="152" spans="1:20">
      <c r="A152" s="648">
        <v>62</v>
      </c>
      <c r="B152" s="426">
        <v>7000026861</v>
      </c>
      <c r="C152" s="426">
        <v>780</v>
      </c>
      <c r="D152" s="426" t="s">
        <v>545</v>
      </c>
      <c r="E152" s="426">
        <v>1000038325</v>
      </c>
      <c r="F152" s="426">
        <v>94059900</v>
      </c>
      <c r="G152" s="422"/>
      <c r="H152" s="426">
        <v>18</v>
      </c>
      <c r="I152" s="423"/>
      <c r="J152" s="425" t="s">
        <v>509</v>
      </c>
      <c r="K152" s="426" t="s">
        <v>470</v>
      </c>
      <c r="L152" s="426">
        <v>10</v>
      </c>
      <c r="M152" s="565"/>
      <c r="N152" s="428" t="str">
        <f t="shared" si="43"/>
        <v>INCLUDED</v>
      </c>
      <c r="O152" s="645">
        <f t="shared" si="45"/>
        <v>0</v>
      </c>
      <c r="P152" s="645">
        <f t="shared" si="46"/>
        <v>0</v>
      </c>
      <c r="Q152" s="645">
        <f>Discount!$H$36</f>
        <v>0</v>
      </c>
      <c r="R152" s="646">
        <f t="shared" si="47"/>
        <v>0</v>
      </c>
      <c r="S152" s="646">
        <f t="shared" si="48"/>
        <v>0</v>
      </c>
      <c r="T152" s="647">
        <f t="shared" si="44"/>
        <v>0</v>
      </c>
    </row>
    <row r="153" spans="1:20">
      <c r="A153" s="644">
        <v>63</v>
      </c>
      <c r="B153" s="426">
        <v>7000026861</v>
      </c>
      <c r="C153" s="426">
        <v>790</v>
      </c>
      <c r="D153" s="426" t="s">
        <v>545</v>
      </c>
      <c r="E153" s="426">
        <v>1000038385</v>
      </c>
      <c r="F153" s="426">
        <v>94059900</v>
      </c>
      <c r="G153" s="422"/>
      <c r="H153" s="426">
        <v>18</v>
      </c>
      <c r="I153" s="423"/>
      <c r="J153" s="425" t="s">
        <v>548</v>
      </c>
      <c r="K153" s="426" t="s">
        <v>470</v>
      </c>
      <c r="L153" s="426">
        <v>6</v>
      </c>
      <c r="M153" s="565"/>
      <c r="N153" s="428" t="str">
        <f t="shared" si="43"/>
        <v>INCLUDED</v>
      </c>
      <c r="O153" s="645">
        <f t="shared" si="45"/>
        <v>0</v>
      </c>
      <c r="P153" s="645">
        <f t="shared" si="46"/>
        <v>0</v>
      </c>
      <c r="Q153" s="645">
        <f>Discount!$H$36</f>
        <v>0</v>
      </c>
      <c r="R153" s="646">
        <f t="shared" si="47"/>
        <v>0</v>
      </c>
      <c r="S153" s="646">
        <f t="shared" si="48"/>
        <v>0</v>
      </c>
      <c r="T153" s="647">
        <f t="shared" si="44"/>
        <v>0</v>
      </c>
    </row>
    <row r="154" spans="1:20">
      <c r="A154" s="644">
        <v>64</v>
      </c>
      <c r="B154" s="426">
        <v>7000026861</v>
      </c>
      <c r="C154" s="426">
        <v>800</v>
      </c>
      <c r="D154" s="426" t="s">
        <v>545</v>
      </c>
      <c r="E154" s="426">
        <v>1000020262</v>
      </c>
      <c r="F154" s="426">
        <v>85371000</v>
      </c>
      <c r="G154" s="422"/>
      <c r="H154" s="426">
        <v>18</v>
      </c>
      <c r="I154" s="423"/>
      <c r="J154" s="425" t="s">
        <v>588</v>
      </c>
      <c r="K154" s="426" t="s">
        <v>470</v>
      </c>
      <c r="L154" s="426">
        <v>2</v>
      </c>
      <c r="M154" s="565"/>
      <c r="N154" s="428" t="str">
        <f t="shared" si="43"/>
        <v>INCLUDED</v>
      </c>
      <c r="O154" s="645">
        <f t="shared" si="45"/>
        <v>0</v>
      </c>
      <c r="P154" s="645">
        <f t="shared" si="46"/>
        <v>0</v>
      </c>
      <c r="Q154" s="645">
        <f>Discount!$H$36</f>
        <v>0</v>
      </c>
      <c r="R154" s="646">
        <f t="shared" si="47"/>
        <v>0</v>
      </c>
      <c r="S154" s="646">
        <f t="shared" si="48"/>
        <v>0</v>
      </c>
      <c r="T154" s="647">
        <f t="shared" si="44"/>
        <v>0</v>
      </c>
    </row>
    <row r="155" spans="1:20" ht="78.75">
      <c r="A155" s="648">
        <v>65</v>
      </c>
      <c r="B155" s="426">
        <v>7000026861</v>
      </c>
      <c r="C155" s="426">
        <v>820</v>
      </c>
      <c r="D155" s="426" t="s">
        <v>571</v>
      </c>
      <c r="E155" s="426">
        <v>1000030433</v>
      </c>
      <c r="F155" s="426">
        <v>85287390</v>
      </c>
      <c r="G155" s="422"/>
      <c r="H155" s="426">
        <v>18</v>
      </c>
      <c r="I155" s="423"/>
      <c r="J155" s="425" t="s">
        <v>589</v>
      </c>
      <c r="K155" s="426" t="s">
        <v>471</v>
      </c>
      <c r="L155" s="426">
        <v>1</v>
      </c>
      <c r="M155" s="565"/>
      <c r="N155" s="428" t="str">
        <f t="shared" si="43"/>
        <v>INCLUDED</v>
      </c>
      <c r="O155" s="645">
        <f t="shared" si="45"/>
        <v>0</v>
      </c>
      <c r="P155" s="645">
        <f t="shared" si="46"/>
        <v>0</v>
      </c>
      <c r="Q155" s="645">
        <f>Discount!$H$36</f>
        <v>0</v>
      </c>
      <c r="R155" s="646">
        <f t="shared" si="47"/>
        <v>0</v>
      </c>
      <c r="S155" s="646">
        <f t="shared" si="48"/>
        <v>0</v>
      </c>
      <c r="T155" s="647">
        <f t="shared" si="44"/>
        <v>0</v>
      </c>
    </row>
    <row r="156" spans="1:20">
      <c r="A156" s="644">
        <v>66</v>
      </c>
      <c r="B156" s="426">
        <v>7000026861</v>
      </c>
      <c r="C156" s="426">
        <v>840</v>
      </c>
      <c r="D156" s="426" t="s">
        <v>613</v>
      </c>
      <c r="E156" s="426">
        <v>1000027625</v>
      </c>
      <c r="F156" s="426">
        <v>85352919</v>
      </c>
      <c r="G156" s="422"/>
      <c r="H156" s="426">
        <v>18</v>
      </c>
      <c r="I156" s="423"/>
      <c r="J156" s="425" t="s">
        <v>649</v>
      </c>
      <c r="K156" s="426" t="s">
        <v>505</v>
      </c>
      <c r="L156" s="426">
        <v>1</v>
      </c>
      <c r="M156" s="565"/>
      <c r="N156" s="428" t="str">
        <f t="shared" si="43"/>
        <v>INCLUDED</v>
      </c>
      <c r="O156" s="645">
        <f t="shared" si="45"/>
        <v>0</v>
      </c>
      <c r="P156" s="645">
        <f t="shared" si="46"/>
        <v>0</v>
      </c>
      <c r="Q156" s="645">
        <f>Discount!$H$36</f>
        <v>0</v>
      </c>
      <c r="R156" s="646">
        <f t="shared" si="47"/>
        <v>0</v>
      </c>
      <c r="S156" s="646">
        <f t="shared" si="48"/>
        <v>0</v>
      </c>
      <c r="T156" s="647">
        <f t="shared" si="44"/>
        <v>0</v>
      </c>
    </row>
    <row r="157" spans="1:20">
      <c r="A157" s="644">
        <v>67</v>
      </c>
      <c r="B157" s="426">
        <v>7000026861</v>
      </c>
      <c r="C157" s="426">
        <v>850</v>
      </c>
      <c r="D157" s="426" t="s">
        <v>613</v>
      </c>
      <c r="E157" s="426">
        <v>1000028091</v>
      </c>
      <c r="F157" s="426">
        <v>85353090</v>
      </c>
      <c r="G157" s="422"/>
      <c r="H157" s="426">
        <v>18</v>
      </c>
      <c r="I157" s="423"/>
      <c r="J157" s="425" t="s">
        <v>650</v>
      </c>
      <c r="K157" s="426" t="s">
        <v>505</v>
      </c>
      <c r="L157" s="426">
        <v>1</v>
      </c>
      <c r="M157" s="565"/>
      <c r="N157" s="428" t="str">
        <f t="shared" si="37"/>
        <v>INCLUDED</v>
      </c>
      <c r="O157" s="645">
        <f t="shared" si="38"/>
        <v>0</v>
      </c>
      <c r="P157" s="645">
        <f t="shared" si="39"/>
        <v>0</v>
      </c>
      <c r="Q157" s="645">
        <f>Discount!$H$36</f>
        <v>0</v>
      </c>
      <c r="R157" s="646">
        <f t="shared" si="40"/>
        <v>0</v>
      </c>
      <c r="S157" s="646">
        <f t="shared" si="41"/>
        <v>0</v>
      </c>
      <c r="T157" s="647">
        <f t="shared" si="42"/>
        <v>0</v>
      </c>
    </row>
    <row r="158" spans="1:20">
      <c r="A158" s="648">
        <v>68</v>
      </c>
      <c r="B158" s="426">
        <v>7000026861</v>
      </c>
      <c r="C158" s="426">
        <v>860</v>
      </c>
      <c r="D158" s="426" t="s">
        <v>613</v>
      </c>
      <c r="E158" s="426">
        <v>1000054976</v>
      </c>
      <c r="F158" s="426">
        <v>85352919</v>
      </c>
      <c r="G158" s="422"/>
      <c r="H158" s="426">
        <v>18</v>
      </c>
      <c r="I158" s="423"/>
      <c r="J158" s="425" t="s">
        <v>651</v>
      </c>
      <c r="K158" s="426" t="s">
        <v>505</v>
      </c>
      <c r="L158" s="426">
        <v>1</v>
      </c>
      <c r="M158" s="565"/>
      <c r="N158" s="428" t="str">
        <f t="shared" si="37"/>
        <v>INCLUDED</v>
      </c>
      <c r="O158" s="645">
        <f>IF(N158="Included",0,N158)</f>
        <v>0</v>
      </c>
      <c r="P158" s="645">
        <f>IF( I158="",H158*(IF(N158="Included",0,N158))/100,I158*(IF(N158="Included",0,N158)))</f>
        <v>0</v>
      </c>
      <c r="Q158" s="645">
        <f>Discount!$H$36</f>
        <v>0</v>
      </c>
      <c r="R158" s="646">
        <f>Q158*O158</f>
        <v>0</v>
      </c>
      <c r="S158" s="646">
        <f>IF(I158="",H158*R158/100,I158*R158)</f>
        <v>0</v>
      </c>
      <c r="T158" s="647">
        <f t="shared" si="42"/>
        <v>0</v>
      </c>
    </row>
    <row r="159" spans="1:20">
      <c r="A159" s="644">
        <v>69</v>
      </c>
      <c r="B159" s="426">
        <v>7000026861</v>
      </c>
      <c r="C159" s="426">
        <v>870</v>
      </c>
      <c r="D159" s="426" t="s">
        <v>613</v>
      </c>
      <c r="E159" s="426">
        <v>1000028372</v>
      </c>
      <c r="F159" s="426">
        <v>85354010</v>
      </c>
      <c r="G159" s="422"/>
      <c r="H159" s="426">
        <v>18</v>
      </c>
      <c r="I159" s="423"/>
      <c r="J159" s="425" t="s">
        <v>652</v>
      </c>
      <c r="K159" s="426" t="s">
        <v>506</v>
      </c>
      <c r="L159" s="426">
        <v>1</v>
      </c>
      <c r="M159" s="565"/>
      <c r="N159" s="428" t="str">
        <f t="shared" si="37"/>
        <v>INCLUDED</v>
      </c>
      <c r="O159" s="645">
        <f>IF(N159="Included",0,N159)</f>
        <v>0</v>
      </c>
      <c r="P159" s="645">
        <f>IF( I159="",H159*(IF(N159="Included",0,N159))/100,I159*(IF(N159="Included",0,N159)))</f>
        <v>0</v>
      </c>
      <c r="Q159" s="645">
        <f>Discount!$H$36</f>
        <v>0</v>
      </c>
      <c r="R159" s="646">
        <f>Q159*O159</f>
        <v>0</v>
      </c>
      <c r="S159" s="646">
        <f>IF(I159="",H159*R159/100,I159*R159)</f>
        <v>0</v>
      </c>
      <c r="T159" s="647">
        <f t="shared" si="42"/>
        <v>0</v>
      </c>
    </row>
    <row r="160" spans="1:20">
      <c r="A160" s="644">
        <v>70</v>
      </c>
      <c r="B160" s="426">
        <v>7000026861</v>
      </c>
      <c r="C160" s="426">
        <v>880</v>
      </c>
      <c r="D160" s="426" t="s">
        <v>613</v>
      </c>
      <c r="E160" s="426">
        <v>1000019918</v>
      </c>
      <c r="F160" s="426">
        <v>85359090</v>
      </c>
      <c r="G160" s="422"/>
      <c r="H160" s="426">
        <v>18</v>
      </c>
      <c r="I160" s="423"/>
      <c r="J160" s="425" t="s">
        <v>527</v>
      </c>
      <c r="K160" s="426" t="s">
        <v>506</v>
      </c>
      <c r="L160" s="426">
        <v>1</v>
      </c>
      <c r="M160" s="565"/>
      <c r="N160" s="428" t="str">
        <f t="shared" si="37"/>
        <v>INCLUDED</v>
      </c>
      <c r="O160" s="645">
        <f>IF(N160="Included",0,N160)</f>
        <v>0</v>
      </c>
      <c r="P160" s="645">
        <f>IF( I160="",H160*(IF(N160="Included",0,N160))/100,I160*(IF(N160="Included",0,N160)))</f>
        <v>0</v>
      </c>
      <c r="Q160" s="645">
        <f>Discount!$H$36</f>
        <v>0</v>
      </c>
      <c r="R160" s="646">
        <f>Q160*O160</f>
        <v>0</v>
      </c>
      <c r="S160" s="646">
        <f>IF(I160="",H160*R160/100,I160*R160)</f>
        <v>0</v>
      </c>
      <c r="T160" s="647">
        <f t="shared" si="42"/>
        <v>0</v>
      </c>
    </row>
    <row r="161" spans="1:20">
      <c r="A161" s="648">
        <v>71</v>
      </c>
      <c r="B161" s="426">
        <v>7000026861</v>
      </c>
      <c r="C161" s="426">
        <v>890</v>
      </c>
      <c r="D161" s="426" t="s">
        <v>613</v>
      </c>
      <c r="E161" s="426">
        <v>1000019919</v>
      </c>
      <c r="F161" s="426">
        <v>85353090</v>
      </c>
      <c r="G161" s="422"/>
      <c r="H161" s="426">
        <v>18</v>
      </c>
      <c r="I161" s="423"/>
      <c r="J161" s="425" t="s">
        <v>528</v>
      </c>
      <c r="K161" s="426" t="s">
        <v>506</v>
      </c>
      <c r="L161" s="426">
        <v>1</v>
      </c>
      <c r="M161" s="565"/>
      <c r="N161" s="428" t="str">
        <f t="shared" si="37"/>
        <v>INCLUDED</v>
      </c>
      <c r="O161" s="645">
        <f t="shared" ref="O161:O192" si="49">IF(N161="Included",0,N161)</f>
        <v>0</v>
      </c>
      <c r="P161" s="645">
        <f t="shared" ref="P161:P192" si="50">IF( I161="",H161*(IF(N161="Included",0,N161))/100,I161*(IF(N161="Included",0,N161)))</f>
        <v>0</v>
      </c>
      <c r="Q161" s="645">
        <f>Discount!$H$36</f>
        <v>0</v>
      </c>
      <c r="R161" s="646">
        <f t="shared" ref="R161:R192" si="51">Q161*O161</f>
        <v>0</v>
      </c>
      <c r="S161" s="646">
        <f t="shared" ref="S161:S192" si="52">IF(I161="",H161*R161/100,I161*R161)</f>
        <v>0</v>
      </c>
      <c r="T161" s="647">
        <f t="shared" si="42"/>
        <v>0</v>
      </c>
    </row>
    <row r="162" spans="1:20">
      <c r="A162" s="644">
        <v>72</v>
      </c>
      <c r="B162" s="426">
        <v>7000026861</v>
      </c>
      <c r="C162" s="426">
        <v>900</v>
      </c>
      <c r="D162" s="426" t="s">
        <v>613</v>
      </c>
      <c r="E162" s="426">
        <v>1000025941</v>
      </c>
      <c r="F162" s="426">
        <v>85389000</v>
      </c>
      <c r="G162" s="422"/>
      <c r="H162" s="426">
        <v>18</v>
      </c>
      <c r="I162" s="423"/>
      <c r="J162" s="425" t="s">
        <v>529</v>
      </c>
      <c r="K162" s="426" t="s">
        <v>471</v>
      </c>
      <c r="L162" s="426">
        <v>1</v>
      </c>
      <c r="M162" s="565"/>
      <c r="N162" s="428" t="str">
        <f t="shared" si="37"/>
        <v>INCLUDED</v>
      </c>
      <c r="O162" s="645">
        <f t="shared" si="49"/>
        <v>0</v>
      </c>
      <c r="P162" s="645">
        <f t="shared" si="50"/>
        <v>0</v>
      </c>
      <c r="Q162" s="645">
        <f>Discount!$H$36</f>
        <v>0</v>
      </c>
      <c r="R162" s="646">
        <f t="shared" si="51"/>
        <v>0</v>
      </c>
      <c r="S162" s="646">
        <f t="shared" si="52"/>
        <v>0</v>
      </c>
      <c r="T162" s="647">
        <f t="shared" si="42"/>
        <v>0</v>
      </c>
    </row>
    <row r="163" spans="1:20">
      <c r="A163" s="644">
        <v>73</v>
      </c>
      <c r="B163" s="426">
        <v>7000026861</v>
      </c>
      <c r="C163" s="426">
        <v>910</v>
      </c>
      <c r="D163" s="426" t="s">
        <v>613</v>
      </c>
      <c r="E163" s="426">
        <v>1000024186</v>
      </c>
      <c r="F163" s="426">
        <v>85354010</v>
      </c>
      <c r="G163" s="422"/>
      <c r="H163" s="426">
        <v>18</v>
      </c>
      <c r="I163" s="423"/>
      <c r="J163" s="425" t="s">
        <v>531</v>
      </c>
      <c r="K163" s="426" t="s">
        <v>506</v>
      </c>
      <c r="L163" s="426">
        <v>1</v>
      </c>
      <c r="M163" s="565"/>
      <c r="N163" s="428" t="str">
        <f t="shared" si="37"/>
        <v>INCLUDED</v>
      </c>
      <c r="O163" s="645">
        <f t="shared" si="49"/>
        <v>0</v>
      </c>
      <c r="P163" s="645">
        <f t="shared" si="50"/>
        <v>0</v>
      </c>
      <c r="Q163" s="645">
        <f>Discount!$H$36</f>
        <v>0</v>
      </c>
      <c r="R163" s="646">
        <f t="shared" si="51"/>
        <v>0</v>
      </c>
      <c r="S163" s="646">
        <f t="shared" si="52"/>
        <v>0</v>
      </c>
      <c r="T163" s="647">
        <f t="shared" si="42"/>
        <v>0</v>
      </c>
    </row>
    <row r="164" spans="1:20">
      <c r="A164" s="648">
        <v>74</v>
      </c>
      <c r="B164" s="426">
        <v>7000026861</v>
      </c>
      <c r="C164" s="426">
        <v>920</v>
      </c>
      <c r="D164" s="426" t="s">
        <v>613</v>
      </c>
      <c r="E164" s="426">
        <v>1000019912</v>
      </c>
      <c r="F164" s="426">
        <v>85371000</v>
      </c>
      <c r="G164" s="422"/>
      <c r="H164" s="426">
        <v>18</v>
      </c>
      <c r="I164" s="423"/>
      <c r="J164" s="425" t="s">
        <v>532</v>
      </c>
      <c r="K164" s="426" t="s">
        <v>506</v>
      </c>
      <c r="L164" s="426">
        <v>1</v>
      </c>
      <c r="M164" s="565"/>
      <c r="N164" s="428" t="str">
        <f t="shared" si="37"/>
        <v>INCLUDED</v>
      </c>
      <c r="O164" s="645">
        <f t="shared" si="49"/>
        <v>0</v>
      </c>
      <c r="P164" s="645">
        <f t="shared" si="50"/>
        <v>0</v>
      </c>
      <c r="Q164" s="645">
        <f>Discount!$H$36</f>
        <v>0</v>
      </c>
      <c r="R164" s="646">
        <f t="shared" si="51"/>
        <v>0</v>
      </c>
      <c r="S164" s="646">
        <f t="shared" si="52"/>
        <v>0</v>
      </c>
      <c r="T164" s="647">
        <f t="shared" si="42"/>
        <v>0</v>
      </c>
    </row>
    <row r="165" spans="1:20">
      <c r="A165" s="644">
        <v>75</v>
      </c>
      <c r="B165" s="426">
        <v>7000026861</v>
      </c>
      <c r="C165" s="426">
        <v>930</v>
      </c>
      <c r="D165" s="426" t="s">
        <v>613</v>
      </c>
      <c r="E165" s="426">
        <v>1000019927</v>
      </c>
      <c r="F165" s="426">
        <v>85389000</v>
      </c>
      <c r="G165" s="422"/>
      <c r="H165" s="426">
        <v>18</v>
      </c>
      <c r="I165" s="423"/>
      <c r="J165" s="425" t="s">
        <v>533</v>
      </c>
      <c r="K165" s="426" t="s">
        <v>506</v>
      </c>
      <c r="L165" s="426">
        <v>1</v>
      </c>
      <c r="M165" s="565"/>
      <c r="N165" s="428" t="str">
        <f t="shared" si="37"/>
        <v>INCLUDED</v>
      </c>
      <c r="O165" s="645">
        <f t="shared" si="49"/>
        <v>0</v>
      </c>
      <c r="P165" s="645">
        <f t="shared" si="50"/>
        <v>0</v>
      </c>
      <c r="Q165" s="645">
        <f>Discount!$H$36</f>
        <v>0</v>
      </c>
      <c r="R165" s="646">
        <f t="shared" si="51"/>
        <v>0</v>
      </c>
      <c r="S165" s="646">
        <f t="shared" si="52"/>
        <v>0</v>
      </c>
      <c r="T165" s="647">
        <f t="shared" si="42"/>
        <v>0</v>
      </c>
    </row>
    <row r="166" spans="1:20">
      <c r="A166" s="644">
        <v>76</v>
      </c>
      <c r="B166" s="426">
        <v>7000026861</v>
      </c>
      <c r="C166" s="426">
        <v>940</v>
      </c>
      <c r="D166" s="426" t="s">
        <v>613</v>
      </c>
      <c r="E166" s="426">
        <v>1000032289</v>
      </c>
      <c r="F166" s="426">
        <v>84819090</v>
      </c>
      <c r="G166" s="422"/>
      <c r="H166" s="426">
        <v>18</v>
      </c>
      <c r="I166" s="423"/>
      <c r="J166" s="425" t="s">
        <v>549</v>
      </c>
      <c r="K166" s="426" t="s">
        <v>471</v>
      </c>
      <c r="L166" s="426">
        <v>1</v>
      </c>
      <c r="M166" s="565"/>
      <c r="N166" s="428" t="str">
        <f t="shared" si="37"/>
        <v>INCLUDED</v>
      </c>
      <c r="O166" s="645">
        <f t="shared" si="49"/>
        <v>0</v>
      </c>
      <c r="P166" s="645">
        <f t="shared" si="50"/>
        <v>0</v>
      </c>
      <c r="Q166" s="645">
        <f>Discount!$H$36</f>
        <v>0</v>
      </c>
      <c r="R166" s="646">
        <f t="shared" si="51"/>
        <v>0</v>
      </c>
      <c r="S166" s="646">
        <f t="shared" si="52"/>
        <v>0</v>
      </c>
      <c r="T166" s="647">
        <f t="shared" si="42"/>
        <v>0</v>
      </c>
    </row>
    <row r="167" spans="1:20" ht="31.5">
      <c r="A167" s="648">
        <v>77</v>
      </c>
      <c r="B167" s="426">
        <v>7000026861</v>
      </c>
      <c r="C167" s="426">
        <v>950</v>
      </c>
      <c r="D167" s="426" t="s">
        <v>614</v>
      </c>
      <c r="E167" s="426">
        <v>1000058364</v>
      </c>
      <c r="F167" s="426">
        <v>85359030</v>
      </c>
      <c r="G167" s="422"/>
      <c r="H167" s="426">
        <v>18</v>
      </c>
      <c r="I167" s="423"/>
      <c r="J167" s="425" t="s">
        <v>653</v>
      </c>
      <c r="K167" s="426" t="s">
        <v>470</v>
      </c>
      <c r="L167" s="426">
        <v>1</v>
      </c>
      <c r="M167" s="565"/>
      <c r="N167" s="428" t="str">
        <f t="shared" si="37"/>
        <v>INCLUDED</v>
      </c>
      <c r="O167" s="645">
        <f t="shared" si="49"/>
        <v>0</v>
      </c>
      <c r="P167" s="645">
        <f t="shared" si="50"/>
        <v>0</v>
      </c>
      <c r="Q167" s="645">
        <f>Discount!$H$36</f>
        <v>0</v>
      </c>
      <c r="R167" s="646">
        <f t="shared" si="51"/>
        <v>0</v>
      </c>
      <c r="S167" s="646">
        <f t="shared" si="52"/>
        <v>0</v>
      </c>
      <c r="T167" s="647">
        <f t="shared" si="42"/>
        <v>0</v>
      </c>
    </row>
    <row r="168" spans="1:20" ht="31.5">
      <c r="A168" s="644">
        <v>78</v>
      </c>
      <c r="B168" s="426">
        <v>7000026861</v>
      </c>
      <c r="C168" s="426">
        <v>960</v>
      </c>
      <c r="D168" s="426" t="s">
        <v>614</v>
      </c>
      <c r="E168" s="426">
        <v>1000049818</v>
      </c>
      <c r="F168" s="426">
        <v>85359030</v>
      </c>
      <c r="G168" s="422"/>
      <c r="H168" s="426">
        <v>18</v>
      </c>
      <c r="I168" s="423"/>
      <c r="J168" s="425" t="s">
        <v>654</v>
      </c>
      <c r="K168" s="426" t="s">
        <v>471</v>
      </c>
      <c r="L168" s="426">
        <v>2</v>
      </c>
      <c r="M168" s="565"/>
      <c r="N168" s="428" t="str">
        <f t="shared" si="37"/>
        <v>INCLUDED</v>
      </c>
      <c r="O168" s="645">
        <f t="shared" si="49"/>
        <v>0</v>
      </c>
      <c r="P168" s="645">
        <f t="shared" si="50"/>
        <v>0</v>
      </c>
      <c r="Q168" s="645">
        <f>Discount!$H$36</f>
        <v>0</v>
      </c>
      <c r="R168" s="646">
        <f t="shared" si="51"/>
        <v>0</v>
      </c>
      <c r="S168" s="646">
        <f t="shared" si="52"/>
        <v>0</v>
      </c>
      <c r="T168" s="647">
        <f t="shared" si="42"/>
        <v>0</v>
      </c>
    </row>
    <row r="169" spans="1:20" ht="31.5">
      <c r="A169" s="644">
        <v>79</v>
      </c>
      <c r="B169" s="426">
        <v>7000026861</v>
      </c>
      <c r="C169" s="426">
        <v>970</v>
      </c>
      <c r="D169" s="426" t="s">
        <v>614</v>
      </c>
      <c r="E169" s="426">
        <v>1000049754</v>
      </c>
      <c r="F169" s="426">
        <v>85359030</v>
      </c>
      <c r="G169" s="422"/>
      <c r="H169" s="426">
        <v>18</v>
      </c>
      <c r="I169" s="423"/>
      <c r="J169" s="425" t="s">
        <v>655</v>
      </c>
      <c r="K169" s="426" t="s">
        <v>471</v>
      </c>
      <c r="L169" s="426">
        <v>1</v>
      </c>
      <c r="M169" s="565"/>
      <c r="N169" s="428" t="str">
        <f t="shared" si="37"/>
        <v>INCLUDED</v>
      </c>
      <c r="O169" s="645">
        <f t="shared" si="49"/>
        <v>0</v>
      </c>
      <c r="P169" s="645">
        <f t="shared" si="50"/>
        <v>0</v>
      </c>
      <c r="Q169" s="645">
        <f>Discount!$H$36</f>
        <v>0</v>
      </c>
      <c r="R169" s="646">
        <f t="shared" si="51"/>
        <v>0</v>
      </c>
      <c r="S169" s="646">
        <f t="shared" si="52"/>
        <v>0</v>
      </c>
      <c r="T169" s="647">
        <f t="shared" si="42"/>
        <v>0</v>
      </c>
    </row>
    <row r="170" spans="1:20" ht="31.5">
      <c r="A170" s="648">
        <v>80</v>
      </c>
      <c r="B170" s="426">
        <v>7000026861</v>
      </c>
      <c r="C170" s="426">
        <v>980</v>
      </c>
      <c r="D170" s="426" t="s">
        <v>614</v>
      </c>
      <c r="E170" s="426">
        <v>1000049763</v>
      </c>
      <c r="F170" s="426">
        <v>85359030</v>
      </c>
      <c r="G170" s="422"/>
      <c r="H170" s="426">
        <v>18</v>
      </c>
      <c r="I170" s="423"/>
      <c r="J170" s="425" t="s">
        <v>656</v>
      </c>
      <c r="K170" s="426" t="s">
        <v>471</v>
      </c>
      <c r="L170" s="426">
        <v>2</v>
      </c>
      <c r="M170" s="565"/>
      <c r="N170" s="428" t="str">
        <f t="shared" si="37"/>
        <v>INCLUDED</v>
      </c>
      <c r="O170" s="645">
        <f t="shared" si="49"/>
        <v>0</v>
      </c>
      <c r="P170" s="645">
        <f t="shared" si="50"/>
        <v>0</v>
      </c>
      <c r="Q170" s="645">
        <f>Discount!$H$36</f>
        <v>0</v>
      </c>
      <c r="R170" s="646">
        <f t="shared" si="51"/>
        <v>0</v>
      </c>
      <c r="S170" s="646">
        <f t="shared" si="52"/>
        <v>0</v>
      </c>
      <c r="T170" s="647">
        <f t="shared" si="42"/>
        <v>0</v>
      </c>
    </row>
    <row r="171" spans="1:20" ht="31.5">
      <c r="A171" s="644">
        <v>81</v>
      </c>
      <c r="B171" s="426">
        <v>7000026861</v>
      </c>
      <c r="C171" s="426">
        <v>990</v>
      </c>
      <c r="D171" s="426" t="s">
        <v>614</v>
      </c>
      <c r="E171" s="426">
        <v>1000058362</v>
      </c>
      <c r="F171" s="426">
        <v>85359030</v>
      </c>
      <c r="G171" s="422"/>
      <c r="H171" s="426">
        <v>18</v>
      </c>
      <c r="I171" s="423"/>
      <c r="J171" s="425" t="s">
        <v>657</v>
      </c>
      <c r="K171" s="426" t="s">
        <v>471</v>
      </c>
      <c r="L171" s="426">
        <v>1</v>
      </c>
      <c r="M171" s="565"/>
      <c r="N171" s="428" t="str">
        <f t="shared" si="37"/>
        <v>INCLUDED</v>
      </c>
      <c r="O171" s="645">
        <f t="shared" si="49"/>
        <v>0</v>
      </c>
      <c r="P171" s="645">
        <f t="shared" si="50"/>
        <v>0</v>
      </c>
      <c r="Q171" s="645">
        <f>Discount!$H$36</f>
        <v>0</v>
      </c>
      <c r="R171" s="646">
        <f t="shared" si="51"/>
        <v>0</v>
      </c>
      <c r="S171" s="646">
        <f t="shared" si="52"/>
        <v>0</v>
      </c>
      <c r="T171" s="647">
        <f t="shared" si="42"/>
        <v>0</v>
      </c>
    </row>
    <row r="172" spans="1:20" ht="31.5">
      <c r="A172" s="644">
        <v>82</v>
      </c>
      <c r="B172" s="426">
        <v>7000026861</v>
      </c>
      <c r="C172" s="426">
        <v>1000</v>
      </c>
      <c r="D172" s="426" t="s">
        <v>614</v>
      </c>
      <c r="E172" s="426">
        <v>1000049751</v>
      </c>
      <c r="F172" s="426">
        <v>85359030</v>
      </c>
      <c r="G172" s="422"/>
      <c r="H172" s="426">
        <v>18</v>
      </c>
      <c r="I172" s="423"/>
      <c r="J172" s="425" t="s">
        <v>658</v>
      </c>
      <c r="K172" s="426" t="s">
        <v>471</v>
      </c>
      <c r="L172" s="426">
        <v>2</v>
      </c>
      <c r="M172" s="565"/>
      <c r="N172" s="428" t="str">
        <f t="shared" si="37"/>
        <v>INCLUDED</v>
      </c>
      <c r="O172" s="645">
        <f t="shared" si="49"/>
        <v>0</v>
      </c>
      <c r="P172" s="645">
        <f t="shared" si="50"/>
        <v>0</v>
      </c>
      <c r="Q172" s="645">
        <f>Discount!$H$36</f>
        <v>0</v>
      </c>
      <c r="R172" s="646">
        <f t="shared" si="51"/>
        <v>0</v>
      </c>
      <c r="S172" s="646">
        <f t="shared" si="52"/>
        <v>0</v>
      </c>
      <c r="T172" s="647">
        <f t="shared" si="42"/>
        <v>0</v>
      </c>
    </row>
    <row r="173" spans="1:20" ht="31.5">
      <c r="A173" s="648">
        <v>83</v>
      </c>
      <c r="B173" s="426">
        <v>7000026861</v>
      </c>
      <c r="C173" s="426">
        <v>1010</v>
      </c>
      <c r="D173" s="426" t="s">
        <v>614</v>
      </c>
      <c r="E173" s="426">
        <v>1000058363</v>
      </c>
      <c r="F173" s="426">
        <v>85359030</v>
      </c>
      <c r="G173" s="422"/>
      <c r="H173" s="426">
        <v>18</v>
      </c>
      <c r="I173" s="423"/>
      <c r="J173" s="425" t="s">
        <v>659</v>
      </c>
      <c r="K173" s="426" t="s">
        <v>505</v>
      </c>
      <c r="L173" s="426">
        <v>1</v>
      </c>
      <c r="M173" s="565"/>
      <c r="N173" s="428" t="str">
        <f t="shared" si="37"/>
        <v>INCLUDED</v>
      </c>
      <c r="O173" s="645">
        <f t="shared" si="49"/>
        <v>0</v>
      </c>
      <c r="P173" s="645">
        <f t="shared" si="50"/>
        <v>0</v>
      </c>
      <c r="Q173" s="645">
        <f>Discount!$H$36</f>
        <v>0</v>
      </c>
      <c r="R173" s="646">
        <f t="shared" si="51"/>
        <v>0</v>
      </c>
      <c r="S173" s="646">
        <f t="shared" si="52"/>
        <v>0</v>
      </c>
      <c r="T173" s="647">
        <f t="shared" si="42"/>
        <v>0</v>
      </c>
    </row>
    <row r="174" spans="1:20" ht="47.25">
      <c r="A174" s="644">
        <v>84</v>
      </c>
      <c r="B174" s="426">
        <v>7000026861</v>
      </c>
      <c r="C174" s="426">
        <v>1020</v>
      </c>
      <c r="D174" s="426" t="s">
        <v>614</v>
      </c>
      <c r="E174" s="426">
        <v>1000049784</v>
      </c>
      <c r="F174" s="426">
        <v>85359030</v>
      </c>
      <c r="G174" s="422"/>
      <c r="H174" s="426">
        <v>18</v>
      </c>
      <c r="I174" s="423"/>
      <c r="J174" s="425" t="s">
        <v>660</v>
      </c>
      <c r="K174" s="426" t="s">
        <v>471</v>
      </c>
      <c r="L174" s="426">
        <v>2</v>
      </c>
      <c r="M174" s="565"/>
      <c r="N174" s="428" t="str">
        <f t="shared" si="37"/>
        <v>INCLUDED</v>
      </c>
      <c r="O174" s="645">
        <f t="shared" si="49"/>
        <v>0</v>
      </c>
      <c r="P174" s="645">
        <f t="shared" si="50"/>
        <v>0</v>
      </c>
      <c r="Q174" s="645">
        <f>Discount!$H$36</f>
        <v>0</v>
      </c>
      <c r="R174" s="646">
        <f t="shared" si="51"/>
        <v>0</v>
      </c>
      <c r="S174" s="646">
        <f t="shared" si="52"/>
        <v>0</v>
      </c>
      <c r="T174" s="647">
        <f t="shared" si="42"/>
        <v>0</v>
      </c>
    </row>
    <row r="175" spans="1:20" ht="31.5">
      <c r="A175" s="644">
        <v>85</v>
      </c>
      <c r="B175" s="426">
        <v>7000026861</v>
      </c>
      <c r="C175" s="426">
        <v>1030</v>
      </c>
      <c r="D175" s="426" t="s">
        <v>614</v>
      </c>
      <c r="E175" s="426">
        <v>1000049506</v>
      </c>
      <c r="F175" s="426">
        <v>85359030</v>
      </c>
      <c r="G175" s="422"/>
      <c r="H175" s="426">
        <v>18</v>
      </c>
      <c r="I175" s="423"/>
      <c r="J175" s="425" t="s">
        <v>661</v>
      </c>
      <c r="K175" s="426" t="s">
        <v>470</v>
      </c>
      <c r="L175" s="426">
        <v>3</v>
      </c>
      <c r="M175" s="565"/>
      <c r="N175" s="428" t="str">
        <f t="shared" si="37"/>
        <v>INCLUDED</v>
      </c>
      <c r="O175" s="645">
        <f t="shared" si="49"/>
        <v>0</v>
      </c>
      <c r="P175" s="645">
        <f t="shared" si="50"/>
        <v>0</v>
      </c>
      <c r="Q175" s="645">
        <f>Discount!$H$36</f>
        <v>0</v>
      </c>
      <c r="R175" s="646">
        <f t="shared" si="51"/>
        <v>0</v>
      </c>
      <c r="S175" s="646">
        <f t="shared" si="52"/>
        <v>0</v>
      </c>
      <c r="T175" s="647">
        <f t="shared" si="42"/>
        <v>0</v>
      </c>
    </row>
    <row r="176" spans="1:20" ht="31.5">
      <c r="A176" s="648">
        <v>86</v>
      </c>
      <c r="B176" s="426">
        <v>7000026861</v>
      </c>
      <c r="C176" s="426">
        <v>1040</v>
      </c>
      <c r="D176" s="426" t="s">
        <v>614</v>
      </c>
      <c r="E176" s="426">
        <v>1000058366</v>
      </c>
      <c r="F176" s="426">
        <v>85359030</v>
      </c>
      <c r="G176" s="422"/>
      <c r="H176" s="426">
        <v>18</v>
      </c>
      <c r="I176" s="423"/>
      <c r="J176" s="425" t="s">
        <v>662</v>
      </c>
      <c r="K176" s="426" t="s">
        <v>470</v>
      </c>
      <c r="L176" s="426">
        <v>3</v>
      </c>
      <c r="M176" s="565"/>
      <c r="N176" s="428" t="str">
        <f t="shared" si="37"/>
        <v>INCLUDED</v>
      </c>
      <c r="O176" s="645">
        <f t="shared" si="49"/>
        <v>0</v>
      </c>
      <c r="P176" s="645">
        <f t="shared" si="50"/>
        <v>0</v>
      </c>
      <c r="Q176" s="645">
        <f>Discount!$H$36</f>
        <v>0</v>
      </c>
      <c r="R176" s="646">
        <f t="shared" si="51"/>
        <v>0</v>
      </c>
      <c r="S176" s="646">
        <f t="shared" si="52"/>
        <v>0</v>
      </c>
      <c r="T176" s="647">
        <f t="shared" si="42"/>
        <v>0</v>
      </c>
    </row>
    <row r="177" spans="1:20" ht="31.5">
      <c r="A177" s="644">
        <v>87</v>
      </c>
      <c r="B177" s="426">
        <v>7000026861</v>
      </c>
      <c r="C177" s="426">
        <v>1050</v>
      </c>
      <c r="D177" s="426" t="s">
        <v>614</v>
      </c>
      <c r="E177" s="426">
        <v>1000058361</v>
      </c>
      <c r="F177" s="426">
        <v>85359030</v>
      </c>
      <c r="G177" s="422"/>
      <c r="H177" s="426">
        <v>18</v>
      </c>
      <c r="I177" s="423"/>
      <c r="J177" s="425" t="s">
        <v>663</v>
      </c>
      <c r="K177" s="426" t="s">
        <v>470</v>
      </c>
      <c r="L177" s="426">
        <v>3</v>
      </c>
      <c r="M177" s="565"/>
      <c r="N177" s="428" t="str">
        <f t="shared" si="37"/>
        <v>INCLUDED</v>
      </c>
      <c r="O177" s="645">
        <f t="shared" si="49"/>
        <v>0</v>
      </c>
      <c r="P177" s="645">
        <f t="shared" si="50"/>
        <v>0</v>
      </c>
      <c r="Q177" s="645">
        <f>Discount!$H$36</f>
        <v>0</v>
      </c>
      <c r="R177" s="646">
        <f t="shared" si="51"/>
        <v>0</v>
      </c>
      <c r="S177" s="646">
        <f t="shared" si="52"/>
        <v>0</v>
      </c>
      <c r="T177" s="647">
        <f t="shared" si="42"/>
        <v>0</v>
      </c>
    </row>
    <row r="178" spans="1:20" ht="31.5">
      <c r="A178" s="644">
        <v>88</v>
      </c>
      <c r="B178" s="426">
        <v>7000026861</v>
      </c>
      <c r="C178" s="426">
        <v>1060</v>
      </c>
      <c r="D178" s="426" t="s">
        <v>614</v>
      </c>
      <c r="E178" s="426">
        <v>1000058365</v>
      </c>
      <c r="F178" s="426">
        <v>85359030</v>
      </c>
      <c r="G178" s="422"/>
      <c r="H178" s="426">
        <v>18</v>
      </c>
      <c r="I178" s="423"/>
      <c r="J178" s="425" t="s">
        <v>664</v>
      </c>
      <c r="K178" s="426" t="s">
        <v>470</v>
      </c>
      <c r="L178" s="426">
        <v>1</v>
      </c>
      <c r="M178" s="565"/>
      <c r="N178" s="428" t="str">
        <f t="shared" si="37"/>
        <v>INCLUDED</v>
      </c>
      <c r="O178" s="645">
        <f t="shared" si="49"/>
        <v>0</v>
      </c>
      <c r="P178" s="645">
        <f t="shared" si="50"/>
        <v>0</v>
      </c>
      <c r="Q178" s="645">
        <f>Discount!$H$36</f>
        <v>0</v>
      </c>
      <c r="R178" s="646">
        <f t="shared" si="51"/>
        <v>0</v>
      </c>
      <c r="S178" s="646">
        <f t="shared" si="52"/>
        <v>0</v>
      </c>
      <c r="T178" s="647">
        <f t="shared" si="42"/>
        <v>0</v>
      </c>
    </row>
    <row r="179" spans="1:20" ht="31.5">
      <c r="A179" s="648">
        <v>89</v>
      </c>
      <c r="B179" s="426">
        <v>7000026861</v>
      </c>
      <c r="C179" s="426">
        <v>1070</v>
      </c>
      <c r="D179" s="426" t="s">
        <v>614</v>
      </c>
      <c r="E179" s="426">
        <v>1000049499</v>
      </c>
      <c r="F179" s="426">
        <v>85359030</v>
      </c>
      <c r="G179" s="422"/>
      <c r="H179" s="426">
        <v>18</v>
      </c>
      <c r="I179" s="423"/>
      <c r="J179" s="425" t="s">
        <v>665</v>
      </c>
      <c r="K179" s="426" t="s">
        <v>471</v>
      </c>
      <c r="L179" s="426">
        <v>1</v>
      </c>
      <c r="M179" s="565"/>
      <c r="N179" s="428" t="str">
        <f t="shared" si="37"/>
        <v>INCLUDED</v>
      </c>
      <c r="O179" s="645">
        <f t="shared" si="49"/>
        <v>0</v>
      </c>
      <c r="P179" s="645">
        <f t="shared" si="50"/>
        <v>0</v>
      </c>
      <c r="Q179" s="645">
        <f>Discount!$H$36</f>
        <v>0</v>
      </c>
      <c r="R179" s="646">
        <f t="shared" si="51"/>
        <v>0</v>
      </c>
      <c r="S179" s="646">
        <f t="shared" si="52"/>
        <v>0</v>
      </c>
      <c r="T179" s="647">
        <f t="shared" si="42"/>
        <v>0</v>
      </c>
    </row>
    <row r="180" spans="1:20" ht="31.5">
      <c r="A180" s="644">
        <v>90</v>
      </c>
      <c r="B180" s="426">
        <v>7000026861</v>
      </c>
      <c r="C180" s="426">
        <v>1080</v>
      </c>
      <c r="D180" s="426" t="s">
        <v>615</v>
      </c>
      <c r="E180" s="426">
        <v>1000058332</v>
      </c>
      <c r="F180" s="426">
        <v>85359030</v>
      </c>
      <c r="G180" s="422"/>
      <c r="H180" s="426">
        <v>18</v>
      </c>
      <c r="I180" s="423"/>
      <c r="J180" s="425" t="s">
        <v>666</v>
      </c>
      <c r="K180" s="426" t="s">
        <v>470</v>
      </c>
      <c r="L180" s="426">
        <v>1</v>
      </c>
      <c r="M180" s="565"/>
      <c r="N180" s="428" t="str">
        <f t="shared" si="37"/>
        <v>INCLUDED</v>
      </c>
      <c r="O180" s="645">
        <f t="shared" si="49"/>
        <v>0</v>
      </c>
      <c r="P180" s="645">
        <f t="shared" si="50"/>
        <v>0</v>
      </c>
      <c r="Q180" s="645">
        <f>Discount!$H$36</f>
        <v>0</v>
      </c>
      <c r="R180" s="646">
        <f t="shared" si="51"/>
        <v>0</v>
      </c>
      <c r="S180" s="646">
        <f t="shared" si="52"/>
        <v>0</v>
      </c>
      <c r="T180" s="647">
        <f t="shared" si="42"/>
        <v>0</v>
      </c>
    </row>
    <row r="181" spans="1:20" ht="31.5">
      <c r="A181" s="644">
        <v>91</v>
      </c>
      <c r="B181" s="426">
        <v>7000026861</v>
      </c>
      <c r="C181" s="426">
        <v>1090</v>
      </c>
      <c r="D181" s="426" t="s">
        <v>615</v>
      </c>
      <c r="E181" s="426">
        <v>1000049817</v>
      </c>
      <c r="F181" s="426">
        <v>85359030</v>
      </c>
      <c r="G181" s="422"/>
      <c r="H181" s="426">
        <v>18</v>
      </c>
      <c r="I181" s="423"/>
      <c r="J181" s="425" t="s">
        <v>667</v>
      </c>
      <c r="K181" s="426" t="s">
        <v>471</v>
      </c>
      <c r="L181" s="426">
        <v>2</v>
      </c>
      <c r="M181" s="565"/>
      <c r="N181" s="428" t="str">
        <f t="shared" si="37"/>
        <v>INCLUDED</v>
      </c>
      <c r="O181" s="645">
        <f t="shared" si="49"/>
        <v>0</v>
      </c>
      <c r="P181" s="645">
        <f t="shared" si="50"/>
        <v>0</v>
      </c>
      <c r="Q181" s="645">
        <f>Discount!$H$36</f>
        <v>0</v>
      </c>
      <c r="R181" s="646">
        <f t="shared" si="51"/>
        <v>0</v>
      </c>
      <c r="S181" s="646">
        <f t="shared" si="52"/>
        <v>0</v>
      </c>
      <c r="T181" s="647">
        <f t="shared" si="42"/>
        <v>0</v>
      </c>
    </row>
    <row r="182" spans="1:20" ht="31.5">
      <c r="A182" s="648">
        <v>92</v>
      </c>
      <c r="B182" s="426">
        <v>7000026861</v>
      </c>
      <c r="C182" s="426">
        <v>1100</v>
      </c>
      <c r="D182" s="426" t="s">
        <v>615</v>
      </c>
      <c r="E182" s="426">
        <v>1000049753</v>
      </c>
      <c r="F182" s="426">
        <v>85359030</v>
      </c>
      <c r="G182" s="422"/>
      <c r="H182" s="426">
        <v>18</v>
      </c>
      <c r="I182" s="423"/>
      <c r="J182" s="425" t="s">
        <v>668</v>
      </c>
      <c r="K182" s="426" t="s">
        <v>471</v>
      </c>
      <c r="L182" s="426">
        <v>1</v>
      </c>
      <c r="M182" s="565"/>
      <c r="N182" s="428" t="str">
        <f t="shared" si="37"/>
        <v>INCLUDED</v>
      </c>
      <c r="O182" s="645">
        <f t="shared" si="49"/>
        <v>0</v>
      </c>
      <c r="P182" s="645">
        <f t="shared" si="50"/>
        <v>0</v>
      </c>
      <c r="Q182" s="645">
        <f>Discount!$H$36</f>
        <v>0</v>
      </c>
      <c r="R182" s="646">
        <f t="shared" si="51"/>
        <v>0</v>
      </c>
      <c r="S182" s="646">
        <f t="shared" si="52"/>
        <v>0</v>
      </c>
      <c r="T182" s="647">
        <f t="shared" si="42"/>
        <v>0</v>
      </c>
    </row>
    <row r="183" spans="1:20" ht="31.5">
      <c r="A183" s="644">
        <v>93</v>
      </c>
      <c r="B183" s="426">
        <v>7000026861</v>
      </c>
      <c r="C183" s="426">
        <v>1110</v>
      </c>
      <c r="D183" s="426" t="s">
        <v>615</v>
      </c>
      <c r="E183" s="426">
        <v>1000049762</v>
      </c>
      <c r="F183" s="426">
        <v>85359030</v>
      </c>
      <c r="G183" s="422"/>
      <c r="H183" s="426">
        <v>18</v>
      </c>
      <c r="I183" s="423"/>
      <c r="J183" s="425" t="s">
        <v>669</v>
      </c>
      <c r="K183" s="426" t="s">
        <v>471</v>
      </c>
      <c r="L183" s="426">
        <v>2</v>
      </c>
      <c r="M183" s="565"/>
      <c r="N183" s="428" t="str">
        <f t="shared" si="37"/>
        <v>INCLUDED</v>
      </c>
      <c r="O183" s="645">
        <f t="shared" si="49"/>
        <v>0</v>
      </c>
      <c r="P183" s="645">
        <f t="shared" si="50"/>
        <v>0</v>
      </c>
      <c r="Q183" s="645">
        <f>Discount!$H$36</f>
        <v>0</v>
      </c>
      <c r="R183" s="646">
        <f t="shared" si="51"/>
        <v>0</v>
      </c>
      <c r="S183" s="646">
        <f t="shared" si="52"/>
        <v>0</v>
      </c>
      <c r="T183" s="647">
        <f t="shared" si="42"/>
        <v>0</v>
      </c>
    </row>
    <row r="184" spans="1:20" ht="31.5">
      <c r="A184" s="644">
        <v>94</v>
      </c>
      <c r="B184" s="426">
        <v>7000026861</v>
      </c>
      <c r="C184" s="426">
        <v>1120</v>
      </c>
      <c r="D184" s="426" t="s">
        <v>615</v>
      </c>
      <c r="E184" s="426">
        <v>1000058330</v>
      </c>
      <c r="F184" s="426">
        <v>85359030</v>
      </c>
      <c r="G184" s="422"/>
      <c r="H184" s="426">
        <v>18</v>
      </c>
      <c r="I184" s="423"/>
      <c r="J184" s="425" t="s">
        <v>670</v>
      </c>
      <c r="K184" s="426" t="s">
        <v>471</v>
      </c>
      <c r="L184" s="426">
        <v>1</v>
      </c>
      <c r="M184" s="565"/>
      <c r="N184" s="428" t="str">
        <f t="shared" si="37"/>
        <v>INCLUDED</v>
      </c>
      <c r="O184" s="645">
        <f t="shared" si="49"/>
        <v>0</v>
      </c>
      <c r="P184" s="645">
        <f t="shared" si="50"/>
        <v>0</v>
      </c>
      <c r="Q184" s="645">
        <f>Discount!$H$36</f>
        <v>0</v>
      </c>
      <c r="R184" s="646">
        <f t="shared" si="51"/>
        <v>0</v>
      </c>
      <c r="S184" s="646">
        <f t="shared" si="52"/>
        <v>0</v>
      </c>
      <c r="T184" s="647">
        <f t="shared" si="42"/>
        <v>0</v>
      </c>
    </row>
    <row r="185" spans="1:20" ht="31.5">
      <c r="A185" s="648">
        <v>95</v>
      </c>
      <c r="B185" s="426">
        <v>7000026861</v>
      </c>
      <c r="C185" s="426">
        <v>1130</v>
      </c>
      <c r="D185" s="426" t="s">
        <v>615</v>
      </c>
      <c r="E185" s="426">
        <v>1000049750</v>
      </c>
      <c r="F185" s="426">
        <v>85359030</v>
      </c>
      <c r="G185" s="422"/>
      <c r="H185" s="426">
        <v>18</v>
      </c>
      <c r="I185" s="423"/>
      <c r="J185" s="425" t="s">
        <v>671</v>
      </c>
      <c r="K185" s="426" t="s">
        <v>471</v>
      </c>
      <c r="L185" s="426">
        <v>2</v>
      </c>
      <c r="M185" s="565"/>
      <c r="N185" s="428" t="str">
        <f t="shared" si="37"/>
        <v>INCLUDED</v>
      </c>
      <c r="O185" s="645">
        <f t="shared" si="49"/>
        <v>0</v>
      </c>
      <c r="P185" s="645">
        <f t="shared" si="50"/>
        <v>0</v>
      </c>
      <c r="Q185" s="645">
        <f>Discount!$H$36</f>
        <v>0</v>
      </c>
      <c r="R185" s="646">
        <f t="shared" si="51"/>
        <v>0</v>
      </c>
      <c r="S185" s="646">
        <f t="shared" si="52"/>
        <v>0</v>
      </c>
      <c r="T185" s="647">
        <f t="shared" si="42"/>
        <v>0</v>
      </c>
    </row>
    <row r="186" spans="1:20" ht="31.5">
      <c r="A186" s="644">
        <v>96</v>
      </c>
      <c r="B186" s="426">
        <v>7000026861</v>
      </c>
      <c r="C186" s="426">
        <v>1140</v>
      </c>
      <c r="D186" s="426" t="s">
        <v>615</v>
      </c>
      <c r="E186" s="426">
        <v>1000058331</v>
      </c>
      <c r="F186" s="426">
        <v>85359030</v>
      </c>
      <c r="G186" s="422"/>
      <c r="H186" s="426">
        <v>18</v>
      </c>
      <c r="I186" s="423"/>
      <c r="J186" s="425" t="s">
        <v>672</v>
      </c>
      <c r="K186" s="426" t="s">
        <v>505</v>
      </c>
      <c r="L186" s="426">
        <v>1</v>
      </c>
      <c r="M186" s="565"/>
      <c r="N186" s="428" t="str">
        <f t="shared" si="37"/>
        <v>INCLUDED</v>
      </c>
      <c r="O186" s="645">
        <f t="shared" si="49"/>
        <v>0</v>
      </c>
      <c r="P186" s="645">
        <f t="shared" si="50"/>
        <v>0</v>
      </c>
      <c r="Q186" s="645">
        <f>Discount!$H$36</f>
        <v>0</v>
      </c>
      <c r="R186" s="646">
        <f t="shared" si="51"/>
        <v>0</v>
      </c>
      <c r="S186" s="646">
        <f t="shared" si="52"/>
        <v>0</v>
      </c>
      <c r="T186" s="647">
        <f t="shared" si="42"/>
        <v>0</v>
      </c>
    </row>
    <row r="187" spans="1:20" ht="47.25">
      <c r="A187" s="644">
        <v>97</v>
      </c>
      <c r="B187" s="426">
        <v>7000026861</v>
      </c>
      <c r="C187" s="426">
        <v>1150</v>
      </c>
      <c r="D187" s="426" t="s">
        <v>615</v>
      </c>
      <c r="E187" s="426">
        <v>1000049783</v>
      </c>
      <c r="F187" s="426">
        <v>85359030</v>
      </c>
      <c r="G187" s="422"/>
      <c r="H187" s="426">
        <v>18</v>
      </c>
      <c r="I187" s="423"/>
      <c r="J187" s="425" t="s">
        <v>673</v>
      </c>
      <c r="K187" s="426" t="s">
        <v>471</v>
      </c>
      <c r="L187" s="426">
        <v>2</v>
      </c>
      <c r="M187" s="565"/>
      <c r="N187" s="428" t="str">
        <f t="shared" si="37"/>
        <v>INCLUDED</v>
      </c>
      <c r="O187" s="645">
        <f t="shared" si="49"/>
        <v>0</v>
      </c>
      <c r="P187" s="645">
        <f t="shared" si="50"/>
        <v>0</v>
      </c>
      <c r="Q187" s="645">
        <f>Discount!$H$36</f>
        <v>0</v>
      </c>
      <c r="R187" s="646">
        <f t="shared" si="51"/>
        <v>0</v>
      </c>
      <c r="S187" s="646">
        <f t="shared" si="52"/>
        <v>0</v>
      </c>
      <c r="T187" s="647">
        <f t="shared" si="42"/>
        <v>0</v>
      </c>
    </row>
    <row r="188" spans="1:20" ht="31.5">
      <c r="A188" s="648">
        <v>98</v>
      </c>
      <c r="B188" s="426">
        <v>7000026861</v>
      </c>
      <c r="C188" s="426">
        <v>1160</v>
      </c>
      <c r="D188" s="426" t="s">
        <v>615</v>
      </c>
      <c r="E188" s="426">
        <v>1000049505</v>
      </c>
      <c r="F188" s="426">
        <v>85359030</v>
      </c>
      <c r="G188" s="422"/>
      <c r="H188" s="426">
        <v>18</v>
      </c>
      <c r="I188" s="423"/>
      <c r="J188" s="425" t="s">
        <v>674</v>
      </c>
      <c r="K188" s="426" t="s">
        <v>470</v>
      </c>
      <c r="L188" s="426">
        <v>3</v>
      </c>
      <c r="M188" s="565"/>
      <c r="N188" s="428" t="str">
        <f t="shared" si="37"/>
        <v>INCLUDED</v>
      </c>
      <c r="O188" s="645">
        <f t="shared" si="49"/>
        <v>0</v>
      </c>
      <c r="P188" s="645">
        <f t="shared" si="50"/>
        <v>0</v>
      </c>
      <c r="Q188" s="645">
        <f>Discount!$H$36</f>
        <v>0</v>
      </c>
      <c r="R188" s="646">
        <f t="shared" si="51"/>
        <v>0</v>
      </c>
      <c r="S188" s="646">
        <f t="shared" si="52"/>
        <v>0</v>
      </c>
      <c r="T188" s="647">
        <f t="shared" si="42"/>
        <v>0</v>
      </c>
    </row>
    <row r="189" spans="1:20" ht="31.5">
      <c r="A189" s="644">
        <v>99</v>
      </c>
      <c r="B189" s="426">
        <v>7000026861</v>
      </c>
      <c r="C189" s="426">
        <v>1170</v>
      </c>
      <c r="D189" s="426" t="s">
        <v>615</v>
      </c>
      <c r="E189" s="426">
        <v>1000058334</v>
      </c>
      <c r="F189" s="426">
        <v>85359030</v>
      </c>
      <c r="G189" s="422"/>
      <c r="H189" s="426">
        <v>18</v>
      </c>
      <c r="I189" s="423"/>
      <c r="J189" s="425" t="s">
        <v>675</v>
      </c>
      <c r="K189" s="426" t="s">
        <v>470</v>
      </c>
      <c r="L189" s="426">
        <v>3</v>
      </c>
      <c r="M189" s="565"/>
      <c r="N189" s="428" t="str">
        <f t="shared" si="37"/>
        <v>INCLUDED</v>
      </c>
      <c r="O189" s="645">
        <f t="shared" si="49"/>
        <v>0</v>
      </c>
      <c r="P189" s="645">
        <f t="shared" si="50"/>
        <v>0</v>
      </c>
      <c r="Q189" s="645">
        <f>Discount!$H$36</f>
        <v>0</v>
      </c>
      <c r="R189" s="646">
        <f t="shared" si="51"/>
        <v>0</v>
      </c>
      <c r="S189" s="646">
        <f t="shared" si="52"/>
        <v>0</v>
      </c>
      <c r="T189" s="647">
        <f t="shared" si="42"/>
        <v>0</v>
      </c>
    </row>
    <row r="190" spans="1:20" ht="31.5">
      <c r="A190" s="644">
        <v>100</v>
      </c>
      <c r="B190" s="426">
        <v>7000026861</v>
      </c>
      <c r="C190" s="426">
        <v>1180</v>
      </c>
      <c r="D190" s="426" t="s">
        <v>615</v>
      </c>
      <c r="E190" s="426">
        <v>1000058329</v>
      </c>
      <c r="F190" s="426">
        <v>85359030</v>
      </c>
      <c r="G190" s="422"/>
      <c r="H190" s="426">
        <v>18</v>
      </c>
      <c r="I190" s="423"/>
      <c r="J190" s="425" t="s">
        <v>676</v>
      </c>
      <c r="K190" s="426" t="s">
        <v>470</v>
      </c>
      <c r="L190" s="426">
        <v>3</v>
      </c>
      <c r="M190" s="565"/>
      <c r="N190" s="428" t="str">
        <f t="shared" si="37"/>
        <v>INCLUDED</v>
      </c>
      <c r="O190" s="645">
        <f t="shared" si="49"/>
        <v>0</v>
      </c>
      <c r="P190" s="645">
        <f t="shared" si="50"/>
        <v>0</v>
      </c>
      <c r="Q190" s="645">
        <f>Discount!$H$36</f>
        <v>0</v>
      </c>
      <c r="R190" s="646">
        <f t="shared" si="51"/>
        <v>0</v>
      </c>
      <c r="S190" s="646">
        <f t="shared" si="52"/>
        <v>0</v>
      </c>
      <c r="T190" s="647">
        <f t="shared" si="42"/>
        <v>0</v>
      </c>
    </row>
    <row r="191" spans="1:20" ht="31.5">
      <c r="A191" s="648">
        <v>101</v>
      </c>
      <c r="B191" s="426">
        <v>7000026861</v>
      </c>
      <c r="C191" s="426">
        <v>1190</v>
      </c>
      <c r="D191" s="426" t="s">
        <v>615</v>
      </c>
      <c r="E191" s="426">
        <v>1000058333</v>
      </c>
      <c r="F191" s="426">
        <v>85359030</v>
      </c>
      <c r="G191" s="422"/>
      <c r="H191" s="426">
        <v>18</v>
      </c>
      <c r="I191" s="423"/>
      <c r="J191" s="425" t="s">
        <v>677</v>
      </c>
      <c r="K191" s="426" t="s">
        <v>470</v>
      </c>
      <c r="L191" s="426">
        <v>1</v>
      </c>
      <c r="M191" s="565"/>
      <c r="N191" s="428" t="str">
        <f t="shared" si="37"/>
        <v>INCLUDED</v>
      </c>
      <c r="O191" s="645">
        <f t="shared" si="49"/>
        <v>0</v>
      </c>
      <c r="P191" s="645">
        <f t="shared" si="50"/>
        <v>0</v>
      </c>
      <c r="Q191" s="645">
        <f>Discount!$H$36</f>
        <v>0</v>
      </c>
      <c r="R191" s="646">
        <f t="shared" si="51"/>
        <v>0</v>
      </c>
      <c r="S191" s="646">
        <f t="shared" si="52"/>
        <v>0</v>
      </c>
      <c r="T191" s="647">
        <f t="shared" si="42"/>
        <v>0</v>
      </c>
    </row>
    <row r="192" spans="1:20" ht="31.5">
      <c r="A192" s="644">
        <v>102</v>
      </c>
      <c r="B192" s="426">
        <v>7000026861</v>
      </c>
      <c r="C192" s="426">
        <v>1200</v>
      </c>
      <c r="D192" s="426" t="s">
        <v>615</v>
      </c>
      <c r="E192" s="426">
        <v>1000049498</v>
      </c>
      <c r="F192" s="426">
        <v>85359030</v>
      </c>
      <c r="G192" s="422"/>
      <c r="H192" s="426">
        <v>18</v>
      </c>
      <c r="I192" s="423"/>
      <c r="J192" s="425" t="s">
        <v>678</v>
      </c>
      <c r="K192" s="426" t="s">
        <v>471</v>
      </c>
      <c r="L192" s="426">
        <v>1</v>
      </c>
      <c r="M192" s="565"/>
      <c r="N192" s="428" t="str">
        <f t="shared" si="37"/>
        <v>INCLUDED</v>
      </c>
      <c r="O192" s="645">
        <f t="shared" si="49"/>
        <v>0</v>
      </c>
      <c r="P192" s="645">
        <f t="shared" si="50"/>
        <v>0</v>
      </c>
      <c r="Q192" s="645">
        <f>Discount!$H$36</f>
        <v>0</v>
      </c>
      <c r="R192" s="646">
        <f t="shared" si="51"/>
        <v>0</v>
      </c>
      <c r="S192" s="646">
        <f t="shared" si="52"/>
        <v>0</v>
      </c>
      <c r="T192" s="647">
        <f t="shared" si="42"/>
        <v>0</v>
      </c>
    </row>
    <row r="193" spans="1:20" s="638" customFormat="1" ht="33.75" customHeight="1">
      <c r="A193" s="639" t="s">
        <v>560</v>
      </c>
      <c r="B193" s="807" t="s">
        <v>559</v>
      </c>
      <c r="C193" s="808"/>
      <c r="D193" s="809"/>
      <c r="E193" s="643"/>
      <c r="F193" s="643"/>
      <c r="G193" s="643"/>
      <c r="H193" s="643"/>
      <c r="I193" s="643"/>
      <c r="J193" s="643"/>
      <c r="K193" s="643"/>
      <c r="L193" s="643"/>
      <c r="M193" s="643"/>
      <c r="N193" s="643"/>
    </row>
    <row r="194" spans="1:20" ht="31.5">
      <c r="A194" s="644">
        <v>1</v>
      </c>
      <c r="B194" s="426">
        <v>7000026864</v>
      </c>
      <c r="C194" s="426">
        <v>10</v>
      </c>
      <c r="D194" s="426" t="s">
        <v>679</v>
      </c>
      <c r="E194" s="426">
        <v>1000020419</v>
      </c>
      <c r="F194" s="426">
        <v>85354010</v>
      </c>
      <c r="G194" s="422"/>
      <c r="H194" s="426">
        <v>18</v>
      </c>
      <c r="I194" s="423"/>
      <c r="J194" s="425" t="s">
        <v>477</v>
      </c>
      <c r="K194" s="426" t="s">
        <v>470</v>
      </c>
      <c r="L194" s="426">
        <v>3</v>
      </c>
      <c r="M194" s="565"/>
      <c r="N194" s="428" t="str">
        <f t="shared" si="37"/>
        <v>INCLUDED</v>
      </c>
      <c r="O194" s="645">
        <f t="shared" ref="O194:O267" si="53">IF(N194="Included",0,N194)</f>
        <v>0</v>
      </c>
      <c r="P194" s="645">
        <f t="shared" ref="P194:P266" si="54">IF( I194="",H194*(IF(N194="Included",0,N194))/100,I194*(IF(N194="Included",0,N194)))</f>
        <v>0</v>
      </c>
      <c r="Q194" s="645">
        <f>Discount!$H$36</f>
        <v>0</v>
      </c>
      <c r="R194" s="646">
        <f t="shared" ref="R194:R267" si="55">Q194*O194</f>
        <v>0</v>
      </c>
      <c r="S194" s="646">
        <f t="shared" ref="S194:S267" si="56">IF(I194="",H194*R194/100,I194*R194)</f>
        <v>0</v>
      </c>
      <c r="T194" s="647">
        <f t="shared" si="42"/>
        <v>0</v>
      </c>
    </row>
    <row r="195" spans="1:20" ht="31.5">
      <c r="A195" s="644">
        <v>2</v>
      </c>
      <c r="B195" s="426">
        <v>7000026864</v>
      </c>
      <c r="C195" s="426">
        <v>20</v>
      </c>
      <c r="D195" s="426" t="s">
        <v>679</v>
      </c>
      <c r="E195" s="426">
        <v>1000020417</v>
      </c>
      <c r="F195" s="426">
        <v>85354010</v>
      </c>
      <c r="G195" s="422"/>
      <c r="H195" s="426">
        <v>18</v>
      </c>
      <c r="I195" s="423"/>
      <c r="J195" s="425" t="s">
        <v>479</v>
      </c>
      <c r="K195" s="426" t="s">
        <v>470</v>
      </c>
      <c r="L195" s="426">
        <v>3</v>
      </c>
      <c r="M195" s="565"/>
      <c r="N195" s="428" t="str">
        <f t="shared" si="37"/>
        <v>INCLUDED</v>
      </c>
      <c r="O195" s="645">
        <f t="shared" si="53"/>
        <v>0</v>
      </c>
      <c r="P195" s="645">
        <f t="shared" si="54"/>
        <v>0</v>
      </c>
      <c r="Q195" s="645">
        <f>Discount!$H$36</f>
        <v>0</v>
      </c>
      <c r="R195" s="646">
        <f t="shared" si="55"/>
        <v>0</v>
      </c>
      <c r="S195" s="646">
        <f t="shared" si="56"/>
        <v>0</v>
      </c>
      <c r="T195" s="647">
        <f t="shared" si="42"/>
        <v>0</v>
      </c>
    </row>
    <row r="196" spans="1:20" ht="31.5">
      <c r="A196" s="648">
        <v>3</v>
      </c>
      <c r="B196" s="426">
        <v>7000026864</v>
      </c>
      <c r="C196" s="426">
        <v>30</v>
      </c>
      <c r="D196" s="426" t="s">
        <v>679</v>
      </c>
      <c r="E196" s="426">
        <v>1000001695</v>
      </c>
      <c r="F196" s="426">
        <v>85462040</v>
      </c>
      <c r="G196" s="422"/>
      <c r="H196" s="426">
        <v>18</v>
      </c>
      <c r="I196" s="423"/>
      <c r="J196" s="425" t="s">
        <v>480</v>
      </c>
      <c r="K196" s="426" t="s">
        <v>470</v>
      </c>
      <c r="L196" s="426">
        <v>21</v>
      </c>
      <c r="M196" s="565"/>
      <c r="N196" s="428" t="str">
        <f t="shared" si="37"/>
        <v>INCLUDED</v>
      </c>
      <c r="O196" s="645">
        <f t="shared" si="53"/>
        <v>0</v>
      </c>
      <c r="P196" s="645">
        <f t="shared" si="54"/>
        <v>0</v>
      </c>
      <c r="Q196" s="645">
        <f>Discount!$H$36</f>
        <v>0</v>
      </c>
      <c r="R196" s="646">
        <f t="shared" si="55"/>
        <v>0</v>
      </c>
      <c r="S196" s="646">
        <f t="shared" si="56"/>
        <v>0</v>
      </c>
      <c r="T196" s="647">
        <f t="shared" si="42"/>
        <v>0</v>
      </c>
    </row>
    <row r="197" spans="1:20">
      <c r="A197" s="644">
        <v>4</v>
      </c>
      <c r="B197" s="426">
        <v>7000026864</v>
      </c>
      <c r="C197" s="426">
        <v>50</v>
      </c>
      <c r="D197" s="426" t="s">
        <v>680</v>
      </c>
      <c r="E197" s="426">
        <v>1000029503</v>
      </c>
      <c r="F197" s="426">
        <v>85389000</v>
      </c>
      <c r="G197" s="422"/>
      <c r="H197" s="426">
        <v>18</v>
      </c>
      <c r="I197" s="423"/>
      <c r="J197" s="425" t="s">
        <v>688</v>
      </c>
      <c r="K197" s="426" t="s">
        <v>470</v>
      </c>
      <c r="L197" s="426">
        <v>6</v>
      </c>
      <c r="M197" s="565"/>
      <c r="N197" s="428" t="str">
        <f t="shared" si="37"/>
        <v>INCLUDED</v>
      </c>
      <c r="O197" s="645">
        <f t="shared" si="53"/>
        <v>0</v>
      </c>
      <c r="P197" s="645">
        <f t="shared" si="54"/>
        <v>0</v>
      </c>
      <c r="Q197" s="645">
        <f>Discount!$H$36</f>
        <v>0</v>
      </c>
      <c r="R197" s="646">
        <f t="shared" si="55"/>
        <v>0</v>
      </c>
      <c r="S197" s="646">
        <f t="shared" si="56"/>
        <v>0</v>
      </c>
      <c r="T197" s="647">
        <f t="shared" si="42"/>
        <v>0</v>
      </c>
    </row>
    <row r="198" spans="1:20" ht="31.5">
      <c r="A198" s="644">
        <v>5</v>
      </c>
      <c r="B198" s="426">
        <v>7000026864</v>
      </c>
      <c r="C198" s="426">
        <v>60</v>
      </c>
      <c r="D198" s="426" t="s">
        <v>680</v>
      </c>
      <c r="E198" s="426">
        <v>1000061111</v>
      </c>
      <c r="F198" s="426">
        <v>85359030</v>
      </c>
      <c r="G198" s="422"/>
      <c r="H198" s="426">
        <v>18</v>
      </c>
      <c r="I198" s="423"/>
      <c r="J198" s="425" t="s">
        <v>689</v>
      </c>
      <c r="K198" s="426" t="s">
        <v>518</v>
      </c>
      <c r="L198" s="426">
        <v>1200</v>
      </c>
      <c r="M198" s="565"/>
      <c r="N198" s="428" t="str">
        <f t="shared" si="37"/>
        <v>INCLUDED</v>
      </c>
      <c r="O198" s="645">
        <f t="shared" si="53"/>
        <v>0</v>
      </c>
      <c r="P198" s="645">
        <f t="shared" si="54"/>
        <v>0</v>
      </c>
      <c r="Q198" s="645">
        <f>Discount!$H$36</f>
        <v>0</v>
      </c>
      <c r="R198" s="646">
        <f t="shared" si="55"/>
        <v>0</v>
      </c>
      <c r="S198" s="646">
        <f t="shared" si="56"/>
        <v>0</v>
      </c>
      <c r="T198" s="647">
        <f t="shared" si="42"/>
        <v>0</v>
      </c>
    </row>
    <row r="199" spans="1:20" ht="31.5">
      <c r="A199" s="648">
        <v>6</v>
      </c>
      <c r="B199" s="426">
        <v>7000026864</v>
      </c>
      <c r="C199" s="426">
        <v>80</v>
      </c>
      <c r="D199" s="426" t="s">
        <v>681</v>
      </c>
      <c r="E199" s="426">
        <v>1000011252</v>
      </c>
      <c r="F199" s="426">
        <v>72169990</v>
      </c>
      <c r="G199" s="422"/>
      <c r="H199" s="426">
        <v>18</v>
      </c>
      <c r="I199" s="423"/>
      <c r="J199" s="425" t="s">
        <v>690</v>
      </c>
      <c r="K199" s="426" t="s">
        <v>471</v>
      </c>
      <c r="L199" s="426">
        <v>1</v>
      </c>
      <c r="M199" s="565"/>
      <c r="N199" s="428" t="str">
        <f t="shared" si="37"/>
        <v>INCLUDED</v>
      </c>
      <c r="O199" s="645">
        <f t="shared" si="53"/>
        <v>0</v>
      </c>
      <c r="P199" s="645">
        <f t="shared" si="54"/>
        <v>0</v>
      </c>
      <c r="Q199" s="645">
        <f>Discount!$H$36</f>
        <v>0</v>
      </c>
      <c r="R199" s="646">
        <f t="shared" si="55"/>
        <v>0</v>
      </c>
      <c r="S199" s="646">
        <f t="shared" si="56"/>
        <v>0</v>
      </c>
      <c r="T199" s="647">
        <f t="shared" si="42"/>
        <v>0</v>
      </c>
    </row>
    <row r="200" spans="1:20" ht="31.5">
      <c r="A200" s="644">
        <v>7</v>
      </c>
      <c r="B200" s="426">
        <v>7000026864</v>
      </c>
      <c r="C200" s="426">
        <v>90</v>
      </c>
      <c r="D200" s="426" t="s">
        <v>681</v>
      </c>
      <c r="E200" s="426">
        <v>1000011334</v>
      </c>
      <c r="F200" s="426">
        <v>72169990</v>
      </c>
      <c r="G200" s="422"/>
      <c r="H200" s="426">
        <v>18</v>
      </c>
      <c r="I200" s="423"/>
      <c r="J200" s="425" t="s">
        <v>691</v>
      </c>
      <c r="K200" s="426" t="s">
        <v>471</v>
      </c>
      <c r="L200" s="426">
        <v>1</v>
      </c>
      <c r="M200" s="565"/>
      <c r="N200" s="428" t="str">
        <f t="shared" si="37"/>
        <v>INCLUDED</v>
      </c>
      <c r="O200" s="645">
        <f t="shared" si="53"/>
        <v>0</v>
      </c>
      <c r="P200" s="645">
        <f t="shared" si="54"/>
        <v>0</v>
      </c>
      <c r="Q200" s="645">
        <f>Discount!$H$36</f>
        <v>0</v>
      </c>
      <c r="R200" s="646">
        <f t="shared" si="55"/>
        <v>0</v>
      </c>
      <c r="S200" s="646">
        <f t="shared" si="56"/>
        <v>0</v>
      </c>
      <c r="T200" s="647">
        <f t="shared" si="42"/>
        <v>0</v>
      </c>
    </row>
    <row r="201" spans="1:20" ht="31.5">
      <c r="A201" s="644">
        <v>8</v>
      </c>
      <c r="B201" s="426">
        <v>7000026864</v>
      </c>
      <c r="C201" s="426">
        <v>110</v>
      </c>
      <c r="D201" s="426" t="s">
        <v>682</v>
      </c>
      <c r="E201" s="426">
        <v>1000058300</v>
      </c>
      <c r="F201" s="426">
        <v>85359030</v>
      </c>
      <c r="G201" s="422"/>
      <c r="H201" s="426">
        <v>18</v>
      </c>
      <c r="I201" s="423"/>
      <c r="J201" s="425" t="s">
        <v>692</v>
      </c>
      <c r="K201" s="426" t="s">
        <v>470</v>
      </c>
      <c r="L201" s="426">
        <v>1</v>
      </c>
      <c r="M201" s="565"/>
      <c r="N201" s="428" t="str">
        <f t="shared" si="37"/>
        <v>INCLUDED</v>
      </c>
      <c r="O201" s="645">
        <f t="shared" si="53"/>
        <v>0</v>
      </c>
      <c r="P201" s="645">
        <f t="shared" si="54"/>
        <v>0</v>
      </c>
      <c r="Q201" s="645">
        <f>Discount!$H$36</f>
        <v>0</v>
      </c>
      <c r="R201" s="646">
        <f t="shared" si="55"/>
        <v>0</v>
      </c>
      <c r="S201" s="646">
        <f t="shared" si="56"/>
        <v>0</v>
      </c>
      <c r="T201" s="647">
        <f t="shared" si="42"/>
        <v>0</v>
      </c>
    </row>
    <row r="202" spans="1:20" ht="31.5">
      <c r="A202" s="648">
        <v>9</v>
      </c>
      <c r="B202" s="426">
        <v>7000026864</v>
      </c>
      <c r="C202" s="426">
        <v>120</v>
      </c>
      <c r="D202" s="426" t="s">
        <v>682</v>
      </c>
      <c r="E202" s="426">
        <v>1000049816</v>
      </c>
      <c r="F202" s="426">
        <v>85359030</v>
      </c>
      <c r="G202" s="422"/>
      <c r="H202" s="426">
        <v>18</v>
      </c>
      <c r="I202" s="423"/>
      <c r="J202" s="425" t="s">
        <v>693</v>
      </c>
      <c r="K202" s="426" t="s">
        <v>471</v>
      </c>
      <c r="L202" s="426">
        <v>2</v>
      </c>
      <c r="M202" s="565"/>
      <c r="N202" s="428" t="str">
        <f t="shared" si="37"/>
        <v>INCLUDED</v>
      </c>
      <c r="O202" s="645">
        <f t="shared" si="53"/>
        <v>0</v>
      </c>
      <c r="P202" s="645">
        <f t="shared" si="54"/>
        <v>0</v>
      </c>
      <c r="Q202" s="645">
        <f>Discount!$H$36</f>
        <v>0</v>
      </c>
      <c r="R202" s="646">
        <f t="shared" si="55"/>
        <v>0</v>
      </c>
      <c r="S202" s="646">
        <f t="shared" si="56"/>
        <v>0</v>
      </c>
      <c r="T202" s="647">
        <f t="shared" si="42"/>
        <v>0</v>
      </c>
    </row>
    <row r="203" spans="1:20" ht="31.5">
      <c r="A203" s="644">
        <v>10</v>
      </c>
      <c r="B203" s="426">
        <v>7000026864</v>
      </c>
      <c r="C203" s="426">
        <v>130</v>
      </c>
      <c r="D203" s="426" t="s">
        <v>682</v>
      </c>
      <c r="E203" s="426">
        <v>1000049752</v>
      </c>
      <c r="F203" s="426">
        <v>85359030</v>
      </c>
      <c r="G203" s="422"/>
      <c r="H203" s="426">
        <v>18</v>
      </c>
      <c r="I203" s="423"/>
      <c r="J203" s="425" t="s">
        <v>694</v>
      </c>
      <c r="K203" s="426" t="s">
        <v>471</v>
      </c>
      <c r="L203" s="426">
        <v>1</v>
      </c>
      <c r="M203" s="565"/>
      <c r="N203" s="428" t="str">
        <f t="shared" si="37"/>
        <v>INCLUDED</v>
      </c>
      <c r="O203" s="645">
        <f t="shared" si="53"/>
        <v>0</v>
      </c>
      <c r="P203" s="645">
        <f t="shared" si="54"/>
        <v>0</v>
      </c>
      <c r="Q203" s="645">
        <f>Discount!$H$36</f>
        <v>0</v>
      </c>
      <c r="R203" s="646">
        <f t="shared" si="55"/>
        <v>0</v>
      </c>
      <c r="S203" s="646">
        <f t="shared" si="56"/>
        <v>0</v>
      </c>
      <c r="T203" s="647">
        <f t="shared" si="42"/>
        <v>0</v>
      </c>
    </row>
    <row r="204" spans="1:20" ht="31.5">
      <c r="A204" s="644">
        <v>11</v>
      </c>
      <c r="B204" s="426">
        <v>7000026864</v>
      </c>
      <c r="C204" s="426">
        <v>140</v>
      </c>
      <c r="D204" s="426" t="s">
        <v>682</v>
      </c>
      <c r="E204" s="426">
        <v>1000049761</v>
      </c>
      <c r="F204" s="426">
        <v>85359030</v>
      </c>
      <c r="G204" s="422"/>
      <c r="H204" s="426">
        <v>18</v>
      </c>
      <c r="I204" s="423"/>
      <c r="J204" s="425" t="s">
        <v>695</v>
      </c>
      <c r="K204" s="426" t="s">
        <v>471</v>
      </c>
      <c r="L204" s="426">
        <v>2</v>
      </c>
      <c r="M204" s="565"/>
      <c r="N204" s="428" t="str">
        <f t="shared" si="37"/>
        <v>INCLUDED</v>
      </c>
      <c r="O204" s="645">
        <f t="shared" si="53"/>
        <v>0</v>
      </c>
      <c r="P204" s="645">
        <f t="shared" si="54"/>
        <v>0</v>
      </c>
      <c r="Q204" s="645">
        <f>Discount!$H$36</f>
        <v>0</v>
      </c>
      <c r="R204" s="646">
        <f t="shared" si="55"/>
        <v>0</v>
      </c>
      <c r="S204" s="646">
        <f t="shared" si="56"/>
        <v>0</v>
      </c>
      <c r="T204" s="647">
        <f t="shared" si="42"/>
        <v>0</v>
      </c>
    </row>
    <row r="205" spans="1:20" ht="31.5">
      <c r="A205" s="648">
        <v>12</v>
      </c>
      <c r="B205" s="426">
        <v>7000026864</v>
      </c>
      <c r="C205" s="426">
        <v>150</v>
      </c>
      <c r="D205" s="426" t="s">
        <v>682</v>
      </c>
      <c r="E205" s="426">
        <v>1000058298</v>
      </c>
      <c r="F205" s="426">
        <v>85359030</v>
      </c>
      <c r="G205" s="422"/>
      <c r="H205" s="426">
        <v>18</v>
      </c>
      <c r="I205" s="423"/>
      <c r="J205" s="425" t="s">
        <v>696</v>
      </c>
      <c r="K205" s="426" t="s">
        <v>471</v>
      </c>
      <c r="L205" s="426">
        <v>1</v>
      </c>
      <c r="M205" s="565"/>
      <c r="N205" s="428" t="str">
        <f t="shared" ref="N205:N236" si="57">IF(M205=0, "INCLUDED", IF(ISERROR(M205*L205), M205, M205*L205))</f>
        <v>INCLUDED</v>
      </c>
      <c r="O205" s="645">
        <f t="shared" si="53"/>
        <v>0</v>
      </c>
      <c r="P205" s="645">
        <f t="shared" si="54"/>
        <v>0</v>
      </c>
      <c r="Q205" s="645">
        <f>Discount!$H$36</f>
        <v>0</v>
      </c>
      <c r="R205" s="646">
        <f t="shared" si="55"/>
        <v>0</v>
      </c>
      <c r="S205" s="646">
        <f t="shared" si="56"/>
        <v>0</v>
      </c>
      <c r="T205" s="647">
        <f t="shared" ref="T205:T236" si="58">M205*L205</f>
        <v>0</v>
      </c>
    </row>
    <row r="206" spans="1:20" ht="31.5">
      <c r="A206" s="644">
        <v>13</v>
      </c>
      <c r="B206" s="426">
        <v>7000026864</v>
      </c>
      <c r="C206" s="426">
        <v>160</v>
      </c>
      <c r="D206" s="426" t="s">
        <v>682</v>
      </c>
      <c r="E206" s="426">
        <v>1000049749</v>
      </c>
      <c r="F206" s="426">
        <v>85359030</v>
      </c>
      <c r="G206" s="422"/>
      <c r="H206" s="426">
        <v>18</v>
      </c>
      <c r="I206" s="423"/>
      <c r="J206" s="425" t="s">
        <v>697</v>
      </c>
      <c r="K206" s="426" t="s">
        <v>471</v>
      </c>
      <c r="L206" s="426">
        <v>2</v>
      </c>
      <c r="M206" s="565"/>
      <c r="N206" s="428" t="str">
        <f t="shared" si="57"/>
        <v>INCLUDED</v>
      </c>
      <c r="O206" s="645">
        <f t="shared" si="53"/>
        <v>0</v>
      </c>
      <c r="P206" s="645">
        <f t="shared" si="54"/>
        <v>0</v>
      </c>
      <c r="Q206" s="645">
        <f>Discount!$H$36</f>
        <v>0</v>
      </c>
      <c r="R206" s="646">
        <f t="shared" si="55"/>
        <v>0</v>
      </c>
      <c r="S206" s="646">
        <f t="shared" si="56"/>
        <v>0</v>
      </c>
      <c r="T206" s="647">
        <f t="shared" si="58"/>
        <v>0</v>
      </c>
    </row>
    <row r="207" spans="1:20" ht="31.5">
      <c r="A207" s="644">
        <v>14</v>
      </c>
      <c r="B207" s="426">
        <v>7000026864</v>
      </c>
      <c r="C207" s="426">
        <v>170</v>
      </c>
      <c r="D207" s="426" t="s">
        <v>682</v>
      </c>
      <c r="E207" s="426">
        <v>1000058299</v>
      </c>
      <c r="F207" s="426">
        <v>85359030</v>
      </c>
      <c r="G207" s="422"/>
      <c r="H207" s="426">
        <v>18</v>
      </c>
      <c r="I207" s="423"/>
      <c r="J207" s="425" t="s">
        <v>698</v>
      </c>
      <c r="K207" s="426" t="s">
        <v>505</v>
      </c>
      <c r="L207" s="426">
        <v>1</v>
      </c>
      <c r="M207" s="565"/>
      <c r="N207" s="428" t="str">
        <f t="shared" si="57"/>
        <v>INCLUDED</v>
      </c>
      <c r="O207" s="645">
        <f t="shared" si="53"/>
        <v>0</v>
      </c>
      <c r="P207" s="645">
        <f t="shared" si="54"/>
        <v>0</v>
      </c>
      <c r="Q207" s="645">
        <f>Discount!$H$36</f>
        <v>0</v>
      </c>
      <c r="R207" s="646">
        <f t="shared" si="55"/>
        <v>0</v>
      </c>
      <c r="S207" s="646">
        <f t="shared" si="56"/>
        <v>0</v>
      </c>
      <c r="T207" s="647">
        <f t="shared" si="58"/>
        <v>0</v>
      </c>
    </row>
    <row r="208" spans="1:20" ht="47.25">
      <c r="A208" s="648">
        <v>15</v>
      </c>
      <c r="B208" s="426">
        <v>7000026864</v>
      </c>
      <c r="C208" s="426">
        <v>180</v>
      </c>
      <c r="D208" s="426" t="s">
        <v>682</v>
      </c>
      <c r="E208" s="426">
        <v>1000049782</v>
      </c>
      <c r="F208" s="426">
        <v>85359030</v>
      </c>
      <c r="G208" s="422"/>
      <c r="H208" s="426">
        <v>18</v>
      </c>
      <c r="I208" s="423"/>
      <c r="J208" s="425" t="s">
        <v>699</v>
      </c>
      <c r="K208" s="426" t="s">
        <v>471</v>
      </c>
      <c r="L208" s="426">
        <v>2</v>
      </c>
      <c r="M208" s="565"/>
      <c r="N208" s="428" t="str">
        <f t="shared" si="57"/>
        <v>INCLUDED</v>
      </c>
      <c r="O208" s="645">
        <f t="shared" si="53"/>
        <v>0</v>
      </c>
      <c r="P208" s="645">
        <f t="shared" si="54"/>
        <v>0</v>
      </c>
      <c r="Q208" s="645">
        <f>Discount!$H$36</f>
        <v>0</v>
      </c>
      <c r="R208" s="646">
        <f t="shared" si="55"/>
        <v>0</v>
      </c>
      <c r="S208" s="646">
        <f t="shared" si="56"/>
        <v>0</v>
      </c>
      <c r="T208" s="647">
        <f t="shared" si="58"/>
        <v>0</v>
      </c>
    </row>
    <row r="209" spans="1:20" ht="31.5">
      <c r="A209" s="644">
        <v>16</v>
      </c>
      <c r="B209" s="426">
        <v>7000026864</v>
      </c>
      <c r="C209" s="426">
        <v>190</v>
      </c>
      <c r="D209" s="426" t="s">
        <v>682</v>
      </c>
      <c r="E209" s="426">
        <v>1000049504</v>
      </c>
      <c r="F209" s="426">
        <v>85359030</v>
      </c>
      <c r="G209" s="422"/>
      <c r="H209" s="426">
        <v>18</v>
      </c>
      <c r="I209" s="423"/>
      <c r="J209" s="425" t="s">
        <v>700</v>
      </c>
      <c r="K209" s="426" t="s">
        <v>470</v>
      </c>
      <c r="L209" s="426">
        <v>3</v>
      </c>
      <c r="M209" s="565"/>
      <c r="N209" s="428" t="str">
        <f t="shared" si="57"/>
        <v>INCLUDED</v>
      </c>
      <c r="O209" s="645">
        <f t="shared" si="53"/>
        <v>0</v>
      </c>
      <c r="P209" s="645">
        <f t="shared" si="54"/>
        <v>0</v>
      </c>
      <c r="Q209" s="645">
        <f>Discount!$H$36</f>
        <v>0</v>
      </c>
      <c r="R209" s="646">
        <f t="shared" si="55"/>
        <v>0</v>
      </c>
      <c r="S209" s="646">
        <f t="shared" si="56"/>
        <v>0</v>
      </c>
      <c r="T209" s="647">
        <f t="shared" si="58"/>
        <v>0</v>
      </c>
    </row>
    <row r="210" spans="1:20" ht="31.5">
      <c r="A210" s="644">
        <v>17</v>
      </c>
      <c r="B210" s="426">
        <v>7000026864</v>
      </c>
      <c r="C210" s="426">
        <v>200</v>
      </c>
      <c r="D210" s="426" t="s">
        <v>682</v>
      </c>
      <c r="E210" s="426">
        <v>1000058302</v>
      </c>
      <c r="F210" s="426">
        <v>85359030</v>
      </c>
      <c r="G210" s="422"/>
      <c r="H210" s="426">
        <v>18</v>
      </c>
      <c r="I210" s="423"/>
      <c r="J210" s="425" t="s">
        <v>701</v>
      </c>
      <c r="K210" s="426" t="s">
        <v>470</v>
      </c>
      <c r="L210" s="426">
        <v>3</v>
      </c>
      <c r="M210" s="565"/>
      <c r="N210" s="428" t="str">
        <f t="shared" si="57"/>
        <v>INCLUDED</v>
      </c>
      <c r="O210" s="645">
        <f t="shared" si="53"/>
        <v>0</v>
      </c>
      <c r="P210" s="645">
        <f t="shared" si="54"/>
        <v>0</v>
      </c>
      <c r="Q210" s="645">
        <f>Discount!$H$36</f>
        <v>0</v>
      </c>
      <c r="R210" s="646">
        <f t="shared" si="55"/>
        <v>0</v>
      </c>
      <c r="S210" s="646">
        <f t="shared" si="56"/>
        <v>0</v>
      </c>
      <c r="T210" s="647">
        <f t="shared" si="58"/>
        <v>0</v>
      </c>
    </row>
    <row r="211" spans="1:20" ht="31.5">
      <c r="A211" s="648">
        <v>18</v>
      </c>
      <c r="B211" s="426">
        <v>7000026864</v>
      </c>
      <c r="C211" s="426">
        <v>210</v>
      </c>
      <c r="D211" s="426" t="s">
        <v>682</v>
      </c>
      <c r="E211" s="426">
        <v>1000058297</v>
      </c>
      <c r="F211" s="426">
        <v>85359030</v>
      </c>
      <c r="G211" s="422"/>
      <c r="H211" s="426">
        <v>18</v>
      </c>
      <c r="I211" s="423"/>
      <c r="J211" s="425" t="s">
        <v>702</v>
      </c>
      <c r="K211" s="426" t="s">
        <v>470</v>
      </c>
      <c r="L211" s="426">
        <v>3</v>
      </c>
      <c r="M211" s="565"/>
      <c r="N211" s="428" t="str">
        <f t="shared" si="57"/>
        <v>INCLUDED</v>
      </c>
      <c r="O211" s="645">
        <f t="shared" si="53"/>
        <v>0</v>
      </c>
      <c r="P211" s="645">
        <f t="shared" si="54"/>
        <v>0</v>
      </c>
      <c r="Q211" s="645">
        <f>Discount!$H$36</f>
        <v>0</v>
      </c>
      <c r="R211" s="646">
        <f t="shared" si="55"/>
        <v>0</v>
      </c>
      <c r="S211" s="646">
        <f t="shared" si="56"/>
        <v>0</v>
      </c>
      <c r="T211" s="647">
        <f t="shared" si="58"/>
        <v>0</v>
      </c>
    </row>
    <row r="212" spans="1:20" ht="31.5">
      <c r="A212" s="644">
        <v>19</v>
      </c>
      <c r="B212" s="426">
        <v>7000026864</v>
      </c>
      <c r="C212" s="426">
        <v>220</v>
      </c>
      <c r="D212" s="426" t="s">
        <v>682</v>
      </c>
      <c r="E212" s="426">
        <v>1000058301</v>
      </c>
      <c r="F212" s="426">
        <v>85359030</v>
      </c>
      <c r="G212" s="422"/>
      <c r="H212" s="426">
        <v>18</v>
      </c>
      <c r="I212" s="423"/>
      <c r="J212" s="425" t="s">
        <v>703</v>
      </c>
      <c r="K212" s="426" t="s">
        <v>470</v>
      </c>
      <c r="L212" s="426">
        <v>1</v>
      </c>
      <c r="M212" s="565"/>
      <c r="N212" s="428" t="str">
        <f t="shared" si="57"/>
        <v>INCLUDED</v>
      </c>
      <c r="O212" s="645">
        <f t="shared" si="53"/>
        <v>0</v>
      </c>
      <c r="P212" s="645">
        <f t="shared" si="54"/>
        <v>0</v>
      </c>
      <c r="Q212" s="645">
        <f>Discount!$H$36</f>
        <v>0</v>
      </c>
      <c r="R212" s="646">
        <f t="shared" si="55"/>
        <v>0</v>
      </c>
      <c r="S212" s="646">
        <f t="shared" si="56"/>
        <v>0</v>
      </c>
      <c r="T212" s="647">
        <f t="shared" si="58"/>
        <v>0</v>
      </c>
    </row>
    <row r="213" spans="1:20" ht="31.5">
      <c r="A213" s="644">
        <v>20</v>
      </c>
      <c r="B213" s="426">
        <v>7000026864</v>
      </c>
      <c r="C213" s="426">
        <v>230</v>
      </c>
      <c r="D213" s="426" t="s">
        <v>682</v>
      </c>
      <c r="E213" s="426">
        <v>1000049497</v>
      </c>
      <c r="F213" s="426">
        <v>85359030</v>
      </c>
      <c r="G213" s="422"/>
      <c r="H213" s="426">
        <v>18</v>
      </c>
      <c r="I213" s="423"/>
      <c r="J213" s="425" t="s">
        <v>704</v>
      </c>
      <c r="K213" s="426" t="s">
        <v>471</v>
      </c>
      <c r="L213" s="426">
        <v>1</v>
      </c>
      <c r="M213" s="565"/>
      <c r="N213" s="428" t="str">
        <f t="shared" si="57"/>
        <v>INCLUDED</v>
      </c>
      <c r="O213" s="645">
        <f t="shared" si="53"/>
        <v>0</v>
      </c>
      <c r="P213" s="645">
        <f t="shared" si="54"/>
        <v>0</v>
      </c>
      <c r="Q213" s="645">
        <f>Discount!$H$36</f>
        <v>0</v>
      </c>
      <c r="R213" s="646">
        <f t="shared" si="55"/>
        <v>0</v>
      </c>
      <c r="S213" s="646">
        <f t="shared" si="56"/>
        <v>0</v>
      </c>
      <c r="T213" s="647">
        <f t="shared" si="58"/>
        <v>0</v>
      </c>
    </row>
    <row r="214" spans="1:20">
      <c r="A214" s="648">
        <v>21</v>
      </c>
      <c r="B214" s="426">
        <v>7000026864</v>
      </c>
      <c r="C214" s="426">
        <v>240</v>
      </c>
      <c r="D214" s="426" t="s">
        <v>683</v>
      </c>
      <c r="E214" s="426">
        <v>1000004274</v>
      </c>
      <c r="F214" s="426">
        <v>85371000</v>
      </c>
      <c r="G214" s="422"/>
      <c r="H214" s="426">
        <v>18</v>
      </c>
      <c r="I214" s="423"/>
      <c r="J214" s="425" t="s">
        <v>488</v>
      </c>
      <c r="K214" s="426" t="s">
        <v>470</v>
      </c>
      <c r="L214" s="426">
        <v>1</v>
      </c>
      <c r="M214" s="565"/>
      <c r="N214" s="428" t="str">
        <f t="shared" si="57"/>
        <v>INCLUDED</v>
      </c>
      <c r="O214" s="645">
        <f t="shared" si="53"/>
        <v>0</v>
      </c>
      <c r="P214" s="645">
        <f t="shared" si="54"/>
        <v>0</v>
      </c>
      <c r="Q214" s="645">
        <f>Discount!$H$36</f>
        <v>0</v>
      </c>
      <c r="R214" s="646">
        <f t="shared" si="55"/>
        <v>0</v>
      </c>
      <c r="S214" s="646">
        <f t="shared" si="56"/>
        <v>0</v>
      </c>
      <c r="T214" s="647">
        <f t="shared" si="58"/>
        <v>0</v>
      </c>
    </row>
    <row r="215" spans="1:20">
      <c r="A215" s="644">
        <v>22</v>
      </c>
      <c r="B215" s="426">
        <v>7000026864</v>
      </c>
      <c r="C215" s="426">
        <v>250</v>
      </c>
      <c r="D215" s="426" t="s">
        <v>683</v>
      </c>
      <c r="E215" s="426">
        <v>1000001333</v>
      </c>
      <c r="F215" s="426">
        <v>85371000</v>
      </c>
      <c r="G215" s="422"/>
      <c r="H215" s="426">
        <v>18</v>
      </c>
      <c r="I215" s="423"/>
      <c r="J215" s="425" t="s">
        <v>705</v>
      </c>
      <c r="K215" s="426" t="s">
        <v>470</v>
      </c>
      <c r="L215" s="426">
        <v>1</v>
      </c>
      <c r="M215" s="565"/>
      <c r="N215" s="428" t="str">
        <f t="shared" si="57"/>
        <v>INCLUDED</v>
      </c>
      <c r="O215" s="645">
        <f t="shared" si="53"/>
        <v>0</v>
      </c>
      <c r="P215" s="645">
        <f t="shared" si="54"/>
        <v>0</v>
      </c>
      <c r="Q215" s="645">
        <f>Discount!$H$36</f>
        <v>0</v>
      </c>
      <c r="R215" s="646">
        <f t="shared" si="55"/>
        <v>0</v>
      </c>
      <c r="S215" s="646">
        <f t="shared" si="56"/>
        <v>0</v>
      </c>
      <c r="T215" s="647">
        <f t="shared" si="58"/>
        <v>0</v>
      </c>
    </row>
    <row r="216" spans="1:20">
      <c r="A216" s="644">
        <v>23</v>
      </c>
      <c r="B216" s="426">
        <v>7000026864</v>
      </c>
      <c r="C216" s="426">
        <v>260</v>
      </c>
      <c r="D216" s="426" t="s">
        <v>683</v>
      </c>
      <c r="E216" s="426">
        <v>1000003409</v>
      </c>
      <c r="F216" s="426">
        <v>85371000</v>
      </c>
      <c r="G216" s="422"/>
      <c r="H216" s="426">
        <v>18</v>
      </c>
      <c r="I216" s="423"/>
      <c r="J216" s="425" t="s">
        <v>535</v>
      </c>
      <c r="K216" s="426" t="s">
        <v>470</v>
      </c>
      <c r="L216" s="426">
        <v>1</v>
      </c>
      <c r="M216" s="565"/>
      <c r="N216" s="428" t="str">
        <f t="shared" si="57"/>
        <v>INCLUDED</v>
      </c>
      <c r="O216" s="645">
        <f t="shared" si="53"/>
        <v>0</v>
      </c>
      <c r="P216" s="645">
        <f t="shared" si="54"/>
        <v>0</v>
      </c>
      <c r="Q216" s="645">
        <f>Discount!$H$36</f>
        <v>0</v>
      </c>
      <c r="R216" s="646">
        <f t="shared" si="55"/>
        <v>0</v>
      </c>
      <c r="S216" s="646">
        <f t="shared" si="56"/>
        <v>0</v>
      </c>
      <c r="T216" s="647">
        <f t="shared" si="58"/>
        <v>0</v>
      </c>
    </row>
    <row r="217" spans="1:20">
      <c r="A217" s="648">
        <v>24</v>
      </c>
      <c r="B217" s="426">
        <v>7000026864</v>
      </c>
      <c r="C217" s="426">
        <v>270</v>
      </c>
      <c r="D217" s="426" t="s">
        <v>683</v>
      </c>
      <c r="E217" s="426">
        <v>1000001170</v>
      </c>
      <c r="F217" s="426">
        <v>85371000</v>
      </c>
      <c r="G217" s="422"/>
      <c r="H217" s="426">
        <v>18</v>
      </c>
      <c r="I217" s="423"/>
      <c r="J217" s="425" t="s">
        <v>706</v>
      </c>
      <c r="K217" s="426" t="s">
        <v>470</v>
      </c>
      <c r="L217" s="426">
        <v>1</v>
      </c>
      <c r="M217" s="565"/>
      <c r="N217" s="428" t="str">
        <f t="shared" si="57"/>
        <v>INCLUDED</v>
      </c>
      <c r="O217" s="645">
        <f t="shared" si="53"/>
        <v>0</v>
      </c>
      <c r="P217" s="645">
        <f t="shared" si="54"/>
        <v>0</v>
      </c>
      <c r="Q217" s="645">
        <f>Discount!$H$36</f>
        <v>0</v>
      </c>
      <c r="R217" s="646">
        <f t="shared" si="55"/>
        <v>0</v>
      </c>
      <c r="S217" s="646">
        <f t="shared" si="56"/>
        <v>0</v>
      </c>
      <c r="T217" s="647">
        <f t="shared" si="58"/>
        <v>0</v>
      </c>
    </row>
    <row r="218" spans="1:20">
      <c r="A218" s="644">
        <v>25</v>
      </c>
      <c r="B218" s="426">
        <v>7000026864</v>
      </c>
      <c r="C218" s="426">
        <v>280</v>
      </c>
      <c r="D218" s="426" t="s">
        <v>683</v>
      </c>
      <c r="E218" s="426">
        <v>1000001167</v>
      </c>
      <c r="F218" s="426">
        <v>85371000</v>
      </c>
      <c r="G218" s="422"/>
      <c r="H218" s="426">
        <v>18</v>
      </c>
      <c r="I218" s="423"/>
      <c r="J218" s="425" t="s">
        <v>707</v>
      </c>
      <c r="K218" s="426" t="s">
        <v>471</v>
      </c>
      <c r="L218" s="426">
        <v>1</v>
      </c>
      <c r="M218" s="565"/>
      <c r="N218" s="428" t="str">
        <f t="shared" si="57"/>
        <v>INCLUDED</v>
      </c>
      <c r="O218" s="645">
        <f t="shared" si="53"/>
        <v>0</v>
      </c>
      <c r="P218" s="645">
        <f t="shared" si="54"/>
        <v>0</v>
      </c>
      <c r="Q218" s="645">
        <f>Discount!$H$36</f>
        <v>0</v>
      </c>
      <c r="R218" s="646">
        <f t="shared" si="55"/>
        <v>0</v>
      </c>
      <c r="S218" s="646">
        <f t="shared" si="56"/>
        <v>0</v>
      </c>
      <c r="T218" s="647">
        <f t="shared" si="58"/>
        <v>0</v>
      </c>
    </row>
    <row r="219" spans="1:20" ht="31.5">
      <c r="A219" s="644">
        <v>26</v>
      </c>
      <c r="B219" s="426">
        <v>7000026864</v>
      </c>
      <c r="C219" s="426">
        <v>300</v>
      </c>
      <c r="D219" s="426" t="s">
        <v>569</v>
      </c>
      <c r="E219" s="426">
        <v>1000014547</v>
      </c>
      <c r="F219" s="426">
        <v>85371000</v>
      </c>
      <c r="G219" s="422"/>
      <c r="H219" s="426">
        <v>18</v>
      </c>
      <c r="I219" s="423"/>
      <c r="J219" s="425" t="s">
        <v>508</v>
      </c>
      <c r="K219" s="426" t="s">
        <v>470</v>
      </c>
      <c r="L219" s="426">
        <v>1</v>
      </c>
      <c r="M219" s="565"/>
      <c r="N219" s="428" t="str">
        <f t="shared" si="57"/>
        <v>INCLUDED</v>
      </c>
      <c r="O219" s="645">
        <f t="shared" si="53"/>
        <v>0</v>
      </c>
      <c r="P219" s="645">
        <f t="shared" si="54"/>
        <v>0</v>
      </c>
      <c r="Q219" s="645">
        <f>Discount!$H$36</f>
        <v>0</v>
      </c>
      <c r="R219" s="646">
        <f t="shared" si="55"/>
        <v>0</v>
      </c>
      <c r="S219" s="646">
        <f t="shared" si="56"/>
        <v>0</v>
      </c>
      <c r="T219" s="647">
        <f t="shared" si="58"/>
        <v>0</v>
      </c>
    </row>
    <row r="220" spans="1:20" ht="31.5">
      <c r="A220" s="648">
        <v>27</v>
      </c>
      <c r="B220" s="426">
        <v>7000026864</v>
      </c>
      <c r="C220" s="426">
        <v>310</v>
      </c>
      <c r="D220" s="426" t="s">
        <v>569</v>
      </c>
      <c r="E220" s="426">
        <v>1000020262</v>
      </c>
      <c r="F220" s="426">
        <v>85371000</v>
      </c>
      <c r="G220" s="422"/>
      <c r="H220" s="426">
        <v>18</v>
      </c>
      <c r="I220" s="423"/>
      <c r="J220" s="425" t="s">
        <v>588</v>
      </c>
      <c r="K220" s="426" t="s">
        <v>470</v>
      </c>
      <c r="L220" s="426">
        <v>1</v>
      </c>
      <c r="M220" s="565"/>
      <c r="N220" s="428" t="str">
        <f t="shared" si="57"/>
        <v>INCLUDED</v>
      </c>
      <c r="O220" s="645">
        <f t="shared" si="53"/>
        <v>0</v>
      </c>
      <c r="P220" s="645">
        <f t="shared" si="54"/>
        <v>0</v>
      </c>
      <c r="Q220" s="645">
        <f>Discount!$H$36</f>
        <v>0</v>
      </c>
      <c r="R220" s="646">
        <f t="shared" si="55"/>
        <v>0</v>
      </c>
      <c r="S220" s="646">
        <f t="shared" si="56"/>
        <v>0</v>
      </c>
      <c r="T220" s="647">
        <f t="shared" si="58"/>
        <v>0</v>
      </c>
    </row>
    <row r="221" spans="1:20" ht="31.5">
      <c r="A221" s="644">
        <v>28</v>
      </c>
      <c r="B221" s="426">
        <v>7000026864</v>
      </c>
      <c r="C221" s="426">
        <v>320</v>
      </c>
      <c r="D221" s="426" t="s">
        <v>569</v>
      </c>
      <c r="E221" s="426">
        <v>1000038039</v>
      </c>
      <c r="F221" s="426">
        <v>94051090</v>
      </c>
      <c r="G221" s="422"/>
      <c r="H221" s="426">
        <v>18</v>
      </c>
      <c r="I221" s="423"/>
      <c r="J221" s="425" t="s">
        <v>708</v>
      </c>
      <c r="K221" s="426" t="s">
        <v>470</v>
      </c>
      <c r="L221" s="426">
        <v>10</v>
      </c>
      <c r="M221" s="565"/>
      <c r="N221" s="428" t="str">
        <f t="shared" si="57"/>
        <v>INCLUDED</v>
      </c>
      <c r="O221" s="645">
        <f t="shared" si="53"/>
        <v>0</v>
      </c>
      <c r="P221" s="645">
        <f t="shared" si="54"/>
        <v>0</v>
      </c>
      <c r="Q221" s="645">
        <f>Discount!$H$36</f>
        <v>0</v>
      </c>
      <c r="R221" s="646">
        <f t="shared" si="55"/>
        <v>0</v>
      </c>
      <c r="S221" s="646">
        <f t="shared" si="56"/>
        <v>0</v>
      </c>
      <c r="T221" s="647">
        <f t="shared" si="58"/>
        <v>0</v>
      </c>
    </row>
    <row r="222" spans="1:20" ht="31.5">
      <c r="A222" s="644">
        <v>29</v>
      </c>
      <c r="B222" s="426">
        <v>7000026864</v>
      </c>
      <c r="C222" s="426">
        <v>330</v>
      </c>
      <c r="D222" s="426" t="s">
        <v>569</v>
      </c>
      <c r="E222" s="426">
        <v>1000038325</v>
      </c>
      <c r="F222" s="426">
        <v>94059900</v>
      </c>
      <c r="G222" s="422"/>
      <c r="H222" s="426">
        <v>18</v>
      </c>
      <c r="I222" s="423"/>
      <c r="J222" s="425" t="s">
        <v>509</v>
      </c>
      <c r="K222" s="426" t="s">
        <v>470</v>
      </c>
      <c r="L222" s="426">
        <v>10</v>
      </c>
      <c r="M222" s="565"/>
      <c r="N222" s="428" t="str">
        <f t="shared" si="57"/>
        <v>INCLUDED</v>
      </c>
      <c r="O222" s="645">
        <f t="shared" si="53"/>
        <v>0</v>
      </c>
      <c r="P222" s="645">
        <f t="shared" si="54"/>
        <v>0</v>
      </c>
      <c r="Q222" s="645">
        <f>Discount!$H$36</f>
        <v>0</v>
      </c>
      <c r="R222" s="646">
        <f t="shared" si="55"/>
        <v>0</v>
      </c>
      <c r="S222" s="646">
        <f t="shared" si="56"/>
        <v>0</v>
      </c>
      <c r="T222" s="647">
        <f t="shared" si="58"/>
        <v>0</v>
      </c>
    </row>
    <row r="223" spans="1:20">
      <c r="A223" s="648">
        <v>30</v>
      </c>
      <c r="B223" s="426">
        <v>7000026864</v>
      </c>
      <c r="C223" s="426">
        <v>350</v>
      </c>
      <c r="D223" s="426" t="s">
        <v>576</v>
      </c>
      <c r="E223" s="426">
        <v>1000031953</v>
      </c>
      <c r="F223" s="426">
        <v>85446020</v>
      </c>
      <c r="G223" s="422"/>
      <c r="H223" s="426">
        <v>18</v>
      </c>
      <c r="I223" s="423"/>
      <c r="J223" s="425" t="s">
        <v>523</v>
      </c>
      <c r="K223" s="426" t="s">
        <v>493</v>
      </c>
      <c r="L223" s="426">
        <v>1</v>
      </c>
      <c r="M223" s="565"/>
      <c r="N223" s="428" t="str">
        <f t="shared" si="57"/>
        <v>INCLUDED</v>
      </c>
      <c r="O223" s="645">
        <f t="shared" si="53"/>
        <v>0</v>
      </c>
      <c r="P223" s="645">
        <f t="shared" si="54"/>
        <v>0</v>
      </c>
      <c r="Q223" s="645">
        <f>Discount!$H$36</f>
        <v>0</v>
      </c>
      <c r="R223" s="646">
        <f t="shared" si="55"/>
        <v>0</v>
      </c>
      <c r="S223" s="646">
        <f t="shared" si="56"/>
        <v>0</v>
      </c>
      <c r="T223" s="647">
        <f t="shared" si="58"/>
        <v>0</v>
      </c>
    </row>
    <row r="224" spans="1:20">
      <c r="A224" s="644">
        <v>31</v>
      </c>
      <c r="B224" s="426">
        <v>7000026864</v>
      </c>
      <c r="C224" s="426">
        <v>360</v>
      </c>
      <c r="D224" s="426" t="s">
        <v>576</v>
      </c>
      <c r="E224" s="426">
        <v>1000031951</v>
      </c>
      <c r="F224" s="426">
        <v>85446090</v>
      </c>
      <c r="G224" s="422"/>
      <c r="H224" s="426">
        <v>18</v>
      </c>
      <c r="I224" s="423"/>
      <c r="J224" s="425" t="s">
        <v>521</v>
      </c>
      <c r="K224" s="426" t="s">
        <v>493</v>
      </c>
      <c r="L224" s="426">
        <v>0.1</v>
      </c>
      <c r="M224" s="565"/>
      <c r="N224" s="428" t="str">
        <f t="shared" si="57"/>
        <v>INCLUDED</v>
      </c>
      <c r="O224" s="645">
        <f t="shared" si="53"/>
        <v>0</v>
      </c>
      <c r="P224" s="645">
        <f t="shared" si="54"/>
        <v>0</v>
      </c>
      <c r="Q224" s="645">
        <f>Discount!$H$36</f>
        <v>0</v>
      </c>
      <c r="R224" s="646">
        <f t="shared" si="55"/>
        <v>0</v>
      </c>
      <c r="S224" s="646">
        <f t="shared" si="56"/>
        <v>0</v>
      </c>
      <c r="T224" s="647">
        <f t="shared" si="58"/>
        <v>0</v>
      </c>
    </row>
    <row r="225" spans="1:20">
      <c r="A225" s="644">
        <v>32</v>
      </c>
      <c r="B225" s="426">
        <v>7000026864</v>
      </c>
      <c r="C225" s="426">
        <v>370</v>
      </c>
      <c r="D225" s="426" t="s">
        <v>576</v>
      </c>
      <c r="E225" s="426">
        <v>1000031976</v>
      </c>
      <c r="F225" s="426">
        <v>85446020</v>
      </c>
      <c r="G225" s="422"/>
      <c r="H225" s="426">
        <v>18</v>
      </c>
      <c r="I225" s="423"/>
      <c r="J225" s="425" t="s">
        <v>524</v>
      </c>
      <c r="K225" s="426" t="s">
        <v>493</v>
      </c>
      <c r="L225" s="426">
        <v>4.5</v>
      </c>
      <c r="M225" s="565"/>
      <c r="N225" s="428" t="str">
        <f t="shared" si="57"/>
        <v>INCLUDED</v>
      </c>
      <c r="O225" s="645">
        <f t="shared" si="53"/>
        <v>0</v>
      </c>
      <c r="P225" s="645">
        <f t="shared" si="54"/>
        <v>0</v>
      </c>
      <c r="Q225" s="645">
        <f>Discount!$H$36</f>
        <v>0</v>
      </c>
      <c r="R225" s="646">
        <f t="shared" si="55"/>
        <v>0</v>
      </c>
      <c r="S225" s="646">
        <f t="shared" si="56"/>
        <v>0</v>
      </c>
      <c r="T225" s="647">
        <f t="shared" si="58"/>
        <v>0</v>
      </c>
    </row>
    <row r="226" spans="1:20">
      <c r="A226" s="648">
        <v>33</v>
      </c>
      <c r="B226" s="426">
        <v>7000026864</v>
      </c>
      <c r="C226" s="426">
        <v>380</v>
      </c>
      <c r="D226" s="426" t="s">
        <v>576</v>
      </c>
      <c r="E226" s="426">
        <v>1000031985</v>
      </c>
      <c r="F226" s="426">
        <v>85446020</v>
      </c>
      <c r="G226" s="422"/>
      <c r="H226" s="426">
        <v>18</v>
      </c>
      <c r="I226" s="423"/>
      <c r="J226" s="425" t="s">
        <v>525</v>
      </c>
      <c r="K226" s="426" t="s">
        <v>493</v>
      </c>
      <c r="L226" s="426">
        <v>3</v>
      </c>
      <c r="M226" s="565"/>
      <c r="N226" s="428" t="str">
        <f t="shared" si="57"/>
        <v>INCLUDED</v>
      </c>
      <c r="O226" s="645">
        <f t="shared" si="53"/>
        <v>0</v>
      </c>
      <c r="P226" s="645">
        <f t="shared" si="54"/>
        <v>0</v>
      </c>
      <c r="Q226" s="645">
        <f>Discount!$H$36</f>
        <v>0</v>
      </c>
      <c r="R226" s="646">
        <f t="shared" si="55"/>
        <v>0</v>
      </c>
      <c r="S226" s="646">
        <f t="shared" si="56"/>
        <v>0</v>
      </c>
      <c r="T226" s="647">
        <f t="shared" si="58"/>
        <v>0</v>
      </c>
    </row>
    <row r="227" spans="1:20">
      <c r="A227" s="644">
        <v>34</v>
      </c>
      <c r="B227" s="426">
        <v>7000026864</v>
      </c>
      <c r="C227" s="426">
        <v>390</v>
      </c>
      <c r="D227" s="426" t="s">
        <v>576</v>
      </c>
      <c r="E227" s="426">
        <v>1000031943</v>
      </c>
      <c r="F227" s="426">
        <v>85446020</v>
      </c>
      <c r="G227" s="422"/>
      <c r="H227" s="426">
        <v>18</v>
      </c>
      <c r="I227" s="423"/>
      <c r="J227" s="425" t="s">
        <v>526</v>
      </c>
      <c r="K227" s="426" t="s">
        <v>493</v>
      </c>
      <c r="L227" s="426">
        <v>1</v>
      </c>
      <c r="M227" s="565"/>
      <c r="N227" s="428" t="str">
        <f t="shared" si="57"/>
        <v>INCLUDED</v>
      </c>
      <c r="O227" s="645">
        <f t="shared" si="53"/>
        <v>0</v>
      </c>
      <c r="P227" s="645">
        <f t="shared" si="54"/>
        <v>0</v>
      </c>
      <c r="Q227" s="645">
        <f>Discount!$H$36</f>
        <v>0</v>
      </c>
      <c r="R227" s="646">
        <f t="shared" si="55"/>
        <v>0</v>
      </c>
      <c r="S227" s="646">
        <f t="shared" si="56"/>
        <v>0</v>
      </c>
      <c r="T227" s="647">
        <f t="shared" si="58"/>
        <v>0</v>
      </c>
    </row>
    <row r="228" spans="1:20">
      <c r="A228" s="644">
        <v>35</v>
      </c>
      <c r="B228" s="426">
        <v>7000026864</v>
      </c>
      <c r="C228" s="426">
        <v>400</v>
      </c>
      <c r="D228" s="426" t="s">
        <v>576</v>
      </c>
      <c r="E228" s="426">
        <v>1000031987</v>
      </c>
      <c r="F228" s="426">
        <v>85446020</v>
      </c>
      <c r="G228" s="422"/>
      <c r="H228" s="426">
        <v>18</v>
      </c>
      <c r="I228" s="423"/>
      <c r="J228" s="425" t="s">
        <v>516</v>
      </c>
      <c r="K228" s="426" t="s">
        <v>493</v>
      </c>
      <c r="L228" s="426">
        <v>9.5</v>
      </c>
      <c r="M228" s="565"/>
      <c r="N228" s="428" t="str">
        <f t="shared" si="57"/>
        <v>INCLUDED</v>
      </c>
      <c r="O228" s="645">
        <f t="shared" si="53"/>
        <v>0</v>
      </c>
      <c r="P228" s="645">
        <f t="shared" si="54"/>
        <v>0</v>
      </c>
      <c r="Q228" s="645">
        <f>Discount!$H$36</f>
        <v>0</v>
      </c>
      <c r="R228" s="646">
        <f t="shared" si="55"/>
        <v>0</v>
      </c>
      <c r="S228" s="646">
        <f t="shared" si="56"/>
        <v>0</v>
      </c>
      <c r="T228" s="647">
        <f t="shared" si="58"/>
        <v>0</v>
      </c>
    </row>
    <row r="229" spans="1:20">
      <c r="A229" s="648">
        <v>36</v>
      </c>
      <c r="B229" s="426">
        <v>7000026864</v>
      </c>
      <c r="C229" s="426">
        <v>410</v>
      </c>
      <c r="D229" s="426" t="s">
        <v>576</v>
      </c>
      <c r="E229" s="426">
        <v>1000031887</v>
      </c>
      <c r="F229" s="426">
        <v>85446020</v>
      </c>
      <c r="G229" s="422"/>
      <c r="H229" s="426">
        <v>18</v>
      </c>
      <c r="I229" s="423"/>
      <c r="J229" s="425" t="s">
        <v>517</v>
      </c>
      <c r="K229" s="426" t="s">
        <v>493</v>
      </c>
      <c r="L229" s="426">
        <v>8</v>
      </c>
      <c r="M229" s="565"/>
      <c r="N229" s="428" t="str">
        <f t="shared" si="57"/>
        <v>INCLUDED</v>
      </c>
      <c r="O229" s="645">
        <f t="shared" si="53"/>
        <v>0</v>
      </c>
      <c r="P229" s="645">
        <f t="shared" si="54"/>
        <v>0</v>
      </c>
      <c r="Q229" s="645">
        <f>Discount!$H$36</f>
        <v>0</v>
      </c>
      <c r="R229" s="646">
        <f t="shared" si="55"/>
        <v>0</v>
      </c>
      <c r="S229" s="646">
        <f t="shared" si="56"/>
        <v>0</v>
      </c>
      <c r="T229" s="647">
        <f t="shared" si="58"/>
        <v>0</v>
      </c>
    </row>
    <row r="230" spans="1:20">
      <c r="A230" s="644">
        <v>37</v>
      </c>
      <c r="B230" s="426">
        <v>7000026864</v>
      </c>
      <c r="C230" s="426">
        <v>420</v>
      </c>
      <c r="D230" s="426" t="s">
        <v>576</v>
      </c>
      <c r="E230" s="426">
        <v>1000056264</v>
      </c>
      <c r="F230" s="426">
        <v>85446020</v>
      </c>
      <c r="G230" s="422"/>
      <c r="H230" s="426">
        <v>18</v>
      </c>
      <c r="I230" s="423"/>
      <c r="J230" s="425" t="s">
        <v>519</v>
      </c>
      <c r="K230" s="426" t="s">
        <v>493</v>
      </c>
      <c r="L230" s="426">
        <v>8</v>
      </c>
      <c r="M230" s="565"/>
      <c r="N230" s="428" t="str">
        <f t="shared" si="57"/>
        <v>INCLUDED</v>
      </c>
      <c r="O230" s="645">
        <f t="shared" si="53"/>
        <v>0</v>
      </c>
      <c r="P230" s="645">
        <f t="shared" si="54"/>
        <v>0</v>
      </c>
      <c r="Q230" s="645">
        <f>Discount!$H$36</f>
        <v>0</v>
      </c>
      <c r="R230" s="646">
        <f t="shared" si="55"/>
        <v>0</v>
      </c>
      <c r="S230" s="646">
        <f t="shared" si="56"/>
        <v>0</v>
      </c>
      <c r="T230" s="647">
        <f t="shared" si="58"/>
        <v>0</v>
      </c>
    </row>
    <row r="231" spans="1:20">
      <c r="A231" s="644">
        <v>38</v>
      </c>
      <c r="B231" s="426">
        <v>7000026864</v>
      </c>
      <c r="C231" s="426">
        <v>430</v>
      </c>
      <c r="D231" s="426" t="s">
        <v>576</v>
      </c>
      <c r="E231" s="426">
        <v>1000056265</v>
      </c>
      <c r="F231" s="426">
        <v>85446020</v>
      </c>
      <c r="G231" s="422"/>
      <c r="H231" s="426">
        <v>18</v>
      </c>
      <c r="I231" s="423"/>
      <c r="J231" s="425" t="s">
        <v>520</v>
      </c>
      <c r="K231" s="426" t="s">
        <v>493</v>
      </c>
      <c r="L231" s="426">
        <v>5.5</v>
      </c>
      <c r="M231" s="565"/>
      <c r="N231" s="428" t="str">
        <f t="shared" si="57"/>
        <v>INCLUDED</v>
      </c>
      <c r="O231" s="645">
        <f t="shared" si="53"/>
        <v>0</v>
      </c>
      <c r="P231" s="645">
        <f t="shared" si="54"/>
        <v>0</v>
      </c>
      <c r="Q231" s="645">
        <f>Discount!$H$36</f>
        <v>0</v>
      </c>
      <c r="R231" s="646">
        <f t="shared" si="55"/>
        <v>0</v>
      </c>
      <c r="S231" s="646">
        <f t="shared" si="56"/>
        <v>0</v>
      </c>
      <c r="T231" s="647">
        <f t="shared" si="58"/>
        <v>0</v>
      </c>
    </row>
    <row r="232" spans="1:20" ht="31.5">
      <c r="A232" s="648">
        <v>39</v>
      </c>
      <c r="B232" s="426">
        <v>7000026864</v>
      </c>
      <c r="C232" s="426">
        <v>440</v>
      </c>
      <c r="D232" s="426" t="s">
        <v>684</v>
      </c>
      <c r="E232" s="426">
        <v>1000012069</v>
      </c>
      <c r="F232" s="426">
        <v>84248990</v>
      </c>
      <c r="G232" s="422"/>
      <c r="H232" s="426">
        <v>18</v>
      </c>
      <c r="I232" s="423"/>
      <c r="J232" s="425" t="s">
        <v>709</v>
      </c>
      <c r="K232" s="426" t="s">
        <v>471</v>
      </c>
      <c r="L232" s="426">
        <v>1</v>
      </c>
      <c r="M232" s="565"/>
      <c r="N232" s="428" t="str">
        <f t="shared" si="57"/>
        <v>INCLUDED</v>
      </c>
      <c r="O232" s="645">
        <f t="shared" si="53"/>
        <v>0</v>
      </c>
      <c r="P232" s="645">
        <f t="shared" si="54"/>
        <v>0</v>
      </c>
      <c r="Q232" s="645">
        <f>Discount!$H$36</f>
        <v>0</v>
      </c>
      <c r="R232" s="646">
        <f t="shared" si="55"/>
        <v>0</v>
      </c>
      <c r="S232" s="646">
        <f t="shared" si="56"/>
        <v>0</v>
      </c>
      <c r="T232" s="647">
        <f t="shared" si="58"/>
        <v>0</v>
      </c>
    </row>
    <row r="233" spans="1:20" ht="78.75">
      <c r="A233" s="644">
        <v>40</v>
      </c>
      <c r="B233" s="426">
        <v>7000026864</v>
      </c>
      <c r="C233" s="426">
        <v>460</v>
      </c>
      <c r="D233" s="426" t="s">
        <v>571</v>
      </c>
      <c r="E233" s="426">
        <v>1000030433</v>
      </c>
      <c r="F233" s="426">
        <v>85287390</v>
      </c>
      <c r="G233" s="422"/>
      <c r="H233" s="426">
        <v>18</v>
      </c>
      <c r="I233" s="423"/>
      <c r="J233" s="425" t="s">
        <v>589</v>
      </c>
      <c r="K233" s="426" t="s">
        <v>471</v>
      </c>
      <c r="L233" s="426">
        <v>1</v>
      </c>
      <c r="M233" s="565"/>
      <c r="N233" s="428" t="str">
        <f t="shared" si="57"/>
        <v>INCLUDED</v>
      </c>
      <c r="O233" s="645">
        <f t="shared" si="53"/>
        <v>0</v>
      </c>
      <c r="P233" s="645">
        <f t="shared" si="54"/>
        <v>0</v>
      </c>
      <c r="Q233" s="645">
        <f>Discount!$H$36</f>
        <v>0</v>
      </c>
      <c r="R233" s="646">
        <f t="shared" si="55"/>
        <v>0</v>
      </c>
      <c r="S233" s="646">
        <f t="shared" si="56"/>
        <v>0</v>
      </c>
      <c r="T233" s="647">
        <f t="shared" si="58"/>
        <v>0</v>
      </c>
    </row>
    <row r="234" spans="1:20" ht="31.5">
      <c r="A234" s="644">
        <v>41</v>
      </c>
      <c r="B234" s="426">
        <v>7000026864</v>
      </c>
      <c r="C234" s="426">
        <v>480</v>
      </c>
      <c r="D234" s="426" t="s">
        <v>568</v>
      </c>
      <c r="E234" s="426">
        <v>1000006284</v>
      </c>
      <c r="F234" s="426">
        <v>84151090</v>
      </c>
      <c r="G234" s="422"/>
      <c r="H234" s="426">
        <v>28</v>
      </c>
      <c r="I234" s="423"/>
      <c r="J234" s="425" t="s">
        <v>502</v>
      </c>
      <c r="K234" s="426" t="s">
        <v>471</v>
      </c>
      <c r="L234" s="426">
        <v>1</v>
      </c>
      <c r="M234" s="565"/>
      <c r="N234" s="428" t="str">
        <f t="shared" si="57"/>
        <v>INCLUDED</v>
      </c>
      <c r="O234" s="645">
        <f t="shared" si="53"/>
        <v>0</v>
      </c>
      <c r="P234" s="645">
        <f t="shared" si="54"/>
        <v>0</v>
      </c>
      <c r="Q234" s="645">
        <f>Discount!$H$36</f>
        <v>0</v>
      </c>
      <c r="R234" s="646">
        <f t="shared" si="55"/>
        <v>0</v>
      </c>
      <c r="S234" s="646">
        <f t="shared" si="56"/>
        <v>0</v>
      </c>
      <c r="T234" s="647">
        <f t="shared" si="58"/>
        <v>0</v>
      </c>
    </row>
    <row r="235" spans="1:20" ht="31.5">
      <c r="A235" s="648">
        <v>42</v>
      </c>
      <c r="B235" s="426">
        <v>7000026864</v>
      </c>
      <c r="C235" s="426">
        <v>490</v>
      </c>
      <c r="D235" s="426" t="s">
        <v>568</v>
      </c>
      <c r="E235" s="426">
        <v>1000012022</v>
      </c>
      <c r="F235" s="426">
        <v>84241000</v>
      </c>
      <c r="G235" s="422"/>
      <c r="H235" s="426">
        <v>18</v>
      </c>
      <c r="I235" s="423"/>
      <c r="J235" s="425" t="s">
        <v>504</v>
      </c>
      <c r="K235" s="426" t="s">
        <v>470</v>
      </c>
      <c r="L235" s="426">
        <v>2</v>
      </c>
      <c r="M235" s="565"/>
      <c r="N235" s="428" t="str">
        <f t="shared" si="57"/>
        <v>INCLUDED</v>
      </c>
      <c r="O235" s="645">
        <f t="shared" si="53"/>
        <v>0</v>
      </c>
      <c r="P235" s="645">
        <f t="shared" si="54"/>
        <v>0</v>
      </c>
      <c r="Q235" s="645">
        <f>Discount!$H$36</f>
        <v>0</v>
      </c>
      <c r="R235" s="646">
        <f t="shared" si="55"/>
        <v>0</v>
      </c>
      <c r="S235" s="646">
        <f t="shared" si="56"/>
        <v>0</v>
      </c>
      <c r="T235" s="647">
        <f t="shared" si="58"/>
        <v>0</v>
      </c>
    </row>
    <row r="236" spans="1:20" ht="31.5">
      <c r="A236" s="644">
        <v>43</v>
      </c>
      <c r="B236" s="426">
        <v>7000026864</v>
      </c>
      <c r="C236" s="426">
        <v>500</v>
      </c>
      <c r="D236" s="426" t="s">
        <v>568</v>
      </c>
      <c r="E236" s="426">
        <v>1000012018</v>
      </c>
      <c r="F236" s="426">
        <v>85311020</v>
      </c>
      <c r="G236" s="422"/>
      <c r="H236" s="426">
        <v>18</v>
      </c>
      <c r="I236" s="423"/>
      <c r="J236" s="425" t="s">
        <v>503</v>
      </c>
      <c r="K236" s="426" t="s">
        <v>471</v>
      </c>
      <c r="L236" s="426">
        <v>1</v>
      </c>
      <c r="M236" s="565"/>
      <c r="N236" s="428" t="str">
        <f t="shared" si="57"/>
        <v>INCLUDED</v>
      </c>
      <c r="O236" s="645">
        <f t="shared" si="53"/>
        <v>0</v>
      </c>
      <c r="P236" s="645">
        <f t="shared" si="54"/>
        <v>0</v>
      </c>
      <c r="Q236" s="645">
        <f>Discount!$H$36</f>
        <v>0</v>
      </c>
      <c r="R236" s="646">
        <f t="shared" si="55"/>
        <v>0</v>
      </c>
      <c r="S236" s="646">
        <f t="shared" si="56"/>
        <v>0</v>
      </c>
      <c r="T236" s="647">
        <f t="shared" si="58"/>
        <v>0</v>
      </c>
    </row>
    <row r="237" spans="1:20" ht="31.5">
      <c r="A237" s="644">
        <v>44</v>
      </c>
      <c r="B237" s="426">
        <v>7000026864</v>
      </c>
      <c r="C237" s="426">
        <v>510</v>
      </c>
      <c r="D237" s="426" t="s">
        <v>568</v>
      </c>
      <c r="E237" s="426">
        <v>1000013795</v>
      </c>
      <c r="F237" s="426">
        <v>94059900</v>
      </c>
      <c r="G237" s="424"/>
      <c r="H237" s="426">
        <v>18</v>
      </c>
      <c r="I237" s="423"/>
      <c r="J237" s="425" t="s">
        <v>507</v>
      </c>
      <c r="K237" s="426" t="s">
        <v>506</v>
      </c>
      <c r="L237" s="426">
        <v>1</v>
      </c>
      <c r="M237" s="565"/>
      <c r="N237" s="428" t="str">
        <f>IF(M237=0, "INCLUDED", IF(ISERROR(M237*L237), M237, M237*L237))</f>
        <v>INCLUDED</v>
      </c>
      <c r="O237" s="645">
        <f>IF(N237="Included",0,N237)</f>
        <v>0</v>
      </c>
      <c r="P237" s="645">
        <f>IF( I237="",H237*(IF(N237="Included",0,N237))/100,I237*(IF(N237="Included",0,N237)))</f>
        <v>0</v>
      </c>
      <c r="Q237" s="646">
        <f>Discount!$H$36</f>
        <v>0</v>
      </c>
      <c r="R237" s="646">
        <f>Q237*O237</f>
        <v>0</v>
      </c>
      <c r="S237" s="646">
        <f>IF(I237="",H237*R237/100,I237*R237)</f>
        <v>0</v>
      </c>
      <c r="T237" s="647">
        <f>M237*L237</f>
        <v>0</v>
      </c>
    </row>
    <row r="238" spans="1:20" ht="47.25">
      <c r="A238" s="648">
        <v>45</v>
      </c>
      <c r="B238" s="426">
        <v>7000026864</v>
      </c>
      <c r="C238" s="426">
        <v>530</v>
      </c>
      <c r="D238" s="426" t="s">
        <v>577</v>
      </c>
      <c r="E238" s="426">
        <v>1000015954</v>
      </c>
      <c r="F238" s="426">
        <v>73082011</v>
      </c>
      <c r="G238" s="422"/>
      <c r="H238" s="426">
        <v>18</v>
      </c>
      <c r="I238" s="423"/>
      <c r="J238" s="425" t="s">
        <v>537</v>
      </c>
      <c r="K238" s="426" t="s">
        <v>536</v>
      </c>
      <c r="L238" s="426">
        <v>8</v>
      </c>
      <c r="M238" s="565"/>
      <c r="N238" s="428" t="str">
        <f t="shared" ref="N238:N263" si="59">IF(M238=0, "INCLUDED", IF(ISERROR(M238*L238), M238, M238*L238))</f>
        <v>INCLUDED</v>
      </c>
      <c r="O238" s="645">
        <f>IF(N238="Included",0,N238)</f>
        <v>0</v>
      </c>
      <c r="P238" s="645">
        <f>IF( I238="",H238*(IF(N238="Included",0,N238))/100,I238*(IF(N238="Included",0,N238)))</f>
        <v>0</v>
      </c>
      <c r="Q238" s="645">
        <f>Discount!$H$36</f>
        <v>0</v>
      </c>
      <c r="R238" s="646">
        <f>Q238*O238</f>
        <v>0</v>
      </c>
      <c r="S238" s="646">
        <f>IF(I238="",H238*R238/100,I238*R238)</f>
        <v>0</v>
      </c>
      <c r="T238" s="647">
        <f t="shared" ref="T238:T263" si="60">M238*L238</f>
        <v>0</v>
      </c>
    </row>
    <row r="239" spans="1:20" ht="31.5">
      <c r="A239" s="644">
        <v>46</v>
      </c>
      <c r="B239" s="426">
        <v>7000026864</v>
      </c>
      <c r="C239" s="426">
        <v>540</v>
      </c>
      <c r="D239" s="426" t="s">
        <v>577</v>
      </c>
      <c r="E239" s="426">
        <v>1000011713</v>
      </c>
      <c r="F239" s="426">
        <v>73082011</v>
      </c>
      <c r="G239" s="422"/>
      <c r="H239" s="426">
        <v>18</v>
      </c>
      <c r="I239" s="423"/>
      <c r="J239" s="425" t="s">
        <v>538</v>
      </c>
      <c r="K239" s="426" t="s">
        <v>536</v>
      </c>
      <c r="L239" s="426">
        <v>1</v>
      </c>
      <c r="M239" s="565"/>
      <c r="N239" s="428" t="str">
        <f t="shared" si="59"/>
        <v>INCLUDED</v>
      </c>
      <c r="O239" s="645">
        <f>IF(N239="Included",0,N239)</f>
        <v>0</v>
      </c>
      <c r="P239" s="645">
        <f>IF( I239="",H239*(IF(N239="Included",0,N239))/100,I239*(IF(N239="Included",0,N239)))</f>
        <v>0</v>
      </c>
      <c r="Q239" s="645">
        <f>Discount!$H$36</f>
        <v>0</v>
      </c>
      <c r="R239" s="646">
        <f>Q239*O239</f>
        <v>0</v>
      </c>
      <c r="S239" s="646">
        <f>IF(I239="",H239*R239/100,I239*R239)</f>
        <v>0</v>
      </c>
      <c r="T239" s="647">
        <f t="shared" si="60"/>
        <v>0</v>
      </c>
    </row>
    <row r="240" spans="1:20" ht="31.5">
      <c r="A240" s="644">
        <v>47</v>
      </c>
      <c r="B240" s="426">
        <v>7000026864</v>
      </c>
      <c r="C240" s="426">
        <v>550</v>
      </c>
      <c r="D240" s="426" t="s">
        <v>577</v>
      </c>
      <c r="E240" s="426">
        <v>1000012373</v>
      </c>
      <c r="F240" s="426">
        <v>73082011</v>
      </c>
      <c r="G240" s="422"/>
      <c r="H240" s="426">
        <v>18</v>
      </c>
      <c r="I240" s="423"/>
      <c r="J240" s="425" t="s">
        <v>539</v>
      </c>
      <c r="K240" s="426" t="s">
        <v>536</v>
      </c>
      <c r="L240" s="426">
        <v>1</v>
      </c>
      <c r="M240" s="565"/>
      <c r="N240" s="428" t="str">
        <f t="shared" si="59"/>
        <v>INCLUDED</v>
      </c>
      <c r="O240" s="645">
        <f>IF(N240="Included",0,N240)</f>
        <v>0</v>
      </c>
      <c r="P240" s="645">
        <f>IF( I240="",H240*(IF(N240="Included",0,N240))/100,I240*(IF(N240="Included",0,N240)))</f>
        <v>0</v>
      </c>
      <c r="Q240" s="645">
        <f>Discount!$H$36</f>
        <v>0</v>
      </c>
      <c r="R240" s="646">
        <f>Q240*O240</f>
        <v>0</v>
      </c>
      <c r="S240" s="646">
        <f>IF(I240="",H240*R240/100,I240*R240)</f>
        <v>0</v>
      </c>
      <c r="T240" s="647">
        <f t="shared" si="60"/>
        <v>0</v>
      </c>
    </row>
    <row r="241" spans="1:20" ht="31.5">
      <c r="A241" s="648">
        <v>48</v>
      </c>
      <c r="B241" s="426">
        <v>7000026864</v>
      </c>
      <c r="C241" s="426">
        <v>580</v>
      </c>
      <c r="D241" s="426" t="s">
        <v>580</v>
      </c>
      <c r="E241" s="426">
        <v>1000019912</v>
      </c>
      <c r="F241" s="426">
        <v>85371000</v>
      </c>
      <c r="G241" s="422"/>
      <c r="H241" s="426">
        <v>18</v>
      </c>
      <c r="I241" s="423"/>
      <c r="J241" s="425" t="s">
        <v>532</v>
      </c>
      <c r="K241" s="426" t="s">
        <v>506</v>
      </c>
      <c r="L241" s="426">
        <v>1</v>
      </c>
      <c r="M241" s="565"/>
      <c r="N241" s="428" t="str">
        <f t="shared" si="59"/>
        <v>INCLUDED</v>
      </c>
      <c r="O241" s="645">
        <f t="shared" ref="O241:O263" si="61">IF(N241="Included",0,N241)</f>
        <v>0</v>
      </c>
      <c r="P241" s="645">
        <f t="shared" ref="P241:P263" si="62">IF( I241="",H241*(IF(N241="Included",0,N241))/100,I241*(IF(N241="Included",0,N241)))</f>
        <v>0</v>
      </c>
      <c r="Q241" s="645">
        <f>Discount!$H$36</f>
        <v>0</v>
      </c>
      <c r="R241" s="646">
        <f t="shared" ref="R241:R263" si="63">Q241*O241</f>
        <v>0</v>
      </c>
      <c r="S241" s="646">
        <f t="shared" ref="S241:S263" si="64">IF(I241="",H241*R241/100,I241*R241)</f>
        <v>0</v>
      </c>
      <c r="T241" s="647">
        <f t="shared" si="60"/>
        <v>0</v>
      </c>
    </row>
    <row r="242" spans="1:20" ht="31.5">
      <c r="A242" s="644">
        <v>49</v>
      </c>
      <c r="B242" s="426">
        <v>7000026864</v>
      </c>
      <c r="C242" s="426">
        <v>590</v>
      </c>
      <c r="D242" s="426" t="s">
        <v>580</v>
      </c>
      <c r="E242" s="426">
        <v>1000062002</v>
      </c>
      <c r="F242" s="426">
        <v>85371000</v>
      </c>
      <c r="G242" s="422"/>
      <c r="H242" s="426">
        <v>18</v>
      </c>
      <c r="I242" s="423"/>
      <c r="J242" s="425" t="s">
        <v>710</v>
      </c>
      <c r="K242" s="426" t="s">
        <v>470</v>
      </c>
      <c r="L242" s="426">
        <v>1</v>
      </c>
      <c r="M242" s="565"/>
      <c r="N242" s="428" t="str">
        <f t="shared" si="59"/>
        <v>INCLUDED</v>
      </c>
      <c r="O242" s="645">
        <f t="shared" si="61"/>
        <v>0</v>
      </c>
      <c r="P242" s="645">
        <f t="shared" si="62"/>
        <v>0</v>
      </c>
      <c r="Q242" s="645">
        <f>Discount!$H$36</f>
        <v>0</v>
      </c>
      <c r="R242" s="646">
        <f t="shared" si="63"/>
        <v>0</v>
      </c>
      <c r="S242" s="646">
        <f t="shared" si="64"/>
        <v>0</v>
      </c>
      <c r="T242" s="647">
        <f t="shared" si="60"/>
        <v>0</v>
      </c>
    </row>
    <row r="243" spans="1:20" ht="31.5">
      <c r="A243" s="644">
        <v>50</v>
      </c>
      <c r="B243" s="426">
        <v>7000026864</v>
      </c>
      <c r="C243" s="426">
        <v>600</v>
      </c>
      <c r="D243" s="426" t="s">
        <v>580</v>
      </c>
      <c r="E243" s="426">
        <v>1000062004</v>
      </c>
      <c r="F243" s="426">
        <v>85371000</v>
      </c>
      <c r="G243" s="422"/>
      <c r="H243" s="426">
        <v>18</v>
      </c>
      <c r="I243" s="423"/>
      <c r="J243" s="425" t="s">
        <v>711</v>
      </c>
      <c r="K243" s="426" t="s">
        <v>470</v>
      </c>
      <c r="L243" s="426">
        <v>1</v>
      </c>
      <c r="M243" s="565"/>
      <c r="N243" s="428" t="str">
        <f t="shared" si="59"/>
        <v>INCLUDED</v>
      </c>
      <c r="O243" s="645">
        <f t="shared" si="61"/>
        <v>0</v>
      </c>
      <c r="P243" s="645">
        <f t="shared" si="62"/>
        <v>0</v>
      </c>
      <c r="Q243" s="645">
        <f>Discount!$H$36</f>
        <v>0</v>
      </c>
      <c r="R243" s="646">
        <f t="shared" si="63"/>
        <v>0</v>
      </c>
      <c r="S243" s="646">
        <f t="shared" si="64"/>
        <v>0</v>
      </c>
      <c r="T243" s="647">
        <f t="shared" si="60"/>
        <v>0</v>
      </c>
    </row>
    <row r="244" spans="1:20" ht="31.5">
      <c r="A244" s="648">
        <v>51</v>
      </c>
      <c r="B244" s="426">
        <v>7000026864</v>
      </c>
      <c r="C244" s="426">
        <v>610</v>
      </c>
      <c r="D244" s="426" t="s">
        <v>685</v>
      </c>
      <c r="E244" s="426">
        <v>1000010577</v>
      </c>
      <c r="F244" s="426">
        <v>84818090</v>
      </c>
      <c r="G244" s="422"/>
      <c r="H244" s="426">
        <v>18</v>
      </c>
      <c r="I244" s="423"/>
      <c r="J244" s="425" t="s">
        <v>712</v>
      </c>
      <c r="K244" s="426" t="s">
        <v>471</v>
      </c>
      <c r="L244" s="426">
        <v>1</v>
      </c>
      <c r="M244" s="565"/>
      <c r="N244" s="428" t="str">
        <f t="shared" si="59"/>
        <v>INCLUDED</v>
      </c>
      <c r="O244" s="645">
        <f t="shared" si="61"/>
        <v>0</v>
      </c>
      <c r="P244" s="645">
        <f t="shared" si="62"/>
        <v>0</v>
      </c>
      <c r="Q244" s="645">
        <f>Discount!$H$36</f>
        <v>0</v>
      </c>
      <c r="R244" s="646">
        <f t="shared" si="63"/>
        <v>0</v>
      </c>
      <c r="S244" s="646">
        <f t="shared" si="64"/>
        <v>0</v>
      </c>
      <c r="T244" s="647">
        <f t="shared" si="60"/>
        <v>0</v>
      </c>
    </row>
    <row r="245" spans="1:20" ht="31.5">
      <c r="A245" s="644">
        <v>52</v>
      </c>
      <c r="B245" s="426">
        <v>7000026864</v>
      </c>
      <c r="C245" s="426">
        <v>620</v>
      </c>
      <c r="D245" s="426" t="s">
        <v>686</v>
      </c>
      <c r="E245" s="426">
        <v>1000024186</v>
      </c>
      <c r="F245" s="426">
        <v>85354010</v>
      </c>
      <c r="G245" s="422"/>
      <c r="H245" s="426">
        <v>18</v>
      </c>
      <c r="I245" s="423"/>
      <c r="J245" s="425" t="s">
        <v>531</v>
      </c>
      <c r="K245" s="426" t="s">
        <v>506</v>
      </c>
      <c r="L245" s="426">
        <v>1</v>
      </c>
      <c r="M245" s="565"/>
      <c r="N245" s="428" t="str">
        <f t="shared" si="59"/>
        <v>INCLUDED</v>
      </c>
      <c r="O245" s="645">
        <f t="shared" si="61"/>
        <v>0</v>
      </c>
      <c r="P245" s="645">
        <f t="shared" si="62"/>
        <v>0</v>
      </c>
      <c r="Q245" s="645">
        <f>Discount!$H$36</f>
        <v>0</v>
      </c>
      <c r="R245" s="646">
        <f t="shared" si="63"/>
        <v>0</v>
      </c>
      <c r="S245" s="646">
        <f t="shared" si="64"/>
        <v>0</v>
      </c>
      <c r="T245" s="647">
        <f t="shared" si="60"/>
        <v>0</v>
      </c>
    </row>
    <row r="246" spans="1:20" ht="31.5">
      <c r="A246" s="644">
        <v>53</v>
      </c>
      <c r="B246" s="426">
        <v>7000026864</v>
      </c>
      <c r="C246" s="426">
        <v>630</v>
      </c>
      <c r="D246" s="426" t="s">
        <v>686</v>
      </c>
      <c r="E246" s="426">
        <v>1000025930</v>
      </c>
      <c r="F246" s="426">
        <v>85354010</v>
      </c>
      <c r="G246" s="422"/>
      <c r="H246" s="426">
        <v>18</v>
      </c>
      <c r="I246" s="423"/>
      <c r="J246" s="425" t="s">
        <v>551</v>
      </c>
      <c r="K246" s="426" t="s">
        <v>471</v>
      </c>
      <c r="L246" s="426">
        <v>1</v>
      </c>
      <c r="M246" s="565"/>
      <c r="N246" s="428" t="str">
        <f t="shared" si="59"/>
        <v>INCLUDED</v>
      </c>
      <c r="O246" s="645">
        <f t="shared" si="61"/>
        <v>0</v>
      </c>
      <c r="P246" s="645">
        <f t="shared" si="62"/>
        <v>0</v>
      </c>
      <c r="Q246" s="645">
        <f>Discount!$H$36</f>
        <v>0</v>
      </c>
      <c r="R246" s="646">
        <f t="shared" si="63"/>
        <v>0</v>
      </c>
      <c r="S246" s="646">
        <f t="shared" si="64"/>
        <v>0</v>
      </c>
      <c r="T246" s="647">
        <f t="shared" si="60"/>
        <v>0</v>
      </c>
    </row>
    <row r="247" spans="1:20">
      <c r="A247" s="648">
        <v>54</v>
      </c>
      <c r="B247" s="426">
        <v>7000026864</v>
      </c>
      <c r="C247" s="426">
        <v>650</v>
      </c>
      <c r="D247" s="426" t="s">
        <v>687</v>
      </c>
      <c r="E247" s="426">
        <v>1000017518</v>
      </c>
      <c r="F247" s="426">
        <v>85364900</v>
      </c>
      <c r="G247" s="422"/>
      <c r="H247" s="426">
        <v>18</v>
      </c>
      <c r="I247" s="423"/>
      <c r="J247" s="425" t="s">
        <v>512</v>
      </c>
      <c r="K247" s="426" t="s">
        <v>470</v>
      </c>
      <c r="L247" s="426">
        <v>1</v>
      </c>
      <c r="M247" s="565"/>
      <c r="N247" s="428" t="str">
        <f t="shared" si="59"/>
        <v>INCLUDED</v>
      </c>
      <c r="O247" s="645">
        <f t="shared" si="61"/>
        <v>0</v>
      </c>
      <c r="P247" s="645">
        <f t="shared" si="62"/>
        <v>0</v>
      </c>
      <c r="Q247" s="645">
        <f>Discount!$H$36</f>
        <v>0</v>
      </c>
      <c r="R247" s="646">
        <f t="shared" si="63"/>
        <v>0</v>
      </c>
      <c r="S247" s="646">
        <f t="shared" si="64"/>
        <v>0</v>
      </c>
      <c r="T247" s="647">
        <f t="shared" si="60"/>
        <v>0</v>
      </c>
    </row>
    <row r="248" spans="1:20">
      <c r="A248" s="644">
        <v>55</v>
      </c>
      <c r="B248" s="426">
        <v>7000026864</v>
      </c>
      <c r="C248" s="426">
        <v>660</v>
      </c>
      <c r="D248" s="426" t="s">
        <v>687</v>
      </c>
      <c r="E248" s="426">
        <v>1000022512</v>
      </c>
      <c r="F248" s="426">
        <v>90311000</v>
      </c>
      <c r="G248" s="422"/>
      <c r="H248" s="426">
        <v>18</v>
      </c>
      <c r="I248" s="423"/>
      <c r="J248" s="425" t="s">
        <v>513</v>
      </c>
      <c r="K248" s="426" t="s">
        <v>470</v>
      </c>
      <c r="L248" s="426">
        <v>1</v>
      </c>
      <c r="M248" s="565"/>
      <c r="N248" s="428" t="str">
        <f t="shared" si="59"/>
        <v>INCLUDED</v>
      </c>
      <c r="O248" s="645">
        <f t="shared" si="61"/>
        <v>0</v>
      </c>
      <c r="P248" s="645">
        <f t="shared" si="62"/>
        <v>0</v>
      </c>
      <c r="Q248" s="645">
        <f>Discount!$H$36</f>
        <v>0</v>
      </c>
      <c r="R248" s="646">
        <f t="shared" si="63"/>
        <v>0</v>
      </c>
      <c r="S248" s="646">
        <f t="shared" si="64"/>
        <v>0</v>
      </c>
      <c r="T248" s="647">
        <f t="shared" si="60"/>
        <v>0</v>
      </c>
    </row>
    <row r="249" spans="1:20">
      <c r="A249" s="644">
        <v>56</v>
      </c>
      <c r="B249" s="426">
        <v>7000026864</v>
      </c>
      <c r="C249" s="426">
        <v>670</v>
      </c>
      <c r="D249" s="426" t="s">
        <v>687</v>
      </c>
      <c r="E249" s="426">
        <v>1000071061</v>
      </c>
      <c r="F249" s="426">
        <v>85176290</v>
      </c>
      <c r="G249" s="422"/>
      <c r="H249" s="426">
        <v>18</v>
      </c>
      <c r="I249" s="423"/>
      <c r="J249" s="425" t="s">
        <v>595</v>
      </c>
      <c r="K249" s="426" t="s">
        <v>470</v>
      </c>
      <c r="L249" s="426">
        <v>1</v>
      </c>
      <c r="M249" s="565"/>
      <c r="N249" s="428" t="str">
        <f t="shared" si="59"/>
        <v>INCLUDED</v>
      </c>
      <c r="O249" s="645">
        <f t="shared" si="61"/>
        <v>0</v>
      </c>
      <c r="P249" s="645">
        <f t="shared" si="62"/>
        <v>0</v>
      </c>
      <c r="Q249" s="645">
        <f>Discount!$H$36</f>
        <v>0</v>
      </c>
      <c r="R249" s="646">
        <f t="shared" si="63"/>
        <v>0</v>
      </c>
      <c r="S249" s="646">
        <f t="shared" si="64"/>
        <v>0</v>
      </c>
      <c r="T249" s="647">
        <f t="shared" si="60"/>
        <v>0</v>
      </c>
    </row>
    <row r="250" spans="1:20">
      <c r="A250" s="648">
        <v>57</v>
      </c>
      <c r="B250" s="426">
        <v>7000026864</v>
      </c>
      <c r="C250" s="426">
        <v>680</v>
      </c>
      <c r="D250" s="426" t="s">
        <v>687</v>
      </c>
      <c r="E250" s="426">
        <v>1000071062</v>
      </c>
      <c r="F250" s="426">
        <v>85176290</v>
      </c>
      <c r="G250" s="422"/>
      <c r="H250" s="426">
        <v>18</v>
      </c>
      <c r="I250" s="423"/>
      <c r="J250" s="425" t="s">
        <v>596</v>
      </c>
      <c r="K250" s="426" t="s">
        <v>470</v>
      </c>
      <c r="L250" s="426">
        <v>1</v>
      </c>
      <c r="M250" s="565"/>
      <c r="N250" s="428" t="str">
        <f t="shared" si="59"/>
        <v>INCLUDED</v>
      </c>
      <c r="O250" s="645">
        <f t="shared" si="61"/>
        <v>0</v>
      </c>
      <c r="P250" s="645">
        <f t="shared" si="62"/>
        <v>0</v>
      </c>
      <c r="Q250" s="645">
        <f>Discount!$H$36</f>
        <v>0</v>
      </c>
      <c r="R250" s="646">
        <f t="shared" si="63"/>
        <v>0</v>
      </c>
      <c r="S250" s="646">
        <f t="shared" si="64"/>
        <v>0</v>
      </c>
      <c r="T250" s="647">
        <f t="shared" si="60"/>
        <v>0</v>
      </c>
    </row>
    <row r="251" spans="1:20" ht="31.5">
      <c r="A251" s="644">
        <v>58</v>
      </c>
      <c r="B251" s="426">
        <v>7000026864</v>
      </c>
      <c r="C251" s="426">
        <v>690</v>
      </c>
      <c r="D251" s="426" t="s">
        <v>687</v>
      </c>
      <c r="E251" s="426">
        <v>1000022487</v>
      </c>
      <c r="F251" s="426">
        <v>85447090</v>
      </c>
      <c r="G251" s="422"/>
      <c r="H251" s="426">
        <v>18</v>
      </c>
      <c r="I251" s="423"/>
      <c r="J251" s="425" t="s">
        <v>514</v>
      </c>
      <c r="K251" s="426" t="s">
        <v>470</v>
      </c>
      <c r="L251" s="426">
        <v>1</v>
      </c>
      <c r="M251" s="565"/>
      <c r="N251" s="428" t="str">
        <f t="shared" si="59"/>
        <v>INCLUDED</v>
      </c>
      <c r="O251" s="645">
        <f t="shared" si="61"/>
        <v>0</v>
      </c>
      <c r="P251" s="645">
        <f t="shared" si="62"/>
        <v>0</v>
      </c>
      <c r="Q251" s="645">
        <f>Discount!$H$36</f>
        <v>0</v>
      </c>
      <c r="R251" s="646">
        <f t="shared" si="63"/>
        <v>0</v>
      </c>
      <c r="S251" s="646">
        <f t="shared" si="64"/>
        <v>0</v>
      </c>
      <c r="T251" s="647">
        <f t="shared" si="60"/>
        <v>0</v>
      </c>
    </row>
    <row r="252" spans="1:20">
      <c r="A252" s="644">
        <v>59</v>
      </c>
      <c r="B252" s="426">
        <v>7000026864</v>
      </c>
      <c r="C252" s="426">
        <v>700</v>
      </c>
      <c r="D252" s="426" t="s">
        <v>687</v>
      </c>
      <c r="E252" s="426">
        <v>1000030641</v>
      </c>
      <c r="F252" s="426">
        <v>85389000</v>
      </c>
      <c r="G252" s="422"/>
      <c r="H252" s="426">
        <v>18</v>
      </c>
      <c r="I252" s="423"/>
      <c r="J252" s="425" t="s">
        <v>597</v>
      </c>
      <c r="K252" s="426" t="s">
        <v>470</v>
      </c>
      <c r="L252" s="426">
        <v>2</v>
      </c>
      <c r="M252" s="565"/>
      <c r="N252" s="428" t="str">
        <f t="shared" si="59"/>
        <v>INCLUDED</v>
      </c>
      <c r="O252" s="645">
        <f t="shared" si="61"/>
        <v>0</v>
      </c>
      <c r="P252" s="645">
        <f t="shared" si="62"/>
        <v>0</v>
      </c>
      <c r="Q252" s="645">
        <f>Discount!$H$36</f>
        <v>0</v>
      </c>
      <c r="R252" s="646">
        <f t="shared" si="63"/>
        <v>0</v>
      </c>
      <c r="S252" s="646">
        <f t="shared" si="64"/>
        <v>0</v>
      </c>
      <c r="T252" s="647">
        <f t="shared" si="60"/>
        <v>0</v>
      </c>
    </row>
    <row r="253" spans="1:20" s="638" customFormat="1" ht="33.75" customHeight="1">
      <c r="A253" s="639" t="s">
        <v>562</v>
      </c>
      <c r="B253" s="807" t="s">
        <v>561</v>
      </c>
      <c r="C253" s="808"/>
      <c r="D253" s="809"/>
      <c r="E253" s="643"/>
      <c r="F253" s="643"/>
      <c r="G253" s="643"/>
      <c r="H253" s="643"/>
      <c r="I253" s="643"/>
      <c r="J253" s="643"/>
      <c r="K253" s="643"/>
      <c r="L253" s="643"/>
      <c r="M253" s="643"/>
      <c r="N253" s="643"/>
    </row>
    <row r="254" spans="1:20">
      <c r="A254" s="644">
        <v>1</v>
      </c>
      <c r="B254" s="426">
        <v>7000026863</v>
      </c>
      <c r="C254" s="426">
        <v>10</v>
      </c>
      <c r="D254" s="426" t="s">
        <v>565</v>
      </c>
      <c r="E254" s="426">
        <v>1000004498</v>
      </c>
      <c r="F254" s="426">
        <v>85353090</v>
      </c>
      <c r="G254" s="422"/>
      <c r="H254" s="426">
        <v>18</v>
      </c>
      <c r="I254" s="423"/>
      <c r="J254" s="425" t="s">
        <v>475</v>
      </c>
      <c r="K254" s="426" t="s">
        <v>470</v>
      </c>
      <c r="L254" s="426">
        <v>2</v>
      </c>
      <c r="M254" s="565"/>
      <c r="N254" s="428" t="str">
        <f t="shared" si="59"/>
        <v>INCLUDED</v>
      </c>
      <c r="O254" s="645">
        <f t="shared" si="61"/>
        <v>0</v>
      </c>
      <c r="P254" s="645">
        <f t="shared" si="62"/>
        <v>0</v>
      </c>
      <c r="Q254" s="645">
        <f>Discount!$H$36</f>
        <v>0</v>
      </c>
      <c r="R254" s="646">
        <f t="shared" si="63"/>
        <v>0</v>
      </c>
      <c r="S254" s="646">
        <f t="shared" si="64"/>
        <v>0</v>
      </c>
      <c r="T254" s="647">
        <f t="shared" si="60"/>
        <v>0</v>
      </c>
    </row>
    <row r="255" spans="1:20">
      <c r="A255" s="644">
        <v>2</v>
      </c>
      <c r="B255" s="426">
        <v>7000026863</v>
      </c>
      <c r="C255" s="426">
        <v>20</v>
      </c>
      <c r="D255" s="426" t="s">
        <v>565</v>
      </c>
      <c r="E255" s="426">
        <v>1000004463</v>
      </c>
      <c r="F255" s="426">
        <v>85359090</v>
      </c>
      <c r="G255" s="422"/>
      <c r="H255" s="426">
        <v>18</v>
      </c>
      <c r="I255" s="423"/>
      <c r="J255" s="425" t="s">
        <v>474</v>
      </c>
      <c r="K255" s="426" t="s">
        <v>470</v>
      </c>
      <c r="L255" s="426">
        <v>3</v>
      </c>
      <c r="M255" s="565"/>
      <c r="N255" s="428" t="str">
        <f t="shared" si="59"/>
        <v>INCLUDED</v>
      </c>
      <c r="O255" s="645">
        <f t="shared" si="61"/>
        <v>0</v>
      </c>
      <c r="P255" s="645">
        <f t="shared" si="62"/>
        <v>0</v>
      </c>
      <c r="Q255" s="645">
        <f>Discount!$H$36</f>
        <v>0</v>
      </c>
      <c r="R255" s="646">
        <f t="shared" si="63"/>
        <v>0</v>
      </c>
      <c r="S255" s="646">
        <f t="shared" si="64"/>
        <v>0</v>
      </c>
      <c r="T255" s="647">
        <f t="shared" si="60"/>
        <v>0</v>
      </c>
    </row>
    <row r="256" spans="1:20">
      <c r="A256" s="648">
        <v>3</v>
      </c>
      <c r="B256" s="426">
        <v>7000026863</v>
      </c>
      <c r="C256" s="426">
        <v>30</v>
      </c>
      <c r="D256" s="426" t="s">
        <v>565</v>
      </c>
      <c r="E256" s="426">
        <v>1000004535</v>
      </c>
      <c r="F256" s="426">
        <v>85359090</v>
      </c>
      <c r="G256" s="422"/>
      <c r="H256" s="426">
        <v>18</v>
      </c>
      <c r="I256" s="423"/>
      <c r="J256" s="425" t="s">
        <v>476</v>
      </c>
      <c r="K256" s="426" t="s">
        <v>470</v>
      </c>
      <c r="L256" s="426">
        <v>3</v>
      </c>
      <c r="M256" s="565"/>
      <c r="N256" s="428" t="str">
        <f t="shared" si="59"/>
        <v>INCLUDED</v>
      </c>
      <c r="O256" s="645">
        <f t="shared" si="61"/>
        <v>0</v>
      </c>
      <c r="P256" s="645">
        <f t="shared" si="62"/>
        <v>0</v>
      </c>
      <c r="Q256" s="645">
        <f>Discount!$H$36</f>
        <v>0</v>
      </c>
      <c r="R256" s="646">
        <f t="shared" si="63"/>
        <v>0</v>
      </c>
      <c r="S256" s="646">
        <f t="shared" si="64"/>
        <v>0</v>
      </c>
      <c r="T256" s="647">
        <f t="shared" si="60"/>
        <v>0</v>
      </c>
    </row>
    <row r="257" spans="1:20">
      <c r="A257" s="644">
        <v>4</v>
      </c>
      <c r="B257" s="426">
        <v>7000026863</v>
      </c>
      <c r="C257" s="426">
        <v>40</v>
      </c>
      <c r="D257" s="426" t="s">
        <v>565</v>
      </c>
      <c r="E257" s="426">
        <v>1000020419</v>
      </c>
      <c r="F257" s="426">
        <v>85354010</v>
      </c>
      <c r="G257" s="422"/>
      <c r="H257" s="426">
        <v>18</v>
      </c>
      <c r="I257" s="423"/>
      <c r="J257" s="425" t="s">
        <v>477</v>
      </c>
      <c r="K257" s="426" t="s">
        <v>470</v>
      </c>
      <c r="L257" s="426">
        <v>3</v>
      </c>
      <c r="M257" s="565"/>
      <c r="N257" s="428" t="str">
        <f t="shared" si="59"/>
        <v>INCLUDED</v>
      </c>
      <c r="O257" s="645">
        <f t="shared" si="61"/>
        <v>0</v>
      </c>
      <c r="P257" s="645">
        <f t="shared" si="62"/>
        <v>0</v>
      </c>
      <c r="Q257" s="645">
        <f>Discount!$H$36</f>
        <v>0</v>
      </c>
      <c r="R257" s="646">
        <f t="shared" si="63"/>
        <v>0</v>
      </c>
      <c r="S257" s="646">
        <f t="shared" si="64"/>
        <v>0</v>
      </c>
      <c r="T257" s="647">
        <f t="shared" si="60"/>
        <v>0</v>
      </c>
    </row>
    <row r="258" spans="1:20">
      <c r="A258" s="644">
        <v>5</v>
      </c>
      <c r="B258" s="426">
        <v>7000026863</v>
      </c>
      <c r="C258" s="426">
        <v>50</v>
      </c>
      <c r="D258" s="426" t="s">
        <v>565</v>
      </c>
      <c r="E258" s="426">
        <v>1000004401</v>
      </c>
      <c r="F258" s="426">
        <v>85462040</v>
      </c>
      <c r="G258" s="422"/>
      <c r="H258" s="426">
        <v>18</v>
      </c>
      <c r="I258" s="423"/>
      <c r="J258" s="425" t="s">
        <v>478</v>
      </c>
      <c r="K258" s="426" t="s">
        <v>470</v>
      </c>
      <c r="L258" s="426">
        <v>6</v>
      </c>
      <c r="M258" s="565"/>
      <c r="N258" s="428" t="str">
        <f t="shared" si="59"/>
        <v>INCLUDED</v>
      </c>
      <c r="O258" s="645">
        <f t="shared" si="61"/>
        <v>0</v>
      </c>
      <c r="P258" s="645">
        <f t="shared" si="62"/>
        <v>0</v>
      </c>
      <c r="Q258" s="645">
        <f>Discount!$H$36</f>
        <v>0</v>
      </c>
      <c r="R258" s="646">
        <f t="shared" si="63"/>
        <v>0</v>
      </c>
      <c r="S258" s="646">
        <f t="shared" si="64"/>
        <v>0</v>
      </c>
      <c r="T258" s="647">
        <f t="shared" si="60"/>
        <v>0</v>
      </c>
    </row>
    <row r="259" spans="1:20">
      <c r="A259" s="648">
        <v>6</v>
      </c>
      <c r="B259" s="426">
        <v>7000026863</v>
      </c>
      <c r="C259" s="426">
        <v>60</v>
      </c>
      <c r="D259" s="426" t="s">
        <v>565</v>
      </c>
      <c r="E259" s="426">
        <v>1000004290</v>
      </c>
      <c r="F259" s="426">
        <v>85176210</v>
      </c>
      <c r="G259" s="422"/>
      <c r="H259" s="426">
        <v>18</v>
      </c>
      <c r="I259" s="423"/>
      <c r="J259" s="425" t="s">
        <v>489</v>
      </c>
      <c r="K259" s="426" t="s">
        <v>470</v>
      </c>
      <c r="L259" s="426">
        <v>2</v>
      </c>
      <c r="M259" s="565"/>
      <c r="N259" s="428" t="str">
        <f t="shared" si="59"/>
        <v>INCLUDED</v>
      </c>
      <c r="O259" s="645">
        <f t="shared" si="61"/>
        <v>0</v>
      </c>
      <c r="P259" s="645">
        <f t="shared" si="62"/>
        <v>0</v>
      </c>
      <c r="Q259" s="645">
        <f>Discount!$H$36</f>
        <v>0</v>
      </c>
      <c r="R259" s="646">
        <f t="shared" si="63"/>
        <v>0</v>
      </c>
      <c r="S259" s="646">
        <f t="shared" si="64"/>
        <v>0</v>
      </c>
      <c r="T259" s="647">
        <f t="shared" si="60"/>
        <v>0</v>
      </c>
    </row>
    <row r="260" spans="1:20">
      <c r="A260" s="644">
        <v>7</v>
      </c>
      <c r="B260" s="426">
        <v>7000026863</v>
      </c>
      <c r="C260" s="426">
        <v>70</v>
      </c>
      <c r="D260" s="426" t="s">
        <v>565</v>
      </c>
      <c r="E260" s="426">
        <v>1000004400</v>
      </c>
      <c r="F260" s="426">
        <v>85462040</v>
      </c>
      <c r="G260" s="422"/>
      <c r="H260" s="426">
        <v>18</v>
      </c>
      <c r="I260" s="423"/>
      <c r="J260" s="425" t="s">
        <v>490</v>
      </c>
      <c r="K260" s="426" t="s">
        <v>470</v>
      </c>
      <c r="L260" s="426">
        <v>6</v>
      </c>
      <c r="M260" s="565"/>
      <c r="N260" s="428" t="str">
        <f t="shared" si="59"/>
        <v>INCLUDED</v>
      </c>
      <c r="O260" s="645">
        <f t="shared" si="61"/>
        <v>0</v>
      </c>
      <c r="P260" s="645">
        <f t="shared" si="62"/>
        <v>0</v>
      </c>
      <c r="Q260" s="645">
        <f>Discount!$H$36</f>
        <v>0</v>
      </c>
      <c r="R260" s="646">
        <f t="shared" si="63"/>
        <v>0</v>
      </c>
      <c r="S260" s="646">
        <f t="shared" si="64"/>
        <v>0</v>
      </c>
      <c r="T260" s="647">
        <f t="shared" si="60"/>
        <v>0</v>
      </c>
    </row>
    <row r="261" spans="1:20">
      <c r="A261" s="644">
        <v>8</v>
      </c>
      <c r="B261" s="426">
        <v>7000026863</v>
      </c>
      <c r="C261" s="426">
        <v>80</v>
      </c>
      <c r="D261" s="426" t="s">
        <v>565</v>
      </c>
      <c r="E261" s="426">
        <v>1000004501</v>
      </c>
      <c r="F261" s="426">
        <v>85352913</v>
      </c>
      <c r="G261" s="422"/>
      <c r="H261" s="426">
        <v>18</v>
      </c>
      <c r="I261" s="423"/>
      <c r="J261" s="425" t="s">
        <v>472</v>
      </c>
      <c r="K261" s="426" t="s">
        <v>470</v>
      </c>
      <c r="L261" s="426">
        <v>1</v>
      </c>
      <c r="M261" s="565"/>
      <c r="N261" s="428" t="str">
        <f t="shared" si="59"/>
        <v>INCLUDED</v>
      </c>
      <c r="O261" s="645">
        <f t="shared" si="61"/>
        <v>0</v>
      </c>
      <c r="P261" s="645">
        <f t="shared" si="62"/>
        <v>0</v>
      </c>
      <c r="Q261" s="645">
        <f>Discount!$H$36</f>
        <v>0</v>
      </c>
      <c r="R261" s="646">
        <f t="shared" si="63"/>
        <v>0</v>
      </c>
      <c r="S261" s="646">
        <f t="shared" si="64"/>
        <v>0</v>
      </c>
      <c r="T261" s="647">
        <f t="shared" si="60"/>
        <v>0</v>
      </c>
    </row>
    <row r="262" spans="1:20">
      <c r="A262" s="648">
        <v>9</v>
      </c>
      <c r="B262" s="426">
        <v>7000026863</v>
      </c>
      <c r="C262" s="426">
        <v>100</v>
      </c>
      <c r="D262" s="426" t="s">
        <v>566</v>
      </c>
      <c r="E262" s="426">
        <v>1000011322</v>
      </c>
      <c r="F262" s="426">
        <v>72169990</v>
      </c>
      <c r="G262" s="422"/>
      <c r="H262" s="426">
        <v>18</v>
      </c>
      <c r="I262" s="423"/>
      <c r="J262" s="425" t="s">
        <v>483</v>
      </c>
      <c r="K262" s="426" t="s">
        <v>471</v>
      </c>
      <c r="L262" s="426">
        <v>1</v>
      </c>
      <c r="M262" s="565"/>
      <c r="N262" s="428" t="str">
        <f t="shared" si="59"/>
        <v>INCLUDED</v>
      </c>
      <c r="O262" s="645">
        <f t="shared" si="61"/>
        <v>0</v>
      </c>
      <c r="P262" s="645">
        <f t="shared" si="62"/>
        <v>0</v>
      </c>
      <c r="Q262" s="645">
        <f>Discount!$H$36</f>
        <v>0</v>
      </c>
      <c r="R262" s="646">
        <f t="shared" si="63"/>
        <v>0</v>
      </c>
      <c r="S262" s="646">
        <f t="shared" si="64"/>
        <v>0</v>
      </c>
      <c r="T262" s="647">
        <f t="shared" si="60"/>
        <v>0</v>
      </c>
    </row>
    <row r="263" spans="1:20" ht="31.5">
      <c r="A263" s="644">
        <v>10</v>
      </c>
      <c r="B263" s="426">
        <v>7000026863</v>
      </c>
      <c r="C263" s="426">
        <v>110</v>
      </c>
      <c r="D263" s="426" t="s">
        <v>566</v>
      </c>
      <c r="E263" s="426">
        <v>1000055986</v>
      </c>
      <c r="F263" s="426">
        <v>72169990</v>
      </c>
      <c r="G263" s="422"/>
      <c r="H263" s="426">
        <v>18</v>
      </c>
      <c r="I263" s="423"/>
      <c r="J263" s="425" t="s">
        <v>484</v>
      </c>
      <c r="K263" s="426" t="s">
        <v>470</v>
      </c>
      <c r="L263" s="426">
        <v>6</v>
      </c>
      <c r="M263" s="565"/>
      <c r="N263" s="428" t="str">
        <f t="shared" si="59"/>
        <v>INCLUDED</v>
      </c>
      <c r="O263" s="645">
        <f t="shared" si="61"/>
        <v>0</v>
      </c>
      <c r="P263" s="645">
        <f t="shared" si="62"/>
        <v>0</v>
      </c>
      <c r="Q263" s="645">
        <f>Discount!$H$36</f>
        <v>0</v>
      </c>
      <c r="R263" s="646">
        <f t="shared" si="63"/>
        <v>0</v>
      </c>
      <c r="S263" s="646">
        <f t="shared" si="64"/>
        <v>0</v>
      </c>
      <c r="T263" s="647">
        <f t="shared" si="60"/>
        <v>0</v>
      </c>
    </row>
    <row r="264" spans="1:20" ht="31.5">
      <c r="A264" s="644">
        <v>11</v>
      </c>
      <c r="B264" s="426">
        <v>7000026863</v>
      </c>
      <c r="C264" s="426">
        <v>120</v>
      </c>
      <c r="D264" s="426" t="s">
        <v>566</v>
      </c>
      <c r="E264" s="426">
        <v>1000055991</v>
      </c>
      <c r="F264" s="426">
        <v>72169990</v>
      </c>
      <c r="G264" s="422"/>
      <c r="H264" s="426">
        <v>18</v>
      </c>
      <c r="I264" s="423"/>
      <c r="J264" s="425" t="s">
        <v>482</v>
      </c>
      <c r="K264" s="426" t="s">
        <v>470</v>
      </c>
      <c r="L264" s="426">
        <v>6</v>
      </c>
      <c r="M264" s="565"/>
      <c r="N264" s="428" t="str">
        <f t="shared" ref="N264:N267" si="65">IF(M264=0, "INCLUDED", IF(ISERROR(M264*L264), M264, M264*L264))</f>
        <v>INCLUDED</v>
      </c>
      <c r="O264" s="645">
        <f t="shared" si="53"/>
        <v>0</v>
      </c>
      <c r="P264" s="645">
        <f t="shared" si="54"/>
        <v>0</v>
      </c>
      <c r="Q264" s="645">
        <f>Discount!$H$36</f>
        <v>0</v>
      </c>
      <c r="R264" s="646">
        <f t="shared" si="55"/>
        <v>0</v>
      </c>
      <c r="S264" s="646">
        <f t="shared" si="56"/>
        <v>0</v>
      </c>
      <c r="T264" s="647">
        <f t="shared" ref="T264:T267" si="66">M264*L264</f>
        <v>0</v>
      </c>
    </row>
    <row r="265" spans="1:20" ht="31.5">
      <c r="A265" s="648">
        <v>12</v>
      </c>
      <c r="B265" s="426">
        <v>7000026863</v>
      </c>
      <c r="C265" s="426">
        <v>130</v>
      </c>
      <c r="D265" s="426" t="s">
        <v>566</v>
      </c>
      <c r="E265" s="426">
        <v>1000055984</v>
      </c>
      <c r="F265" s="426">
        <v>72169990</v>
      </c>
      <c r="G265" s="422"/>
      <c r="H265" s="426">
        <v>18</v>
      </c>
      <c r="I265" s="423"/>
      <c r="J265" s="425" t="s">
        <v>481</v>
      </c>
      <c r="K265" s="426" t="s">
        <v>470</v>
      </c>
      <c r="L265" s="426">
        <v>3</v>
      </c>
      <c r="M265" s="565"/>
      <c r="N265" s="428" t="str">
        <f t="shared" si="65"/>
        <v>INCLUDED</v>
      </c>
      <c r="O265" s="645">
        <f t="shared" si="53"/>
        <v>0</v>
      </c>
      <c r="P265" s="645">
        <f t="shared" si="54"/>
        <v>0</v>
      </c>
      <c r="Q265" s="645">
        <f>Discount!$H$36</f>
        <v>0</v>
      </c>
      <c r="R265" s="646">
        <f t="shared" si="55"/>
        <v>0</v>
      </c>
      <c r="S265" s="646">
        <f t="shared" si="56"/>
        <v>0</v>
      </c>
      <c r="T265" s="647">
        <f t="shared" si="66"/>
        <v>0</v>
      </c>
    </row>
    <row r="266" spans="1:20">
      <c r="A266" s="644">
        <v>13</v>
      </c>
      <c r="B266" s="426">
        <v>7000026863</v>
      </c>
      <c r="C266" s="426">
        <v>150</v>
      </c>
      <c r="D266" s="426" t="s">
        <v>713</v>
      </c>
      <c r="E266" s="426">
        <v>1000003398</v>
      </c>
      <c r="F266" s="426">
        <v>85371000</v>
      </c>
      <c r="G266" s="422"/>
      <c r="H266" s="426">
        <v>18</v>
      </c>
      <c r="I266" s="423"/>
      <c r="J266" s="425" t="s">
        <v>487</v>
      </c>
      <c r="K266" s="426" t="s">
        <v>470</v>
      </c>
      <c r="L266" s="426">
        <v>1</v>
      </c>
      <c r="M266" s="565"/>
      <c r="N266" s="428" t="str">
        <f t="shared" si="65"/>
        <v>INCLUDED</v>
      </c>
      <c r="O266" s="645">
        <f t="shared" si="53"/>
        <v>0</v>
      </c>
      <c r="P266" s="645">
        <f t="shared" si="54"/>
        <v>0</v>
      </c>
      <c r="Q266" s="645">
        <f>Discount!$H$36</f>
        <v>0</v>
      </c>
      <c r="R266" s="646">
        <f t="shared" si="55"/>
        <v>0</v>
      </c>
      <c r="S266" s="646">
        <f t="shared" si="56"/>
        <v>0</v>
      </c>
      <c r="T266" s="647">
        <f t="shared" si="66"/>
        <v>0</v>
      </c>
    </row>
    <row r="267" spans="1:20">
      <c r="A267" s="644">
        <v>14</v>
      </c>
      <c r="B267" s="426">
        <v>7000026863</v>
      </c>
      <c r="C267" s="426">
        <v>160</v>
      </c>
      <c r="D267" s="426" t="s">
        <v>713</v>
      </c>
      <c r="E267" s="426">
        <v>1000055446</v>
      </c>
      <c r="F267" s="426">
        <v>85371000</v>
      </c>
      <c r="G267" s="422"/>
      <c r="H267" s="426">
        <v>18</v>
      </c>
      <c r="I267" s="423"/>
      <c r="J267" s="425" t="s">
        <v>547</v>
      </c>
      <c r="K267" s="426" t="s">
        <v>470</v>
      </c>
      <c r="L267" s="426">
        <v>1</v>
      </c>
      <c r="M267" s="565"/>
      <c r="N267" s="428" t="str">
        <f t="shared" si="65"/>
        <v>INCLUDED</v>
      </c>
      <c r="O267" s="645">
        <f t="shared" si="53"/>
        <v>0</v>
      </c>
      <c r="P267" s="645">
        <f t="shared" ref="P267" si="67">IF( I267="",H267*(IF(N267="Included",0,N267))/100,I267*(IF(N267="Included",0,N267)))</f>
        <v>0</v>
      </c>
      <c r="Q267" s="645">
        <f>Discount!$H$36</f>
        <v>0</v>
      </c>
      <c r="R267" s="646">
        <f t="shared" si="55"/>
        <v>0</v>
      </c>
      <c r="S267" s="646">
        <f t="shared" si="56"/>
        <v>0</v>
      </c>
      <c r="T267" s="647">
        <f t="shared" si="66"/>
        <v>0</v>
      </c>
    </row>
    <row r="268" spans="1:20" ht="31.5">
      <c r="A268" s="648">
        <v>15</v>
      </c>
      <c r="B268" s="426">
        <v>7000026863</v>
      </c>
      <c r="C268" s="426">
        <v>170</v>
      </c>
      <c r="D268" s="426" t="s">
        <v>713</v>
      </c>
      <c r="E268" s="426">
        <v>1000064768</v>
      </c>
      <c r="F268" s="426">
        <v>85371000</v>
      </c>
      <c r="G268" s="424"/>
      <c r="H268" s="426">
        <v>18</v>
      </c>
      <c r="I268" s="423"/>
      <c r="J268" s="425" t="s">
        <v>584</v>
      </c>
      <c r="K268" s="426" t="s">
        <v>470</v>
      </c>
      <c r="L268" s="426">
        <v>1</v>
      </c>
      <c r="M268" s="565"/>
      <c r="N268" s="428" t="str">
        <f>IF(M268=0, "INCLUDED", IF(ISERROR(M268*L268), M268, M268*L268))</f>
        <v>INCLUDED</v>
      </c>
      <c r="O268" s="645">
        <f>IF(N268="Included",0,N268)</f>
        <v>0</v>
      </c>
      <c r="P268" s="645">
        <f>IF( I268="",H268*(IF(N268="Included",0,N268))/100,I268*(IF(N268="Included",0,N268)))</f>
        <v>0</v>
      </c>
      <c r="Q268" s="646">
        <f>Discount!$H$36</f>
        <v>0</v>
      </c>
      <c r="R268" s="646">
        <f>Q268*O268</f>
        <v>0</v>
      </c>
      <c r="S268" s="646">
        <f>IF(I268="",H268*R268/100,I268*R268)</f>
        <v>0</v>
      </c>
      <c r="T268" s="647">
        <f>M268*L268</f>
        <v>0</v>
      </c>
    </row>
    <row r="269" spans="1:20">
      <c r="A269" s="644">
        <v>16</v>
      </c>
      <c r="B269" s="426">
        <v>7000026863</v>
      </c>
      <c r="C269" s="426">
        <v>190</v>
      </c>
      <c r="D269" s="426" t="s">
        <v>542</v>
      </c>
      <c r="E269" s="426">
        <v>1000010014</v>
      </c>
      <c r="F269" s="426">
        <v>85176210</v>
      </c>
      <c r="G269" s="422"/>
      <c r="H269" s="426">
        <v>18</v>
      </c>
      <c r="I269" s="423"/>
      <c r="J269" s="425" t="s">
        <v>491</v>
      </c>
      <c r="K269" s="426" t="s">
        <v>471</v>
      </c>
      <c r="L269" s="426">
        <v>2</v>
      </c>
      <c r="M269" s="565"/>
      <c r="N269" s="428" t="str">
        <f t="shared" ref="N269:N319" si="68">IF(M269=0, "INCLUDED", IF(ISERROR(M269*L269), M269, M269*L269))</f>
        <v>INCLUDED</v>
      </c>
      <c r="O269" s="645">
        <f>IF(N269="Included",0,N269)</f>
        <v>0</v>
      </c>
      <c r="P269" s="645">
        <f>IF( I269="",H269*(IF(N269="Included",0,N269))/100,I269*(IF(N269="Included",0,N269)))</f>
        <v>0</v>
      </c>
      <c r="Q269" s="645">
        <f>Discount!$H$36</f>
        <v>0</v>
      </c>
      <c r="R269" s="646">
        <f>Q269*O269</f>
        <v>0</v>
      </c>
      <c r="S269" s="646">
        <f>IF(I269="",H269*R269/100,I269*R269)</f>
        <v>0</v>
      </c>
      <c r="T269" s="647">
        <f t="shared" ref="T269:T319" si="69">M269*L269</f>
        <v>0</v>
      </c>
    </row>
    <row r="270" spans="1:20">
      <c r="A270" s="644">
        <v>17</v>
      </c>
      <c r="B270" s="426">
        <v>7000026863</v>
      </c>
      <c r="C270" s="426">
        <v>200</v>
      </c>
      <c r="D270" s="426" t="s">
        <v>542</v>
      </c>
      <c r="E270" s="426">
        <v>1000028380</v>
      </c>
      <c r="F270" s="426">
        <v>85176210</v>
      </c>
      <c r="G270" s="422"/>
      <c r="H270" s="426">
        <v>18</v>
      </c>
      <c r="I270" s="423"/>
      <c r="J270" s="425" t="s">
        <v>586</v>
      </c>
      <c r="K270" s="426" t="s">
        <v>470</v>
      </c>
      <c r="L270" s="426">
        <v>2</v>
      </c>
      <c r="M270" s="565"/>
      <c r="N270" s="428" t="str">
        <f t="shared" si="68"/>
        <v>INCLUDED</v>
      </c>
      <c r="O270" s="645">
        <f>IF(N270="Included",0,N270)</f>
        <v>0</v>
      </c>
      <c r="P270" s="645">
        <f>IF( I270="",H270*(IF(N270="Included",0,N270))/100,I270*(IF(N270="Included",0,N270)))</f>
        <v>0</v>
      </c>
      <c r="Q270" s="645">
        <f>Discount!$H$36</f>
        <v>0</v>
      </c>
      <c r="R270" s="646">
        <f>Q270*O270</f>
        <v>0</v>
      </c>
      <c r="S270" s="646">
        <f>IF(I270="",H270*R270/100,I270*R270)</f>
        <v>0</v>
      </c>
      <c r="T270" s="647">
        <f t="shared" si="69"/>
        <v>0</v>
      </c>
    </row>
    <row r="271" spans="1:20">
      <c r="A271" s="648">
        <v>18</v>
      </c>
      <c r="B271" s="426">
        <v>7000026863</v>
      </c>
      <c r="C271" s="426">
        <v>210</v>
      </c>
      <c r="D271" s="426" t="s">
        <v>542</v>
      </c>
      <c r="E271" s="426">
        <v>1000017887</v>
      </c>
      <c r="F271" s="426">
        <v>85176210</v>
      </c>
      <c r="G271" s="422"/>
      <c r="H271" s="426">
        <v>18</v>
      </c>
      <c r="I271" s="423"/>
      <c r="J271" s="425" t="s">
        <v>494</v>
      </c>
      <c r="K271" s="426" t="s">
        <v>470</v>
      </c>
      <c r="L271" s="426">
        <v>2</v>
      </c>
      <c r="M271" s="565"/>
      <c r="N271" s="428" t="str">
        <f t="shared" si="68"/>
        <v>INCLUDED</v>
      </c>
      <c r="O271" s="645">
        <f>IF(N271="Included",0,N271)</f>
        <v>0</v>
      </c>
      <c r="P271" s="645">
        <f>IF( I271="",H271*(IF(N271="Included",0,N271))/100,I271*(IF(N271="Included",0,N271)))</f>
        <v>0</v>
      </c>
      <c r="Q271" s="645">
        <f>Discount!$H$36</f>
        <v>0</v>
      </c>
      <c r="R271" s="646">
        <f>Q271*O271</f>
        <v>0</v>
      </c>
      <c r="S271" s="646">
        <f>IF(I271="",H271*R271/100,I271*R271)</f>
        <v>0</v>
      </c>
      <c r="T271" s="647">
        <f t="shared" si="69"/>
        <v>0</v>
      </c>
    </row>
    <row r="272" spans="1:20">
      <c r="A272" s="644">
        <v>19</v>
      </c>
      <c r="B272" s="426">
        <v>7000026863</v>
      </c>
      <c r="C272" s="426">
        <v>220</v>
      </c>
      <c r="D272" s="426" t="s">
        <v>542</v>
      </c>
      <c r="E272" s="426">
        <v>1000010638</v>
      </c>
      <c r="F272" s="426">
        <v>85176210</v>
      </c>
      <c r="G272" s="422"/>
      <c r="H272" s="426">
        <v>18</v>
      </c>
      <c r="I272" s="423"/>
      <c r="J272" s="425" t="s">
        <v>492</v>
      </c>
      <c r="K272" s="426" t="s">
        <v>470</v>
      </c>
      <c r="L272" s="426">
        <v>2</v>
      </c>
      <c r="M272" s="565"/>
      <c r="N272" s="428" t="str">
        <f t="shared" si="68"/>
        <v>INCLUDED</v>
      </c>
      <c r="O272" s="645">
        <f t="shared" ref="O272:O313" si="70">IF(N272="Included",0,N272)</f>
        <v>0</v>
      </c>
      <c r="P272" s="645">
        <f t="shared" ref="P272:P313" si="71">IF( I272="",H272*(IF(N272="Included",0,N272))/100,I272*(IF(N272="Included",0,N272)))</f>
        <v>0</v>
      </c>
      <c r="Q272" s="645">
        <f>Discount!$H$36</f>
        <v>0</v>
      </c>
      <c r="R272" s="646">
        <f t="shared" ref="R272:R313" si="72">Q272*O272</f>
        <v>0</v>
      </c>
      <c r="S272" s="646">
        <f t="shared" ref="S272:S313" si="73">IF(I272="",H272*R272/100,I272*R272)</f>
        <v>0</v>
      </c>
      <c r="T272" s="647">
        <f t="shared" si="69"/>
        <v>0</v>
      </c>
    </row>
    <row r="273" spans="1:20">
      <c r="A273" s="644">
        <v>20</v>
      </c>
      <c r="B273" s="426">
        <v>7000026863</v>
      </c>
      <c r="C273" s="426">
        <v>230</v>
      </c>
      <c r="D273" s="426" t="s">
        <v>542</v>
      </c>
      <c r="E273" s="426">
        <v>1000036908</v>
      </c>
      <c r="F273" s="426">
        <v>85446020</v>
      </c>
      <c r="G273" s="422"/>
      <c r="H273" s="426">
        <v>18</v>
      </c>
      <c r="I273" s="423"/>
      <c r="J273" s="425" t="s">
        <v>587</v>
      </c>
      <c r="K273" s="426" t="s">
        <v>493</v>
      </c>
      <c r="L273" s="426">
        <v>1</v>
      </c>
      <c r="M273" s="565"/>
      <c r="N273" s="428" t="str">
        <f t="shared" si="68"/>
        <v>INCLUDED</v>
      </c>
      <c r="O273" s="645">
        <f t="shared" si="70"/>
        <v>0</v>
      </c>
      <c r="P273" s="645">
        <f t="shared" si="71"/>
        <v>0</v>
      </c>
      <c r="Q273" s="645">
        <f>Discount!$H$36</f>
        <v>0</v>
      </c>
      <c r="R273" s="646">
        <f t="shared" si="72"/>
        <v>0</v>
      </c>
      <c r="S273" s="646">
        <f t="shared" si="73"/>
        <v>0</v>
      </c>
      <c r="T273" s="647">
        <f t="shared" si="69"/>
        <v>0</v>
      </c>
    </row>
    <row r="274" spans="1:20" ht="31.5">
      <c r="A274" s="648">
        <v>21</v>
      </c>
      <c r="B274" s="426">
        <v>7000026863</v>
      </c>
      <c r="C274" s="426">
        <v>250</v>
      </c>
      <c r="D274" s="426" t="s">
        <v>568</v>
      </c>
      <c r="E274" s="426">
        <v>1000006284</v>
      </c>
      <c r="F274" s="426">
        <v>84151090</v>
      </c>
      <c r="G274" s="422"/>
      <c r="H274" s="426">
        <v>28</v>
      </c>
      <c r="I274" s="423"/>
      <c r="J274" s="425" t="s">
        <v>502</v>
      </c>
      <c r="K274" s="426" t="s">
        <v>471</v>
      </c>
      <c r="L274" s="426">
        <v>1</v>
      </c>
      <c r="M274" s="565"/>
      <c r="N274" s="428" t="str">
        <f t="shared" si="68"/>
        <v>INCLUDED</v>
      </c>
      <c r="O274" s="645">
        <f t="shared" si="70"/>
        <v>0</v>
      </c>
      <c r="P274" s="645">
        <f t="shared" si="71"/>
        <v>0</v>
      </c>
      <c r="Q274" s="645">
        <f>Discount!$H$36</f>
        <v>0</v>
      </c>
      <c r="R274" s="646">
        <f t="shared" si="72"/>
        <v>0</v>
      </c>
      <c r="S274" s="646">
        <f t="shared" si="73"/>
        <v>0</v>
      </c>
      <c r="T274" s="647">
        <f t="shared" si="69"/>
        <v>0</v>
      </c>
    </row>
    <row r="275" spans="1:20" ht="31.5">
      <c r="A275" s="644">
        <v>22</v>
      </c>
      <c r="B275" s="426">
        <v>7000026863</v>
      </c>
      <c r="C275" s="426">
        <v>260</v>
      </c>
      <c r="D275" s="426" t="s">
        <v>568</v>
      </c>
      <c r="E275" s="426">
        <v>1000012022</v>
      </c>
      <c r="F275" s="426">
        <v>84241000</v>
      </c>
      <c r="G275" s="422"/>
      <c r="H275" s="426">
        <v>18</v>
      </c>
      <c r="I275" s="423"/>
      <c r="J275" s="425" t="s">
        <v>504</v>
      </c>
      <c r="K275" s="426" t="s">
        <v>470</v>
      </c>
      <c r="L275" s="426">
        <v>1</v>
      </c>
      <c r="M275" s="565"/>
      <c r="N275" s="428" t="str">
        <f t="shared" si="68"/>
        <v>INCLUDED</v>
      </c>
      <c r="O275" s="645">
        <f t="shared" si="70"/>
        <v>0</v>
      </c>
      <c r="P275" s="645">
        <f t="shared" si="71"/>
        <v>0</v>
      </c>
      <c r="Q275" s="645">
        <f>Discount!$H$36</f>
        <v>0</v>
      </c>
      <c r="R275" s="646">
        <f t="shared" si="72"/>
        <v>0</v>
      </c>
      <c r="S275" s="646">
        <f t="shared" si="73"/>
        <v>0</v>
      </c>
      <c r="T275" s="647">
        <f t="shared" si="69"/>
        <v>0</v>
      </c>
    </row>
    <row r="276" spans="1:20" ht="31.5">
      <c r="A276" s="644">
        <v>23</v>
      </c>
      <c r="B276" s="426">
        <v>7000026863</v>
      </c>
      <c r="C276" s="426">
        <v>270</v>
      </c>
      <c r="D276" s="426" t="s">
        <v>568</v>
      </c>
      <c r="E276" s="426">
        <v>1000012018</v>
      </c>
      <c r="F276" s="426">
        <v>85311020</v>
      </c>
      <c r="G276" s="422"/>
      <c r="H276" s="426">
        <v>18</v>
      </c>
      <c r="I276" s="423"/>
      <c r="J276" s="425" t="s">
        <v>503</v>
      </c>
      <c r="K276" s="426" t="s">
        <v>471</v>
      </c>
      <c r="L276" s="426">
        <v>1</v>
      </c>
      <c r="M276" s="565"/>
      <c r="N276" s="428" t="str">
        <f t="shared" si="68"/>
        <v>INCLUDED</v>
      </c>
      <c r="O276" s="645">
        <f t="shared" si="70"/>
        <v>0</v>
      </c>
      <c r="P276" s="645">
        <f t="shared" si="71"/>
        <v>0</v>
      </c>
      <c r="Q276" s="645">
        <f>Discount!$H$36</f>
        <v>0</v>
      </c>
      <c r="R276" s="646">
        <f t="shared" si="72"/>
        <v>0</v>
      </c>
      <c r="S276" s="646">
        <f t="shared" si="73"/>
        <v>0</v>
      </c>
      <c r="T276" s="647">
        <f t="shared" si="69"/>
        <v>0</v>
      </c>
    </row>
    <row r="277" spans="1:20" ht="31.5">
      <c r="A277" s="648">
        <v>24</v>
      </c>
      <c r="B277" s="426">
        <v>7000026863</v>
      </c>
      <c r="C277" s="426">
        <v>280</v>
      </c>
      <c r="D277" s="426" t="s">
        <v>568</v>
      </c>
      <c r="E277" s="426">
        <v>1000013795</v>
      </c>
      <c r="F277" s="426">
        <v>94059900</v>
      </c>
      <c r="G277" s="422"/>
      <c r="H277" s="426">
        <v>18</v>
      </c>
      <c r="I277" s="423"/>
      <c r="J277" s="425" t="s">
        <v>507</v>
      </c>
      <c r="K277" s="426" t="s">
        <v>506</v>
      </c>
      <c r="L277" s="426">
        <v>1</v>
      </c>
      <c r="M277" s="565"/>
      <c r="N277" s="428" t="str">
        <f t="shared" si="68"/>
        <v>INCLUDED</v>
      </c>
      <c r="O277" s="645">
        <f t="shared" si="70"/>
        <v>0</v>
      </c>
      <c r="P277" s="645">
        <f t="shared" si="71"/>
        <v>0</v>
      </c>
      <c r="Q277" s="645">
        <f>Discount!$H$36</f>
        <v>0</v>
      </c>
      <c r="R277" s="646">
        <f t="shared" si="72"/>
        <v>0</v>
      </c>
      <c r="S277" s="646">
        <f t="shared" si="73"/>
        <v>0</v>
      </c>
      <c r="T277" s="647">
        <f t="shared" si="69"/>
        <v>0</v>
      </c>
    </row>
    <row r="278" spans="1:20">
      <c r="A278" s="644">
        <v>25</v>
      </c>
      <c r="B278" s="426">
        <v>7000026863</v>
      </c>
      <c r="C278" s="426">
        <v>300</v>
      </c>
      <c r="D278" s="426" t="s">
        <v>570</v>
      </c>
      <c r="E278" s="426">
        <v>1000032055</v>
      </c>
      <c r="F278" s="426">
        <v>72159090</v>
      </c>
      <c r="G278" s="422"/>
      <c r="H278" s="426">
        <v>18</v>
      </c>
      <c r="I278" s="423"/>
      <c r="J278" s="425" t="s">
        <v>511</v>
      </c>
      <c r="K278" s="426" t="s">
        <v>493</v>
      </c>
      <c r="L278" s="426">
        <v>0.5</v>
      </c>
      <c r="M278" s="565"/>
      <c r="N278" s="428" t="str">
        <f t="shared" ref="N278:N293" si="74">IF(M278=0, "INCLUDED", IF(ISERROR(M278*L278), M278, M278*L278))</f>
        <v>INCLUDED</v>
      </c>
      <c r="O278" s="645">
        <f t="shared" ref="O278:O288" si="75">IF(N278="Included",0,N278)</f>
        <v>0</v>
      </c>
      <c r="P278" s="645">
        <f t="shared" ref="P278:P288" si="76">IF( I278="",H278*(IF(N278="Included",0,N278))/100,I278*(IF(N278="Included",0,N278)))</f>
        <v>0</v>
      </c>
      <c r="Q278" s="645">
        <f>Discount!$H$36</f>
        <v>0</v>
      </c>
      <c r="R278" s="646">
        <f t="shared" ref="R278:R288" si="77">Q278*O278</f>
        <v>0</v>
      </c>
      <c r="S278" s="646">
        <f t="shared" ref="S278:S288" si="78">IF(I278="",H278*R278/100,I278*R278)</f>
        <v>0</v>
      </c>
      <c r="T278" s="647">
        <f t="shared" ref="T278:T293" si="79">M278*L278</f>
        <v>0</v>
      </c>
    </row>
    <row r="279" spans="1:20" ht="31.5">
      <c r="A279" s="644">
        <v>26</v>
      </c>
      <c r="B279" s="426">
        <v>7000026863</v>
      </c>
      <c r="C279" s="426">
        <v>320</v>
      </c>
      <c r="D279" s="426" t="s">
        <v>569</v>
      </c>
      <c r="E279" s="426">
        <v>1000038387</v>
      </c>
      <c r="F279" s="426">
        <v>94051090</v>
      </c>
      <c r="G279" s="422"/>
      <c r="H279" s="426">
        <v>18</v>
      </c>
      <c r="I279" s="423"/>
      <c r="J279" s="425" t="s">
        <v>550</v>
      </c>
      <c r="K279" s="426" t="s">
        <v>470</v>
      </c>
      <c r="L279" s="426">
        <v>5</v>
      </c>
      <c r="M279" s="565"/>
      <c r="N279" s="428" t="str">
        <f t="shared" si="74"/>
        <v>INCLUDED</v>
      </c>
      <c r="O279" s="645">
        <f t="shared" si="75"/>
        <v>0</v>
      </c>
      <c r="P279" s="645">
        <f t="shared" si="76"/>
        <v>0</v>
      </c>
      <c r="Q279" s="645">
        <f>Discount!$H$36</f>
        <v>0</v>
      </c>
      <c r="R279" s="646">
        <f t="shared" si="77"/>
        <v>0</v>
      </c>
      <c r="S279" s="646">
        <f t="shared" si="78"/>
        <v>0</v>
      </c>
      <c r="T279" s="647">
        <f t="shared" si="79"/>
        <v>0</v>
      </c>
    </row>
    <row r="280" spans="1:20" ht="31.5">
      <c r="A280" s="648">
        <v>27</v>
      </c>
      <c r="B280" s="426">
        <v>7000026863</v>
      </c>
      <c r="C280" s="426">
        <v>330</v>
      </c>
      <c r="D280" s="426" t="s">
        <v>569</v>
      </c>
      <c r="E280" s="426">
        <v>1000038325</v>
      </c>
      <c r="F280" s="426">
        <v>94059900</v>
      </c>
      <c r="G280" s="422"/>
      <c r="H280" s="426">
        <v>18</v>
      </c>
      <c r="I280" s="423"/>
      <c r="J280" s="425" t="s">
        <v>509</v>
      </c>
      <c r="K280" s="426" t="s">
        <v>470</v>
      </c>
      <c r="L280" s="426">
        <v>5</v>
      </c>
      <c r="M280" s="565"/>
      <c r="N280" s="428" t="str">
        <f t="shared" si="74"/>
        <v>INCLUDED</v>
      </c>
      <c r="O280" s="645">
        <f t="shared" si="75"/>
        <v>0</v>
      </c>
      <c r="P280" s="645">
        <f t="shared" si="76"/>
        <v>0</v>
      </c>
      <c r="Q280" s="645">
        <f>Discount!$H$36</f>
        <v>0</v>
      </c>
      <c r="R280" s="646">
        <f t="shared" si="77"/>
        <v>0</v>
      </c>
      <c r="S280" s="646">
        <f t="shared" si="78"/>
        <v>0</v>
      </c>
      <c r="T280" s="647">
        <f t="shared" si="79"/>
        <v>0</v>
      </c>
    </row>
    <row r="281" spans="1:20" ht="31.5">
      <c r="A281" s="644">
        <v>28</v>
      </c>
      <c r="B281" s="426">
        <v>7000026863</v>
      </c>
      <c r="C281" s="426">
        <v>340</v>
      </c>
      <c r="D281" s="426" t="s">
        <v>569</v>
      </c>
      <c r="E281" s="426">
        <v>1000020262</v>
      </c>
      <c r="F281" s="426">
        <v>85371000</v>
      </c>
      <c r="G281" s="422"/>
      <c r="H281" s="426">
        <v>18</v>
      </c>
      <c r="I281" s="423"/>
      <c r="J281" s="425" t="s">
        <v>588</v>
      </c>
      <c r="K281" s="426" t="s">
        <v>470</v>
      </c>
      <c r="L281" s="426">
        <v>2</v>
      </c>
      <c r="M281" s="565"/>
      <c r="N281" s="428" t="str">
        <f t="shared" si="74"/>
        <v>INCLUDED</v>
      </c>
      <c r="O281" s="645">
        <f t="shared" si="75"/>
        <v>0</v>
      </c>
      <c r="P281" s="645">
        <f t="shared" si="76"/>
        <v>0</v>
      </c>
      <c r="Q281" s="645">
        <f>Discount!$H$36</f>
        <v>0</v>
      </c>
      <c r="R281" s="646">
        <f t="shared" si="77"/>
        <v>0</v>
      </c>
      <c r="S281" s="646">
        <f t="shared" si="78"/>
        <v>0</v>
      </c>
      <c r="T281" s="647">
        <f t="shared" si="79"/>
        <v>0</v>
      </c>
    </row>
    <row r="282" spans="1:20" ht="31.5">
      <c r="A282" s="644">
        <v>29</v>
      </c>
      <c r="B282" s="426">
        <v>7000026863</v>
      </c>
      <c r="C282" s="426">
        <v>350</v>
      </c>
      <c r="D282" s="426" t="s">
        <v>569</v>
      </c>
      <c r="E282" s="426">
        <v>1000014547</v>
      </c>
      <c r="F282" s="426">
        <v>85371000</v>
      </c>
      <c r="G282" s="422"/>
      <c r="H282" s="426">
        <v>18</v>
      </c>
      <c r="I282" s="423"/>
      <c r="J282" s="425" t="s">
        <v>508</v>
      </c>
      <c r="K282" s="426" t="s">
        <v>470</v>
      </c>
      <c r="L282" s="426">
        <v>1</v>
      </c>
      <c r="M282" s="565"/>
      <c r="N282" s="428" t="str">
        <f t="shared" si="74"/>
        <v>INCLUDED</v>
      </c>
      <c r="O282" s="645">
        <f t="shared" si="75"/>
        <v>0</v>
      </c>
      <c r="P282" s="645">
        <f t="shared" si="76"/>
        <v>0</v>
      </c>
      <c r="Q282" s="645">
        <f>Discount!$H$36</f>
        <v>0</v>
      </c>
      <c r="R282" s="646">
        <f t="shared" si="77"/>
        <v>0</v>
      </c>
      <c r="S282" s="646">
        <f t="shared" si="78"/>
        <v>0</v>
      </c>
      <c r="T282" s="647">
        <f t="shared" si="79"/>
        <v>0</v>
      </c>
    </row>
    <row r="283" spans="1:20">
      <c r="A283" s="648">
        <v>30</v>
      </c>
      <c r="B283" s="426">
        <v>7000026863</v>
      </c>
      <c r="C283" s="426">
        <v>370</v>
      </c>
      <c r="D283" s="426" t="s">
        <v>576</v>
      </c>
      <c r="E283" s="426">
        <v>1000031964</v>
      </c>
      <c r="F283" s="426">
        <v>85446020</v>
      </c>
      <c r="G283" s="422"/>
      <c r="H283" s="426">
        <v>18</v>
      </c>
      <c r="I283" s="423"/>
      <c r="J283" s="425" t="s">
        <v>515</v>
      </c>
      <c r="K283" s="426" t="s">
        <v>493</v>
      </c>
      <c r="L283" s="426">
        <v>1</v>
      </c>
      <c r="M283" s="565"/>
      <c r="N283" s="428" t="str">
        <f t="shared" si="74"/>
        <v>INCLUDED</v>
      </c>
      <c r="O283" s="645">
        <f t="shared" si="75"/>
        <v>0</v>
      </c>
      <c r="P283" s="645">
        <f t="shared" si="76"/>
        <v>0</v>
      </c>
      <c r="Q283" s="645">
        <f>Discount!$H$36</f>
        <v>0</v>
      </c>
      <c r="R283" s="646">
        <f t="shared" si="77"/>
        <v>0</v>
      </c>
      <c r="S283" s="646">
        <f t="shared" si="78"/>
        <v>0</v>
      </c>
      <c r="T283" s="647">
        <f t="shared" si="79"/>
        <v>0</v>
      </c>
    </row>
    <row r="284" spans="1:20">
      <c r="A284" s="644">
        <v>31</v>
      </c>
      <c r="B284" s="426">
        <v>7000026863</v>
      </c>
      <c r="C284" s="426">
        <v>380</v>
      </c>
      <c r="D284" s="426" t="s">
        <v>576</v>
      </c>
      <c r="E284" s="426">
        <v>1000031987</v>
      </c>
      <c r="F284" s="426">
        <v>85446020</v>
      </c>
      <c r="G284" s="422"/>
      <c r="H284" s="426">
        <v>18</v>
      </c>
      <c r="I284" s="423"/>
      <c r="J284" s="425" t="s">
        <v>516</v>
      </c>
      <c r="K284" s="426" t="s">
        <v>493</v>
      </c>
      <c r="L284" s="426">
        <v>2</v>
      </c>
      <c r="M284" s="565"/>
      <c r="N284" s="428" t="str">
        <f t="shared" si="74"/>
        <v>INCLUDED</v>
      </c>
      <c r="O284" s="645">
        <f t="shared" si="75"/>
        <v>0</v>
      </c>
      <c r="P284" s="645">
        <f t="shared" si="76"/>
        <v>0</v>
      </c>
      <c r="Q284" s="645">
        <f>Discount!$H$36</f>
        <v>0</v>
      </c>
      <c r="R284" s="646">
        <f t="shared" si="77"/>
        <v>0</v>
      </c>
      <c r="S284" s="646">
        <f t="shared" si="78"/>
        <v>0</v>
      </c>
      <c r="T284" s="647">
        <f t="shared" si="79"/>
        <v>0</v>
      </c>
    </row>
    <row r="285" spans="1:20">
      <c r="A285" s="644">
        <v>32</v>
      </c>
      <c r="B285" s="426">
        <v>7000026863</v>
      </c>
      <c r="C285" s="426">
        <v>390</v>
      </c>
      <c r="D285" s="426" t="s">
        <v>576</v>
      </c>
      <c r="E285" s="426">
        <v>1000031887</v>
      </c>
      <c r="F285" s="426">
        <v>85446020</v>
      </c>
      <c r="G285" s="422"/>
      <c r="H285" s="426">
        <v>18</v>
      </c>
      <c r="I285" s="423"/>
      <c r="J285" s="425" t="s">
        <v>517</v>
      </c>
      <c r="K285" s="426" t="s">
        <v>493</v>
      </c>
      <c r="L285" s="426">
        <v>1</v>
      </c>
      <c r="M285" s="565"/>
      <c r="N285" s="428" t="str">
        <f t="shared" si="74"/>
        <v>INCLUDED</v>
      </c>
      <c r="O285" s="645">
        <f t="shared" si="75"/>
        <v>0</v>
      </c>
      <c r="P285" s="645">
        <f t="shared" si="76"/>
        <v>0</v>
      </c>
      <c r="Q285" s="645">
        <f>Discount!$H$36</f>
        <v>0</v>
      </c>
      <c r="R285" s="646">
        <f t="shared" si="77"/>
        <v>0</v>
      </c>
      <c r="S285" s="646">
        <f t="shared" si="78"/>
        <v>0</v>
      </c>
      <c r="T285" s="647">
        <f t="shared" si="79"/>
        <v>0</v>
      </c>
    </row>
    <row r="286" spans="1:20">
      <c r="A286" s="648">
        <v>33</v>
      </c>
      <c r="B286" s="426">
        <v>7000026863</v>
      </c>
      <c r="C286" s="426">
        <v>400</v>
      </c>
      <c r="D286" s="426" t="s">
        <v>576</v>
      </c>
      <c r="E286" s="426">
        <v>1000056264</v>
      </c>
      <c r="F286" s="426">
        <v>85446020</v>
      </c>
      <c r="G286" s="422"/>
      <c r="H286" s="426">
        <v>18</v>
      </c>
      <c r="I286" s="423"/>
      <c r="J286" s="425" t="s">
        <v>519</v>
      </c>
      <c r="K286" s="426" t="s">
        <v>493</v>
      </c>
      <c r="L286" s="426">
        <v>1</v>
      </c>
      <c r="M286" s="565"/>
      <c r="N286" s="428" t="str">
        <f t="shared" si="74"/>
        <v>INCLUDED</v>
      </c>
      <c r="O286" s="645">
        <f t="shared" si="75"/>
        <v>0</v>
      </c>
      <c r="P286" s="645">
        <f t="shared" si="76"/>
        <v>0</v>
      </c>
      <c r="Q286" s="645">
        <f>Discount!$H$36</f>
        <v>0</v>
      </c>
      <c r="R286" s="646">
        <f t="shared" si="77"/>
        <v>0</v>
      </c>
      <c r="S286" s="646">
        <f t="shared" si="78"/>
        <v>0</v>
      </c>
      <c r="T286" s="647">
        <f t="shared" si="79"/>
        <v>0</v>
      </c>
    </row>
    <row r="287" spans="1:20">
      <c r="A287" s="644">
        <v>34</v>
      </c>
      <c r="B287" s="426">
        <v>7000026863</v>
      </c>
      <c r="C287" s="426">
        <v>410</v>
      </c>
      <c r="D287" s="426" t="s">
        <v>576</v>
      </c>
      <c r="E287" s="426">
        <v>1000056265</v>
      </c>
      <c r="F287" s="426">
        <v>85446020</v>
      </c>
      <c r="G287" s="422"/>
      <c r="H287" s="426">
        <v>18</v>
      </c>
      <c r="I287" s="423"/>
      <c r="J287" s="425" t="s">
        <v>520</v>
      </c>
      <c r="K287" s="426" t="s">
        <v>493</v>
      </c>
      <c r="L287" s="426">
        <v>1</v>
      </c>
      <c r="M287" s="565"/>
      <c r="N287" s="428" t="str">
        <f t="shared" si="74"/>
        <v>INCLUDED</v>
      </c>
      <c r="O287" s="645">
        <f t="shared" si="75"/>
        <v>0</v>
      </c>
      <c r="P287" s="645">
        <f t="shared" si="76"/>
        <v>0</v>
      </c>
      <c r="Q287" s="645">
        <f>Discount!$H$36</f>
        <v>0</v>
      </c>
      <c r="R287" s="646">
        <f t="shared" si="77"/>
        <v>0</v>
      </c>
      <c r="S287" s="646">
        <f t="shared" si="78"/>
        <v>0</v>
      </c>
      <c r="T287" s="647">
        <f t="shared" si="79"/>
        <v>0</v>
      </c>
    </row>
    <row r="288" spans="1:20">
      <c r="A288" s="644">
        <v>35</v>
      </c>
      <c r="B288" s="426">
        <v>7000026863</v>
      </c>
      <c r="C288" s="426">
        <v>420</v>
      </c>
      <c r="D288" s="426" t="s">
        <v>576</v>
      </c>
      <c r="E288" s="426">
        <v>1000032049</v>
      </c>
      <c r="F288" s="426">
        <v>85446020</v>
      </c>
      <c r="G288" s="422"/>
      <c r="H288" s="426">
        <v>18</v>
      </c>
      <c r="I288" s="423"/>
      <c r="J288" s="425" t="s">
        <v>590</v>
      </c>
      <c r="K288" s="426" t="s">
        <v>493</v>
      </c>
      <c r="L288" s="426">
        <v>0.5</v>
      </c>
      <c r="M288" s="565"/>
      <c r="N288" s="428" t="str">
        <f t="shared" si="74"/>
        <v>INCLUDED</v>
      </c>
      <c r="O288" s="645">
        <f t="shared" si="75"/>
        <v>0</v>
      </c>
      <c r="P288" s="645">
        <f t="shared" si="76"/>
        <v>0</v>
      </c>
      <c r="Q288" s="645">
        <f>Discount!$H$36</f>
        <v>0</v>
      </c>
      <c r="R288" s="646">
        <f t="shared" si="77"/>
        <v>0</v>
      </c>
      <c r="S288" s="646">
        <f t="shared" si="78"/>
        <v>0</v>
      </c>
      <c r="T288" s="647">
        <f t="shared" si="79"/>
        <v>0</v>
      </c>
    </row>
    <row r="289" spans="1:20">
      <c r="A289" s="648">
        <v>36</v>
      </c>
      <c r="B289" s="426">
        <v>7000026863</v>
      </c>
      <c r="C289" s="426">
        <v>430</v>
      </c>
      <c r="D289" s="426" t="s">
        <v>576</v>
      </c>
      <c r="E289" s="426">
        <v>1000031957</v>
      </c>
      <c r="F289" s="426">
        <v>85446020</v>
      </c>
      <c r="G289" s="422"/>
      <c r="H289" s="426">
        <v>18</v>
      </c>
      <c r="I289" s="423"/>
      <c r="J289" s="425" t="s">
        <v>522</v>
      </c>
      <c r="K289" s="426" t="s">
        <v>493</v>
      </c>
      <c r="L289" s="426">
        <v>1</v>
      </c>
      <c r="M289" s="565"/>
      <c r="N289" s="428" t="str">
        <f t="shared" si="74"/>
        <v>INCLUDED</v>
      </c>
      <c r="O289" s="645">
        <f>IF(N289="Included",0,N289)</f>
        <v>0</v>
      </c>
      <c r="P289" s="645">
        <f>IF( I289="",H289*(IF(N289="Included",0,N289))/100,I289*(IF(N289="Included",0,N289)))</f>
        <v>0</v>
      </c>
      <c r="Q289" s="645">
        <f>Discount!$H$36</f>
        <v>0</v>
      </c>
      <c r="R289" s="646">
        <f>Q289*O289</f>
        <v>0</v>
      </c>
      <c r="S289" s="646">
        <f>IF(I289="",H289*R289/100,I289*R289)</f>
        <v>0</v>
      </c>
      <c r="T289" s="647">
        <f t="shared" si="79"/>
        <v>0</v>
      </c>
    </row>
    <row r="290" spans="1:20">
      <c r="A290" s="644">
        <v>37</v>
      </c>
      <c r="B290" s="426">
        <v>7000026863</v>
      </c>
      <c r="C290" s="426">
        <v>440</v>
      </c>
      <c r="D290" s="426" t="s">
        <v>576</v>
      </c>
      <c r="E290" s="426">
        <v>1000031985</v>
      </c>
      <c r="F290" s="426">
        <v>85446020</v>
      </c>
      <c r="G290" s="422"/>
      <c r="H290" s="426">
        <v>18</v>
      </c>
      <c r="I290" s="423"/>
      <c r="J290" s="425" t="s">
        <v>525</v>
      </c>
      <c r="K290" s="426" t="s">
        <v>493</v>
      </c>
      <c r="L290" s="426">
        <v>1</v>
      </c>
      <c r="M290" s="565"/>
      <c r="N290" s="428" t="str">
        <f t="shared" si="74"/>
        <v>INCLUDED</v>
      </c>
      <c r="O290" s="645">
        <f>IF(N290="Included",0,N290)</f>
        <v>0</v>
      </c>
      <c r="P290" s="645">
        <f>IF( I290="",H290*(IF(N290="Included",0,N290))/100,I290*(IF(N290="Included",0,N290)))</f>
        <v>0</v>
      </c>
      <c r="Q290" s="645">
        <f>Discount!$H$36</f>
        <v>0</v>
      </c>
      <c r="R290" s="646">
        <f>Q290*O290</f>
        <v>0</v>
      </c>
      <c r="S290" s="646">
        <f>IF(I290="",H290*R290/100,I290*R290)</f>
        <v>0</v>
      </c>
      <c r="T290" s="647">
        <f t="shared" si="79"/>
        <v>0</v>
      </c>
    </row>
    <row r="291" spans="1:20">
      <c r="A291" s="644">
        <v>38</v>
      </c>
      <c r="B291" s="426">
        <v>7000026863</v>
      </c>
      <c r="C291" s="426">
        <v>450</v>
      </c>
      <c r="D291" s="426" t="s">
        <v>572</v>
      </c>
      <c r="E291" s="426">
        <v>1000019918</v>
      </c>
      <c r="F291" s="426">
        <v>85359090</v>
      </c>
      <c r="G291" s="422"/>
      <c r="H291" s="426">
        <v>18</v>
      </c>
      <c r="I291" s="423"/>
      <c r="J291" s="425" t="s">
        <v>527</v>
      </c>
      <c r="K291" s="426" t="s">
        <v>506</v>
      </c>
      <c r="L291" s="426">
        <v>1</v>
      </c>
      <c r="M291" s="565"/>
      <c r="N291" s="428" t="str">
        <f t="shared" si="74"/>
        <v>INCLUDED</v>
      </c>
      <c r="O291" s="645">
        <f t="shared" ref="O291:O293" si="80">IF(N291="Included",0,N291)</f>
        <v>0</v>
      </c>
      <c r="P291" s="645">
        <f t="shared" ref="P291:P293" si="81">IF( I291="",H291*(IF(N291="Included",0,N291))/100,I291*(IF(N291="Included",0,N291)))</f>
        <v>0</v>
      </c>
      <c r="Q291" s="645">
        <f>Discount!$H$36</f>
        <v>0</v>
      </c>
      <c r="R291" s="646">
        <f t="shared" ref="R291:R293" si="82">Q291*O291</f>
        <v>0</v>
      </c>
      <c r="S291" s="646">
        <f t="shared" ref="S291:S293" si="83">IF(I291="",H291*R291/100,I291*R291)</f>
        <v>0</v>
      </c>
      <c r="T291" s="647">
        <f t="shared" si="79"/>
        <v>0</v>
      </c>
    </row>
    <row r="292" spans="1:20">
      <c r="A292" s="648">
        <v>39</v>
      </c>
      <c r="B292" s="426">
        <v>7000026641</v>
      </c>
      <c r="C292" s="426">
        <v>10</v>
      </c>
      <c r="D292" s="426" t="s">
        <v>573</v>
      </c>
      <c r="E292" s="426">
        <v>1000019919</v>
      </c>
      <c r="F292" s="426">
        <v>85353090</v>
      </c>
      <c r="G292" s="422"/>
      <c r="H292" s="426">
        <v>18</v>
      </c>
      <c r="I292" s="423"/>
      <c r="J292" s="425" t="s">
        <v>528</v>
      </c>
      <c r="K292" s="426" t="s">
        <v>506</v>
      </c>
      <c r="L292" s="426">
        <v>1</v>
      </c>
      <c r="M292" s="565"/>
      <c r="N292" s="428" t="str">
        <f t="shared" si="74"/>
        <v>INCLUDED</v>
      </c>
      <c r="O292" s="645">
        <f t="shared" si="80"/>
        <v>0</v>
      </c>
      <c r="P292" s="645">
        <f t="shared" si="81"/>
        <v>0</v>
      </c>
      <c r="Q292" s="645">
        <f>Discount!$H$36</f>
        <v>0</v>
      </c>
      <c r="R292" s="646">
        <f t="shared" si="82"/>
        <v>0</v>
      </c>
      <c r="S292" s="646">
        <f t="shared" si="83"/>
        <v>0</v>
      </c>
      <c r="T292" s="647">
        <f t="shared" si="79"/>
        <v>0</v>
      </c>
    </row>
    <row r="293" spans="1:20">
      <c r="A293" s="644">
        <v>40</v>
      </c>
      <c r="B293" s="426">
        <v>7000026863</v>
      </c>
      <c r="C293" s="426">
        <v>460</v>
      </c>
      <c r="D293" s="426" t="s">
        <v>574</v>
      </c>
      <c r="E293" s="426">
        <v>1000025941</v>
      </c>
      <c r="F293" s="426">
        <v>85389000</v>
      </c>
      <c r="G293" s="422"/>
      <c r="H293" s="426">
        <v>18</v>
      </c>
      <c r="I293" s="423"/>
      <c r="J293" s="425" t="s">
        <v>529</v>
      </c>
      <c r="K293" s="426" t="s">
        <v>471</v>
      </c>
      <c r="L293" s="426">
        <v>1</v>
      </c>
      <c r="M293" s="565"/>
      <c r="N293" s="428" t="str">
        <f t="shared" si="74"/>
        <v>INCLUDED</v>
      </c>
      <c r="O293" s="645">
        <f t="shared" si="80"/>
        <v>0</v>
      </c>
      <c r="P293" s="645">
        <f t="shared" si="81"/>
        <v>0</v>
      </c>
      <c r="Q293" s="645">
        <f>Discount!$H$36</f>
        <v>0</v>
      </c>
      <c r="R293" s="646">
        <f t="shared" si="82"/>
        <v>0</v>
      </c>
      <c r="S293" s="646">
        <f t="shared" si="83"/>
        <v>0</v>
      </c>
      <c r="T293" s="647">
        <f t="shared" si="79"/>
        <v>0</v>
      </c>
    </row>
    <row r="294" spans="1:20">
      <c r="A294" s="644">
        <v>41</v>
      </c>
      <c r="B294" s="426">
        <v>7000026641</v>
      </c>
      <c r="C294" s="426">
        <v>20</v>
      </c>
      <c r="D294" s="426" t="s">
        <v>575</v>
      </c>
      <c r="E294" s="426">
        <v>1000024186</v>
      </c>
      <c r="F294" s="426">
        <v>85354010</v>
      </c>
      <c r="G294" s="422"/>
      <c r="H294" s="426">
        <v>18</v>
      </c>
      <c r="I294" s="423"/>
      <c r="J294" s="425" t="s">
        <v>531</v>
      </c>
      <c r="K294" s="426" t="s">
        <v>506</v>
      </c>
      <c r="L294" s="426">
        <v>1</v>
      </c>
      <c r="M294" s="565"/>
      <c r="N294" s="428" t="str">
        <f t="shared" si="68"/>
        <v>INCLUDED</v>
      </c>
      <c r="O294" s="645">
        <f t="shared" si="70"/>
        <v>0</v>
      </c>
      <c r="P294" s="645">
        <f t="shared" si="71"/>
        <v>0</v>
      </c>
      <c r="Q294" s="645">
        <f>Discount!$H$36</f>
        <v>0</v>
      </c>
      <c r="R294" s="646">
        <f t="shared" si="72"/>
        <v>0</v>
      </c>
      <c r="S294" s="646">
        <f t="shared" si="73"/>
        <v>0</v>
      </c>
      <c r="T294" s="647">
        <f t="shared" si="69"/>
        <v>0</v>
      </c>
    </row>
    <row r="295" spans="1:20" ht="47.25">
      <c r="A295" s="648">
        <v>42</v>
      </c>
      <c r="B295" s="426">
        <v>7000026863</v>
      </c>
      <c r="C295" s="426">
        <v>470</v>
      </c>
      <c r="D295" s="426" t="s">
        <v>714</v>
      </c>
      <c r="E295" s="426">
        <v>1000015954</v>
      </c>
      <c r="F295" s="426">
        <v>73082011</v>
      </c>
      <c r="G295" s="422"/>
      <c r="H295" s="426">
        <v>18</v>
      </c>
      <c r="I295" s="423"/>
      <c r="J295" s="425" t="s">
        <v>537</v>
      </c>
      <c r="K295" s="426" t="s">
        <v>536</v>
      </c>
      <c r="L295" s="426">
        <v>20</v>
      </c>
      <c r="M295" s="565"/>
      <c r="N295" s="428" t="str">
        <f t="shared" si="68"/>
        <v>INCLUDED</v>
      </c>
      <c r="O295" s="645">
        <f t="shared" si="70"/>
        <v>0</v>
      </c>
      <c r="P295" s="645">
        <f t="shared" si="71"/>
        <v>0</v>
      </c>
      <c r="Q295" s="645">
        <f>Discount!$H$36</f>
        <v>0</v>
      </c>
      <c r="R295" s="646">
        <f t="shared" si="72"/>
        <v>0</v>
      </c>
      <c r="S295" s="646">
        <f t="shared" si="73"/>
        <v>0</v>
      </c>
      <c r="T295" s="647">
        <f t="shared" si="69"/>
        <v>0</v>
      </c>
    </row>
    <row r="296" spans="1:20" ht="31.5">
      <c r="A296" s="644">
        <v>43</v>
      </c>
      <c r="B296" s="426">
        <v>7000026863</v>
      </c>
      <c r="C296" s="426">
        <v>480</v>
      </c>
      <c r="D296" s="426" t="s">
        <v>714</v>
      </c>
      <c r="E296" s="426">
        <v>1000011713</v>
      </c>
      <c r="F296" s="426">
        <v>73082011</v>
      </c>
      <c r="G296" s="422"/>
      <c r="H296" s="426">
        <v>18</v>
      </c>
      <c r="I296" s="423"/>
      <c r="J296" s="425" t="s">
        <v>538</v>
      </c>
      <c r="K296" s="426" t="s">
        <v>536</v>
      </c>
      <c r="L296" s="426">
        <v>2</v>
      </c>
      <c r="M296" s="565"/>
      <c r="N296" s="428" t="str">
        <f t="shared" si="68"/>
        <v>INCLUDED</v>
      </c>
      <c r="O296" s="645">
        <f t="shared" si="70"/>
        <v>0</v>
      </c>
      <c r="P296" s="645">
        <f t="shared" si="71"/>
        <v>0</v>
      </c>
      <c r="Q296" s="645">
        <f>Discount!$H$36</f>
        <v>0</v>
      </c>
      <c r="R296" s="646">
        <f t="shared" si="72"/>
        <v>0</v>
      </c>
      <c r="S296" s="646">
        <f t="shared" si="73"/>
        <v>0</v>
      </c>
      <c r="T296" s="647">
        <f t="shared" si="69"/>
        <v>0</v>
      </c>
    </row>
    <row r="297" spans="1:20" ht="31.5">
      <c r="A297" s="644">
        <v>44</v>
      </c>
      <c r="B297" s="426">
        <v>7000026863</v>
      </c>
      <c r="C297" s="426">
        <v>490</v>
      </c>
      <c r="D297" s="426" t="s">
        <v>714</v>
      </c>
      <c r="E297" s="426">
        <v>1000012373</v>
      </c>
      <c r="F297" s="426">
        <v>73082011</v>
      </c>
      <c r="G297" s="422"/>
      <c r="H297" s="426">
        <v>18</v>
      </c>
      <c r="I297" s="423"/>
      <c r="J297" s="425" t="s">
        <v>539</v>
      </c>
      <c r="K297" s="426" t="s">
        <v>536</v>
      </c>
      <c r="L297" s="426">
        <v>2</v>
      </c>
      <c r="M297" s="565"/>
      <c r="N297" s="428" t="str">
        <f t="shared" si="68"/>
        <v>INCLUDED</v>
      </c>
      <c r="O297" s="645">
        <f t="shared" si="70"/>
        <v>0</v>
      </c>
      <c r="P297" s="645">
        <f t="shared" si="71"/>
        <v>0</v>
      </c>
      <c r="Q297" s="645">
        <f>Discount!$H$36</f>
        <v>0</v>
      </c>
      <c r="R297" s="646">
        <f t="shared" si="72"/>
        <v>0</v>
      </c>
      <c r="S297" s="646">
        <f t="shared" si="73"/>
        <v>0</v>
      </c>
      <c r="T297" s="647">
        <f t="shared" si="69"/>
        <v>0</v>
      </c>
    </row>
    <row r="298" spans="1:20" ht="63">
      <c r="A298" s="648">
        <v>45</v>
      </c>
      <c r="B298" s="426">
        <v>7000026863</v>
      </c>
      <c r="C298" s="426">
        <v>520</v>
      </c>
      <c r="D298" s="426" t="s">
        <v>578</v>
      </c>
      <c r="E298" s="426">
        <v>1000031367</v>
      </c>
      <c r="F298" s="426">
        <v>85176260</v>
      </c>
      <c r="G298" s="422"/>
      <c r="H298" s="426">
        <v>18</v>
      </c>
      <c r="I298" s="423"/>
      <c r="J298" s="425" t="s">
        <v>495</v>
      </c>
      <c r="K298" s="426" t="s">
        <v>470</v>
      </c>
      <c r="L298" s="426">
        <v>1</v>
      </c>
      <c r="M298" s="565"/>
      <c r="N298" s="428" t="str">
        <f t="shared" si="68"/>
        <v>INCLUDED</v>
      </c>
      <c r="O298" s="645">
        <f t="shared" si="70"/>
        <v>0</v>
      </c>
      <c r="P298" s="645">
        <f t="shared" si="71"/>
        <v>0</v>
      </c>
      <c r="Q298" s="645">
        <f>Discount!$H$36</f>
        <v>0</v>
      </c>
      <c r="R298" s="646">
        <f t="shared" si="72"/>
        <v>0</v>
      </c>
      <c r="S298" s="646">
        <f t="shared" si="73"/>
        <v>0</v>
      </c>
      <c r="T298" s="647">
        <f t="shared" si="69"/>
        <v>0</v>
      </c>
    </row>
    <row r="299" spans="1:20" ht="31.5">
      <c r="A299" s="644">
        <v>46</v>
      </c>
      <c r="B299" s="426">
        <v>7000026863</v>
      </c>
      <c r="C299" s="426">
        <v>530</v>
      </c>
      <c r="D299" s="426" t="s">
        <v>578</v>
      </c>
      <c r="E299" s="426">
        <v>1000018706</v>
      </c>
      <c r="F299" s="426">
        <v>85176990</v>
      </c>
      <c r="G299" s="422"/>
      <c r="H299" s="426">
        <v>18</v>
      </c>
      <c r="I299" s="423"/>
      <c r="J299" s="425" t="s">
        <v>501</v>
      </c>
      <c r="K299" s="426" t="s">
        <v>470</v>
      </c>
      <c r="L299" s="426">
        <v>4</v>
      </c>
      <c r="M299" s="565"/>
      <c r="N299" s="428" t="str">
        <f t="shared" si="68"/>
        <v>INCLUDED</v>
      </c>
      <c r="O299" s="645">
        <f t="shared" si="70"/>
        <v>0</v>
      </c>
      <c r="P299" s="645">
        <f t="shared" si="71"/>
        <v>0</v>
      </c>
      <c r="Q299" s="645">
        <f>Discount!$H$36</f>
        <v>0</v>
      </c>
      <c r="R299" s="646">
        <f t="shared" si="72"/>
        <v>0</v>
      </c>
      <c r="S299" s="646">
        <f t="shared" si="73"/>
        <v>0</v>
      </c>
      <c r="T299" s="647">
        <f t="shared" si="69"/>
        <v>0</v>
      </c>
    </row>
    <row r="300" spans="1:20" ht="31.5">
      <c r="A300" s="644">
        <v>47</v>
      </c>
      <c r="B300" s="426">
        <v>7000026863</v>
      </c>
      <c r="C300" s="426">
        <v>540</v>
      </c>
      <c r="D300" s="426" t="s">
        <v>578</v>
      </c>
      <c r="E300" s="426">
        <v>1000031374</v>
      </c>
      <c r="F300" s="426">
        <v>85176290</v>
      </c>
      <c r="G300" s="422"/>
      <c r="H300" s="426">
        <v>18</v>
      </c>
      <c r="I300" s="423"/>
      <c r="J300" s="425" t="s">
        <v>496</v>
      </c>
      <c r="K300" s="426" t="s">
        <v>471</v>
      </c>
      <c r="L300" s="426">
        <v>2</v>
      </c>
      <c r="M300" s="565"/>
      <c r="N300" s="428" t="str">
        <f t="shared" si="68"/>
        <v>INCLUDED</v>
      </c>
      <c r="O300" s="645">
        <f t="shared" si="70"/>
        <v>0</v>
      </c>
      <c r="P300" s="645">
        <f t="shared" si="71"/>
        <v>0</v>
      </c>
      <c r="Q300" s="645">
        <f>Discount!$H$36</f>
        <v>0</v>
      </c>
      <c r="R300" s="646">
        <f t="shared" si="72"/>
        <v>0</v>
      </c>
      <c r="S300" s="646">
        <f t="shared" si="73"/>
        <v>0</v>
      </c>
      <c r="T300" s="647">
        <f t="shared" si="69"/>
        <v>0</v>
      </c>
    </row>
    <row r="301" spans="1:20" ht="31.5">
      <c r="A301" s="648">
        <v>48</v>
      </c>
      <c r="B301" s="426">
        <v>7000026863</v>
      </c>
      <c r="C301" s="426">
        <v>550</v>
      </c>
      <c r="D301" s="426" t="s">
        <v>578</v>
      </c>
      <c r="E301" s="426">
        <v>1000034950</v>
      </c>
      <c r="F301" s="426">
        <v>85176990</v>
      </c>
      <c r="G301" s="422"/>
      <c r="H301" s="426">
        <v>18</v>
      </c>
      <c r="I301" s="423"/>
      <c r="J301" s="425" t="s">
        <v>497</v>
      </c>
      <c r="K301" s="426" t="s">
        <v>470</v>
      </c>
      <c r="L301" s="426">
        <v>2</v>
      </c>
      <c r="M301" s="565"/>
      <c r="N301" s="428" t="str">
        <f t="shared" si="68"/>
        <v>INCLUDED</v>
      </c>
      <c r="O301" s="645">
        <f t="shared" si="70"/>
        <v>0</v>
      </c>
      <c r="P301" s="645">
        <f t="shared" si="71"/>
        <v>0</v>
      </c>
      <c r="Q301" s="645">
        <f>Discount!$H$36</f>
        <v>0</v>
      </c>
      <c r="R301" s="646">
        <f t="shared" si="72"/>
        <v>0</v>
      </c>
      <c r="S301" s="646">
        <f t="shared" si="73"/>
        <v>0</v>
      </c>
      <c r="T301" s="647">
        <f t="shared" si="69"/>
        <v>0</v>
      </c>
    </row>
    <row r="302" spans="1:20" ht="31.5">
      <c r="A302" s="644">
        <v>49</v>
      </c>
      <c r="B302" s="426">
        <v>7000026863</v>
      </c>
      <c r="C302" s="426">
        <v>560</v>
      </c>
      <c r="D302" s="426" t="s">
        <v>578</v>
      </c>
      <c r="E302" s="426">
        <v>1000031381</v>
      </c>
      <c r="F302" s="426">
        <v>85176290</v>
      </c>
      <c r="G302" s="422"/>
      <c r="H302" s="426">
        <v>18</v>
      </c>
      <c r="I302" s="423"/>
      <c r="J302" s="425" t="s">
        <v>498</v>
      </c>
      <c r="K302" s="426" t="s">
        <v>471</v>
      </c>
      <c r="L302" s="426">
        <v>1</v>
      </c>
      <c r="M302" s="565"/>
      <c r="N302" s="428" t="str">
        <f t="shared" si="68"/>
        <v>INCLUDED</v>
      </c>
      <c r="O302" s="645">
        <f t="shared" si="70"/>
        <v>0</v>
      </c>
      <c r="P302" s="645">
        <f t="shared" si="71"/>
        <v>0</v>
      </c>
      <c r="Q302" s="645">
        <f>Discount!$H$36</f>
        <v>0</v>
      </c>
      <c r="R302" s="646">
        <f t="shared" si="72"/>
        <v>0</v>
      </c>
      <c r="S302" s="646">
        <f t="shared" si="73"/>
        <v>0</v>
      </c>
      <c r="T302" s="647">
        <f t="shared" si="69"/>
        <v>0</v>
      </c>
    </row>
    <row r="303" spans="1:20" ht="31.5">
      <c r="A303" s="644">
        <v>50</v>
      </c>
      <c r="B303" s="426">
        <v>7000026863</v>
      </c>
      <c r="C303" s="426">
        <v>570</v>
      </c>
      <c r="D303" s="426" t="s">
        <v>578</v>
      </c>
      <c r="E303" s="426">
        <v>1000026228</v>
      </c>
      <c r="F303" s="426">
        <v>85176290</v>
      </c>
      <c r="G303" s="422"/>
      <c r="H303" s="426">
        <v>18</v>
      </c>
      <c r="I303" s="423"/>
      <c r="J303" s="425" t="s">
        <v>499</v>
      </c>
      <c r="K303" s="426" t="s">
        <v>470</v>
      </c>
      <c r="L303" s="426">
        <v>1</v>
      </c>
      <c r="M303" s="565"/>
      <c r="N303" s="428" t="str">
        <f t="shared" si="68"/>
        <v>INCLUDED</v>
      </c>
      <c r="O303" s="645">
        <f t="shared" si="70"/>
        <v>0</v>
      </c>
      <c r="P303" s="645">
        <f t="shared" si="71"/>
        <v>0</v>
      </c>
      <c r="Q303" s="645">
        <f>Discount!$H$36</f>
        <v>0</v>
      </c>
      <c r="R303" s="646">
        <f t="shared" si="72"/>
        <v>0</v>
      </c>
      <c r="S303" s="646">
        <f t="shared" si="73"/>
        <v>0</v>
      </c>
      <c r="T303" s="647">
        <f t="shared" si="69"/>
        <v>0</v>
      </c>
    </row>
    <row r="304" spans="1:20" ht="31.5">
      <c r="A304" s="648">
        <v>51</v>
      </c>
      <c r="B304" s="426">
        <v>7000026863</v>
      </c>
      <c r="C304" s="426">
        <v>580</v>
      </c>
      <c r="D304" s="426" t="s">
        <v>578</v>
      </c>
      <c r="E304" s="426">
        <v>1000037545</v>
      </c>
      <c r="F304" s="426">
        <v>85447090</v>
      </c>
      <c r="G304" s="422"/>
      <c r="H304" s="426">
        <v>18</v>
      </c>
      <c r="I304" s="423"/>
      <c r="J304" s="425" t="s">
        <v>591</v>
      </c>
      <c r="K304" s="426" t="s">
        <v>493</v>
      </c>
      <c r="L304" s="426">
        <v>1</v>
      </c>
      <c r="M304" s="565"/>
      <c r="N304" s="428" t="str">
        <f t="shared" si="68"/>
        <v>INCLUDED</v>
      </c>
      <c r="O304" s="645">
        <f t="shared" si="70"/>
        <v>0</v>
      </c>
      <c r="P304" s="645">
        <f t="shared" si="71"/>
        <v>0</v>
      </c>
      <c r="Q304" s="645">
        <f>Discount!$H$36</f>
        <v>0</v>
      </c>
      <c r="R304" s="646">
        <f t="shared" si="72"/>
        <v>0</v>
      </c>
      <c r="S304" s="646">
        <f t="shared" si="73"/>
        <v>0</v>
      </c>
      <c r="T304" s="647">
        <f t="shared" si="69"/>
        <v>0</v>
      </c>
    </row>
    <row r="305" spans="1:20" ht="31.5">
      <c r="A305" s="644">
        <v>52</v>
      </c>
      <c r="B305" s="426">
        <v>7000026863</v>
      </c>
      <c r="C305" s="426">
        <v>590</v>
      </c>
      <c r="D305" s="426" t="s">
        <v>578</v>
      </c>
      <c r="E305" s="426">
        <v>1000066614</v>
      </c>
      <c r="F305" s="426">
        <v>73069011</v>
      </c>
      <c r="G305" s="422"/>
      <c r="H305" s="426">
        <v>18</v>
      </c>
      <c r="I305" s="423"/>
      <c r="J305" s="425" t="s">
        <v>592</v>
      </c>
      <c r="K305" s="426" t="s">
        <v>493</v>
      </c>
      <c r="L305" s="426">
        <v>1</v>
      </c>
      <c r="M305" s="565"/>
      <c r="N305" s="428" t="str">
        <f t="shared" si="68"/>
        <v>INCLUDED</v>
      </c>
      <c r="O305" s="645">
        <f t="shared" si="70"/>
        <v>0</v>
      </c>
      <c r="P305" s="645">
        <f t="shared" si="71"/>
        <v>0</v>
      </c>
      <c r="Q305" s="645">
        <f>Discount!$H$36</f>
        <v>0</v>
      </c>
      <c r="R305" s="646">
        <f t="shared" si="72"/>
        <v>0</v>
      </c>
      <c r="S305" s="646">
        <f t="shared" si="73"/>
        <v>0</v>
      </c>
      <c r="T305" s="647">
        <f t="shared" si="69"/>
        <v>0</v>
      </c>
    </row>
    <row r="306" spans="1:20" ht="31.5">
      <c r="A306" s="644">
        <v>53</v>
      </c>
      <c r="B306" s="426">
        <v>7000026863</v>
      </c>
      <c r="C306" s="426">
        <v>600</v>
      </c>
      <c r="D306" s="426" t="s">
        <v>578</v>
      </c>
      <c r="E306" s="426">
        <v>1000066612</v>
      </c>
      <c r="F306" s="426">
        <v>73071900</v>
      </c>
      <c r="G306" s="422"/>
      <c r="H306" s="426">
        <v>18</v>
      </c>
      <c r="I306" s="423"/>
      <c r="J306" s="425" t="s">
        <v>593</v>
      </c>
      <c r="K306" s="426" t="s">
        <v>470</v>
      </c>
      <c r="L306" s="426">
        <v>100</v>
      </c>
      <c r="M306" s="565"/>
      <c r="N306" s="428" t="str">
        <f t="shared" si="68"/>
        <v>INCLUDED</v>
      </c>
      <c r="O306" s="645">
        <f t="shared" si="70"/>
        <v>0</v>
      </c>
      <c r="P306" s="645">
        <f t="shared" si="71"/>
        <v>0</v>
      </c>
      <c r="Q306" s="645">
        <f>Discount!$H$36</f>
        <v>0</v>
      </c>
      <c r="R306" s="646">
        <f t="shared" si="72"/>
        <v>0</v>
      </c>
      <c r="S306" s="646">
        <f t="shared" si="73"/>
        <v>0</v>
      </c>
      <c r="T306" s="647">
        <f t="shared" si="69"/>
        <v>0</v>
      </c>
    </row>
    <row r="307" spans="1:20" ht="31.5">
      <c r="A307" s="648">
        <v>54</v>
      </c>
      <c r="B307" s="426">
        <v>7000026863</v>
      </c>
      <c r="C307" s="426">
        <v>610</v>
      </c>
      <c r="D307" s="426" t="s">
        <v>578</v>
      </c>
      <c r="E307" s="426">
        <v>1000066613</v>
      </c>
      <c r="F307" s="426">
        <v>83071000</v>
      </c>
      <c r="G307" s="422"/>
      <c r="H307" s="426">
        <v>18</v>
      </c>
      <c r="I307" s="423"/>
      <c r="J307" s="425" t="s">
        <v>594</v>
      </c>
      <c r="K307" s="426" t="s">
        <v>470</v>
      </c>
      <c r="L307" s="426">
        <v>75</v>
      </c>
      <c r="M307" s="565"/>
      <c r="N307" s="428" t="str">
        <f t="shared" si="68"/>
        <v>INCLUDED</v>
      </c>
      <c r="O307" s="645">
        <f t="shared" si="70"/>
        <v>0</v>
      </c>
      <c r="P307" s="645">
        <f t="shared" si="71"/>
        <v>0</v>
      </c>
      <c r="Q307" s="645">
        <f>Discount!$H$36</f>
        <v>0</v>
      </c>
      <c r="R307" s="646">
        <f t="shared" si="72"/>
        <v>0</v>
      </c>
      <c r="S307" s="646">
        <f t="shared" si="73"/>
        <v>0</v>
      </c>
      <c r="T307" s="647">
        <f t="shared" si="69"/>
        <v>0</v>
      </c>
    </row>
    <row r="308" spans="1:20" ht="31.5">
      <c r="A308" s="644">
        <v>55</v>
      </c>
      <c r="B308" s="426">
        <v>7000026863</v>
      </c>
      <c r="C308" s="426">
        <v>620</v>
      </c>
      <c r="D308" s="426" t="s">
        <v>578</v>
      </c>
      <c r="E308" s="426">
        <v>1000023471</v>
      </c>
      <c r="F308" s="426">
        <v>85372000</v>
      </c>
      <c r="G308" s="422"/>
      <c r="H308" s="426">
        <v>18</v>
      </c>
      <c r="I308" s="423"/>
      <c r="J308" s="425" t="s">
        <v>500</v>
      </c>
      <c r="K308" s="426" t="s">
        <v>470</v>
      </c>
      <c r="L308" s="426">
        <v>1</v>
      </c>
      <c r="M308" s="565"/>
      <c r="N308" s="428" t="str">
        <f t="shared" si="68"/>
        <v>INCLUDED</v>
      </c>
      <c r="O308" s="645">
        <f t="shared" si="70"/>
        <v>0</v>
      </c>
      <c r="P308" s="645">
        <f t="shared" si="71"/>
        <v>0</v>
      </c>
      <c r="Q308" s="645">
        <f>Discount!$H$36</f>
        <v>0</v>
      </c>
      <c r="R308" s="646">
        <f t="shared" si="72"/>
        <v>0</v>
      </c>
      <c r="S308" s="646">
        <f t="shared" si="73"/>
        <v>0</v>
      </c>
      <c r="T308" s="647">
        <f t="shared" si="69"/>
        <v>0</v>
      </c>
    </row>
    <row r="309" spans="1:20" ht="31.5">
      <c r="A309" s="644">
        <v>56</v>
      </c>
      <c r="B309" s="426">
        <v>7000026863</v>
      </c>
      <c r="C309" s="426">
        <v>640</v>
      </c>
      <c r="D309" s="426" t="s">
        <v>715</v>
      </c>
      <c r="E309" s="426">
        <v>1000017518</v>
      </c>
      <c r="F309" s="426">
        <v>85364900</v>
      </c>
      <c r="G309" s="422"/>
      <c r="H309" s="426">
        <v>18</v>
      </c>
      <c r="I309" s="423"/>
      <c r="J309" s="425" t="s">
        <v>512</v>
      </c>
      <c r="K309" s="426" t="s">
        <v>470</v>
      </c>
      <c r="L309" s="426">
        <v>1</v>
      </c>
      <c r="M309" s="565"/>
      <c r="N309" s="428" t="str">
        <f t="shared" si="68"/>
        <v>INCLUDED</v>
      </c>
      <c r="O309" s="645">
        <f t="shared" si="70"/>
        <v>0</v>
      </c>
      <c r="P309" s="645">
        <f t="shared" si="71"/>
        <v>0</v>
      </c>
      <c r="Q309" s="645">
        <f>Discount!$H$36</f>
        <v>0</v>
      </c>
      <c r="R309" s="646">
        <f t="shared" si="72"/>
        <v>0</v>
      </c>
      <c r="S309" s="646">
        <f t="shared" si="73"/>
        <v>0</v>
      </c>
      <c r="T309" s="647">
        <f t="shared" si="69"/>
        <v>0</v>
      </c>
    </row>
    <row r="310" spans="1:20" ht="31.5">
      <c r="A310" s="648">
        <v>57</v>
      </c>
      <c r="B310" s="426">
        <v>7000026863</v>
      </c>
      <c r="C310" s="426">
        <v>650</v>
      </c>
      <c r="D310" s="426" t="s">
        <v>715</v>
      </c>
      <c r="E310" s="426">
        <v>1000022512</v>
      </c>
      <c r="F310" s="426">
        <v>90311000</v>
      </c>
      <c r="G310" s="422"/>
      <c r="H310" s="426">
        <v>18</v>
      </c>
      <c r="I310" s="423"/>
      <c r="J310" s="425" t="s">
        <v>513</v>
      </c>
      <c r="K310" s="426" t="s">
        <v>470</v>
      </c>
      <c r="L310" s="426">
        <v>1</v>
      </c>
      <c r="M310" s="565"/>
      <c r="N310" s="428" t="str">
        <f t="shared" si="68"/>
        <v>INCLUDED</v>
      </c>
      <c r="O310" s="645">
        <f t="shared" si="70"/>
        <v>0</v>
      </c>
      <c r="P310" s="645">
        <f t="shared" si="71"/>
        <v>0</v>
      </c>
      <c r="Q310" s="645">
        <f>Discount!$H$36</f>
        <v>0</v>
      </c>
      <c r="R310" s="646">
        <f t="shared" si="72"/>
        <v>0</v>
      </c>
      <c r="S310" s="646">
        <f t="shared" si="73"/>
        <v>0</v>
      </c>
      <c r="T310" s="647">
        <f t="shared" si="69"/>
        <v>0</v>
      </c>
    </row>
    <row r="311" spans="1:20" ht="31.5">
      <c r="A311" s="644">
        <v>58</v>
      </c>
      <c r="B311" s="426">
        <v>7000026863</v>
      </c>
      <c r="C311" s="426">
        <v>660</v>
      </c>
      <c r="D311" s="426" t="s">
        <v>715</v>
      </c>
      <c r="E311" s="426">
        <v>1000071061</v>
      </c>
      <c r="F311" s="426">
        <v>85176290</v>
      </c>
      <c r="G311" s="422"/>
      <c r="H311" s="426">
        <v>18</v>
      </c>
      <c r="I311" s="423"/>
      <c r="J311" s="425" t="s">
        <v>595</v>
      </c>
      <c r="K311" s="426" t="s">
        <v>470</v>
      </c>
      <c r="L311" s="426">
        <v>1</v>
      </c>
      <c r="M311" s="565"/>
      <c r="N311" s="428" t="str">
        <f t="shared" si="68"/>
        <v>INCLUDED</v>
      </c>
      <c r="O311" s="645">
        <f t="shared" si="70"/>
        <v>0</v>
      </c>
      <c r="P311" s="645">
        <f t="shared" si="71"/>
        <v>0</v>
      </c>
      <c r="Q311" s="645">
        <f>Discount!$H$36</f>
        <v>0</v>
      </c>
      <c r="R311" s="646">
        <f t="shared" si="72"/>
        <v>0</v>
      </c>
      <c r="S311" s="646">
        <f t="shared" si="73"/>
        <v>0</v>
      </c>
      <c r="T311" s="647">
        <f t="shared" si="69"/>
        <v>0</v>
      </c>
    </row>
    <row r="312" spans="1:20" ht="31.5">
      <c r="A312" s="644">
        <v>59</v>
      </c>
      <c r="B312" s="426">
        <v>7000026863</v>
      </c>
      <c r="C312" s="426">
        <v>670</v>
      </c>
      <c r="D312" s="426" t="s">
        <v>715</v>
      </c>
      <c r="E312" s="426">
        <v>1000071062</v>
      </c>
      <c r="F312" s="426">
        <v>85176290</v>
      </c>
      <c r="G312" s="422"/>
      <c r="H312" s="426">
        <v>18</v>
      </c>
      <c r="I312" s="423"/>
      <c r="J312" s="425" t="s">
        <v>596</v>
      </c>
      <c r="K312" s="426" t="s">
        <v>470</v>
      </c>
      <c r="L312" s="426">
        <v>1</v>
      </c>
      <c r="M312" s="565"/>
      <c r="N312" s="428" t="str">
        <f t="shared" si="68"/>
        <v>INCLUDED</v>
      </c>
      <c r="O312" s="645">
        <f t="shared" si="70"/>
        <v>0</v>
      </c>
      <c r="P312" s="645">
        <f t="shared" si="71"/>
        <v>0</v>
      </c>
      <c r="Q312" s="645">
        <f>Discount!$H$36</f>
        <v>0</v>
      </c>
      <c r="R312" s="646">
        <f t="shared" si="72"/>
        <v>0</v>
      </c>
      <c r="S312" s="646">
        <f t="shared" si="73"/>
        <v>0</v>
      </c>
      <c r="T312" s="647">
        <f t="shared" si="69"/>
        <v>0</v>
      </c>
    </row>
    <row r="313" spans="1:20" ht="31.5">
      <c r="A313" s="648">
        <v>60</v>
      </c>
      <c r="B313" s="426">
        <v>7000026863</v>
      </c>
      <c r="C313" s="426">
        <v>680</v>
      </c>
      <c r="D313" s="426" t="s">
        <v>715</v>
      </c>
      <c r="E313" s="426">
        <v>1000022487</v>
      </c>
      <c r="F313" s="426">
        <v>85447090</v>
      </c>
      <c r="G313" s="422"/>
      <c r="H313" s="426">
        <v>18</v>
      </c>
      <c r="I313" s="423"/>
      <c r="J313" s="425" t="s">
        <v>514</v>
      </c>
      <c r="K313" s="426" t="s">
        <v>470</v>
      </c>
      <c r="L313" s="426">
        <v>1</v>
      </c>
      <c r="M313" s="565"/>
      <c r="N313" s="428" t="str">
        <f t="shared" si="68"/>
        <v>INCLUDED</v>
      </c>
      <c r="O313" s="645">
        <f t="shared" si="70"/>
        <v>0</v>
      </c>
      <c r="P313" s="645">
        <f t="shared" si="71"/>
        <v>0</v>
      </c>
      <c r="Q313" s="645">
        <f>Discount!$H$36</f>
        <v>0</v>
      </c>
      <c r="R313" s="646">
        <f t="shared" si="72"/>
        <v>0</v>
      </c>
      <c r="S313" s="646">
        <f t="shared" si="73"/>
        <v>0</v>
      </c>
      <c r="T313" s="647">
        <f t="shared" si="69"/>
        <v>0</v>
      </c>
    </row>
    <row r="314" spans="1:20" ht="31.5">
      <c r="A314" s="644">
        <v>61</v>
      </c>
      <c r="B314" s="426">
        <v>7000026863</v>
      </c>
      <c r="C314" s="426">
        <v>690</v>
      </c>
      <c r="D314" s="426" t="s">
        <v>715</v>
      </c>
      <c r="E314" s="426">
        <v>1000030641</v>
      </c>
      <c r="F314" s="426">
        <v>85389000</v>
      </c>
      <c r="G314" s="422"/>
      <c r="H314" s="426">
        <v>18</v>
      </c>
      <c r="I314" s="423"/>
      <c r="J314" s="425" t="s">
        <v>597</v>
      </c>
      <c r="K314" s="426" t="s">
        <v>470</v>
      </c>
      <c r="L314" s="426">
        <v>2</v>
      </c>
      <c r="M314" s="565"/>
      <c r="N314" s="428" t="str">
        <f t="shared" si="68"/>
        <v>INCLUDED</v>
      </c>
      <c r="O314" s="645">
        <f>IF(N314="Included",0,N314)</f>
        <v>0</v>
      </c>
      <c r="P314" s="645">
        <f>IF( I314="",H314*(IF(N314="Included",0,N314))/100,I314*(IF(N314="Included",0,N314)))</f>
        <v>0</v>
      </c>
      <c r="Q314" s="645">
        <f>Discount!$H$36</f>
        <v>0</v>
      </c>
      <c r="R314" s="646">
        <f>Q314*O314</f>
        <v>0</v>
      </c>
      <c r="S314" s="646">
        <f>IF(I314="",H314*R314/100,I314*R314)</f>
        <v>0</v>
      </c>
      <c r="T314" s="647">
        <f t="shared" si="69"/>
        <v>0</v>
      </c>
    </row>
    <row r="315" spans="1:20">
      <c r="A315" s="644">
        <v>62</v>
      </c>
      <c r="B315" s="426">
        <v>7000026863</v>
      </c>
      <c r="C315" s="426">
        <v>720</v>
      </c>
      <c r="D315" s="426" t="s">
        <v>581</v>
      </c>
      <c r="E315" s="426">
        <v>1000025943</v>
      </c>
      <c r="F315" s="426">
        <v>85359090</v>
      </c>
      <c r="G315" s="422"/>
      <c r="H315" s="426">
        <v>18</v>
      </c>
      <c r="I315" s="423"/>
      <c r="J315" s="425" t="s">
        <v>530</v>
      </c>
      <c r="K315" s="426" t="s">
        <v>471</v>
      </c>
      <c r="L315" s="426">
        <v>1</v>
      </c>
      <c r="M315" s="565"/>
      <c r="N315" s="428" t="str">
        <f t="shared" si="68"/>
        <v>INCLUDED</v>
      </c>
      <c r="O315" s="645">
        <f>IF(N315="Included",0,N315)</f>
        <v>0</v>
      </c>
      <c r="P315" s="645">
        <f>IF( I315="",H315*(IF(N315="Included",0,N315))/100,I315*(IF(N315="Included",0,N315)))</f>
        <v>0</v>
      </c>
      <c r="Q315" s="645">
        <f>Discount!$H$36</f>
        <v>0</v>
      </c>
      <c r="R315" s="646">
        <f>Q315*O315</f>
        <v>0</v>
      </c>
      <c r="S315" s="646">
        <f>IF(I315="",H315*R315/100,I315*R315)</f>
        <v>0</v>
      </c>
      <c r="T315" s="647">
        <f t="shared" si="69"/>
        <v>0</v>
      </c>
    </row>
    <row r="316" spans="1:20">
      <c r="A316" s="648">
        <v>63</v>
      </c>
      <c r="B316" s="426">
        <v>7000026863</v>
      </c>
      <c r="C316" s="426">
        <v>730</v>
      </c>
      <c r="D316" s="426" t="s">
        <v>581</v>
      </c>
      <c r="E316" s="426">
        <v>1000004535</v>
      </c>
      <c r="F316" s="426">
        <v>85359090</v>
      </c>
      <c r="G316" s="422"/>
      <c r="H316" s="426">
        <v>18</v>
      </c>
      <c r="I316" s="423"/>
      <c r="J316" s="425" t="s">
        <v>476</v>
      </c>
      <c r="K316" s="426" t="s">
        <v>470</v>
      </c>
      <c r="L316" s="426">
        <v>1</v>
      </c>
      <c r="M316" s="565"/>
      <c r="N316" s="428" t="str">
        <f t="shared" si="68"/>
        <v>INCLUDED</v>
      </c>
      <c r="O316" s="645">
        <f t="shared" ref="O316:O318" si="84">IF(N316="Included",0,N316)</f>
        <v>0</v>
      </c>
      <c r="P316" s="645">
        <f t="shared" ref="P316:P318" si="85">IF( I316="",H316*(IF(N316="Included",0,N316))/100,I316*(IF(N316="Included",0,N316)))</f>
        <v>0</v>
      </c>
      <c r="Q316" s="645">
        <f>Discount!$H$36</f>
        <v>0</v>
      </c>
      <c r="R316" s="646">
        <f t="shared" ref="R316:R318" si="86">Q316*O316</f>
        <v>0</v>
      </c>
      <c r="S316" s="646">
        <f t="shared" ref="S316:S318" si="87">IF(I316="",H316*R316/100,I316*R316)</f>
        <v>0</v>
      </c>
      <c r="T316" s="647">
        <f t="shared" si="69"/>
        <v>0</v>
      </c>
    </row>
    <row r="317" spans="1:20" ht="31.5">
      <c r="A317" s="644">
        <v>64</v>
      </c>
      <c r="B317" s="426">
        <v>7000026863</v>
      </c>
      <c r="C317" s="426">
        <v>740</v>
      </c>
      <c r="D317" s="426" t="s">
        <v>580</v>
      </c>
      <c r="E317" s="426">
        <v>1000019912</v>
      </c>
      <c r="F317" s="426">
        <v>85371000</v>
      </c>
      <c r="G317" s="422"/>
      <c r="H317" s="426">
        <v>18</v>
      </c>
      <c r="I317" s="423"/>
      <c r="J317" s="425" t="s">
        <v>532</v>
      </c>
      <c r="K317" s="426" t="s">
        <v>506</v>
      </c>
      <c r="L317" s="426">
        <v>1</v>
      </c>
      <c r="M317" s="565"/>
      <c r="N317" s="428" t="str">
        <f t="shared" si="68"/>
        <v>INCLUDED</v>
      </c>
      <c r="O317" s="645">
        <f t="shared" si="84"/>
        <v>0</v>
      </c>
      <c r="P317" s="645">
        <f t="shared" si="85"/>
        <v>0</v>
      </c>
      <c r="Q317" s="645">
        <f>Discount!$H$36</f>
        <v>0</v>
      </c>
      <c r="R317" s="646">
        <f t="shared" si="86"/>
        <v>0</v>
      </c>
      <c r="S317" s="646">
        <f t="shared" si="87"/>
        <v>0</v>
      </c>
      <c r="T317" s="647">
        <f t="shared" si="69"/>
        <v>0</v>
      </c>
    </row>
    <row r="318" spans="1:20" ht="31.5">
      <c r="A318" s="644">
        <v>65</v>
      </c>
      <c r="B318" s="426">
        <v>7000026863</v>
      </c>
      <c r="C318" s="426">
        <v>750</v>
      </c>
      <c r="D318" s="426" t="s">
        <v>580</v>
      </c>
      <c r="E318" s="426">
        <v>1000019927</v>
      </c>
      <c r="F318" s="426">
        <v>85389000</v>
      </c>
      <c r="G318" s="422"/>
      <c r="H318" s="426">
        <v>18</v>
      </c>
      <c r="I318" s="423"/>
      <c r="J318" s="425" t="s">
        <v>533</v>
      </c>
      <c r="K318" s="426" t="s">
        <v>506</v>
      </c>
      <c r="L318" s="426">
        <v>1</v>
      </c>
      <c r="M318" s="565"/>
      <c r="N318" s="428" t="str">
        <f t="shared" si="68"/>
        <v>INCLUDED</v>
      </c>
      <c r="O318" s="645">
        <f t="shared" si="84"/>
        <v>0</v>
      </c>
      <c r="P318" s="645">
        <f t="shared" si="85"/>
        <v>0</v>
      </c>
      <c r="Q318" s="645">
        <f>Discount!$H$36</f>
        <v>0</v>
      </c>
      <c r="R318" s="646">
        <f t="shared" si="86"/>
        <v>0</v>
      </c>
      <c r="S318" s="646">
        <f t="shared" si="87"/>
        <v>0</v>
      </c>
      <c r="T318" s="647">
        <f t="shared" si="69"/>
        <v>0</v>
      </c>
    </row>
    <row r="319" spans="1:20" ht="31.5">
      <c r="A319" s="648">
        <v>66</v>
      </c>
      <c r="B319" s="426">
        <v>7000026863</v>
      </c>
      <c r="C319" s="426">
        <v>760</v>
      </c>
      <c r="D319" s="426" t="s">
        <v>582</v>
      </c>
      <c r="E319" s="426">
        <v>1000019213</v>
      </c>
      <c r="F319" s="426">
        <v>85176210</v>
      </c>
      <c r="G319" s="422"/>
      <c r="H319" s="426">
        <v>18</v>
      </c>
      <c r="I319" s="423"/>
      <c r="J319" s="425" t="s">
        <v>598</v>
      </c>
      <c r="K319" s="426" t="s">
        <v>506</v>
      </c>
      <c r="L319" s="426">
        <v>1</v>
      </c>
      <c r="M319" s="565"/>
      <c r="N319" s="428" t="str">
        <f t="shared" si="68"/>
        <v>INCLUDED</v>
      </c>
      <c r="O319" s="645">
        <f t="shared" ref="O319" si="88">IF(N319="Included",0,N319)</f>
        <v>0</v>
      </c>
      <c r="P319" s="645">
        <f t="shared" ref="P319" si="89">IF( I319="",H319*(IF(N319="Included",0,N319))/100,I319*(IF(N319="Included",0,N319)))</f>
        <v>0</v>
      </c>
      <c r="Q319" s="645">
        <f>Discount!$H$36</f>
        <v>0</v>
      </c>
      <c r="R319" s="646">
        <f t="shared" ref="R319" si="90">Q319*O319</f>
        <v>0</v>
      </c>
      <c r="S319" s="646">
        <f t="shared" ref="S319" si="91">IF(I319="",H319*R319/100,I319*R319)</f>
        <v>0</v>
      </c>
      <c r="T319" s="647">
        <f t="shared" si="69"/>
        <v>0</v>
      </c>
    </row>
    <row r="320" spans="1:20" ht="34.5" customHeight="1">
      <c r="A320" s="804"/>
      <c r="B320" s="805"/>
      <c r="C320" s="805"/>
      <c r="D320" s="805"/>
      <c r="E320" s="805"/>
      <c r="F320" s="805"/>
      <c r="G320" s="805"/>
      <c r="H320" s="805"/>
      <c r="I320" s="805"/>
      <c r="J320" s="805"/>
      <c r="K320" s="805"/>
      <c r="L320" s="805"/>
      <c r="M320" s="805"/>
      <c r="N320" s="806"/>
      <c r="O320" s="645"/>
      <c r="P320" s="645"/>
      <c r="Q320" s="645"/>
      <c r="R320" s="646"/>
      <c r="S320" s="646"/>
      <c r="T320" s="647"/>
    </row>
    <row r="321" spans="1:20" ht="16.5" customHeight="1">
      <c r="A321" s="799" t="s">
        <v>457</v>
      </c>
      <c r="B321" s="799"/>
      <c r="C321" s="799"/>
      <c r="D321" s="799"/>
      <c r="E321" s="799"/>
      <c r="F321" s="799"/>
      <c r="G321" s="799"/>
      <c r="H321" s="799"/>
      <c r="I321" s="799"/>
      <c r="J321" s="799"/>
      <c r="K321" s="799"/>
      <c r="L321" s="799"/>
      <c r="M321" s="799"/>
      <c r="N321" s="649">
        <f>SUM(N18:N319)</f>
        <v>0</v>
      </c>
      <c r="O321" s="650"/>
      <c r="P321" s="651">
        <f>SUM(P18:P319)</f>
        <v>0</v>
      </c>
      <c r="Q321" s="652"/>
      <c r="R321" s="653">
        <f>SUM(R18:R319)</f>
        <v>0</v>
      </c>
      <c r="S321" s="654">
        <f>SUM(S18:S319)</f>
        <v>0</v>
      </c>
      <c r="T321" s="647">
        <f>SUM(T18:T319)</f>
        <v>0</v>
      </c>
    </row>
    <row r="322" spans="1:20" ht="16.5">
      <c r="A322" s="799" t="s">
        <v>260</v>
      </c>
      <c r="B322" s="799"/>
      <c r="C322" s="799"/>
      <c r="D322" s="799"/>
      <c r="E322" s="799"/>
      <c r="F322" s="799"/>
      <c r="G322" s="799"/>
      <c r="H322" s="799"/>
      <c r="I322" s="799"/>
      <c r="J322" s="799"/>
      <c r="K322" s="799"/>
      <c r="L322" s="799"/>
      <c r="M322" s="799"/>
      <c r="N322" s="649">
        <f>'Sch-7'!M18</f>
        <v>0</v>
      </c>
      <c r="Q322" s="655"/>
      <c r="R322" s="655"/>
      <c r="S322" s="655"/>
    </row>
    <row r="323" spans="1:20" ht="16.5">
      <c r="A323" s="799" t="s">
        <v>458</v>
      </c>
      <c r="B323" s="799"/>
      <c r="C323" s="799"/>
      <c r="D323" s="799"/>
      <c r="E323" s="799"/>
      <c r="F323" s="799"/>
      <c r="G323" s="799"/>
      <c r="H323" s="799"/>
      <c r="I323" s="799"/>
      <c r="J323" s="799"/>
      <c r="K323" s="799"/>
      <c r="L323" s="799"/>
      <c r="M323" s="799"/>
      <c r="N323" s="649">
        <f>N321+N322</f>
        <v>0</v>
      </c>
      <c r="Q323" s="655"/>
      <c r="R323" s="655"/>
      <c r="S323" s="655"/>
    </row>
    <row r="324" spans="1:20" ht="32.25" customHeight="1">
      <c r="B324" s="801" t="s">
        <v>297</v>
      </c>
      <c r="C324" s="801"/>
      <c r="D324" s="801"/>
      <c r="E324" s="801"/>
      <c r="F324" s="801"/>
      <c r="G324" s="801"/>
      <c r="H324" s="801"/>
      <c r="I324" s="801"/>
      <c r="J324" s="801"/>
      <c r="K324" s="801"/>
      <c r="L324" s="801"/>
      <c r="M324" s="801"/>
      <c r="N324" s="801"/>
      <c r="Q324" s="655"/>
      <c r="R324" s="655"/>
      <c r="S324" s="655"/>
    </row>
    <row r="325" spans="1:20">
      <c r="H325" s="614"/>
      <c r="O325" s="655"/>
      <c r="P325" s="655"/>
      <c r="Q325" s="655"/>
      <c r="R325" s="655"/>
      <c r="S325" s="655"/>
    </row>
    <row r="326" spans="1:20" ht="16.5">
      <c r="B326" s="614" t="s">
        <v>302</v>
      </c>
      <c r="C326" s="803" t="str">
        <f>'Names of Bidder'!C22&amp;" "&amp;'Names of Bidder'!D22&amp;" "&amp;'Names of Bidder'!E22</f>
        <v xml:space="preserve">  </v>
      </c>
      <c r="D326" s="800"/>
      <c r="H326" s="614"/>
      <c r="I326" s="656"/>
      <c r="J326" s="616" t="s">
        <v>304</v>
      </c>
      <c r="K326" s="802" t="str">
        <f>IF('Names of Bidder'!C19="","",'Names of Bidder'!C19)</f>
        <v/>
      </c>
      <c r="L326" s="802"/>
      <c r="M326" s="802"/>
      <c r="N326" s="802"/>
      <c r="O326" s="655"/>
      <c r="P326" s="655"/>
      <c r="Q326" s="655"/>
      <c r="R326" s="655"/>
      <c r="S326" s="655"/>
    </row>
    <row r="327" spans="1:20" ht="16.5">
      <c r="B327" s="614" t="s">
        <v>303</v>
      </c>
      <c r="C327" s="800" t="str">
        <f>IF('Names of Bidder'!C23="","",'Names of Bidder'!C23)</f>
        <v/>
      </c>
      <c r="D327" s="800"/>
      <c r="H327" s="614"/>
      <c r="I327" s="656"/>
      <c r="J327" s="616" t="s">
        <v>119</v>
      </c>
      <c r="K327" s="802" t="str">
        <f>IF('Names of Bidder'!C20="","",'Names of Bidder'!C20)</f>
        <v/>
      </c>
      <c r="L327" s="802"/>
      <c r="M327" s="802"/>
      <c r="N327" s="802"/>
      <c r="O327" s="655"/>
      <c r="P327" s="655"/>
      <c r="Q327" s="655"/>
      <c r="R327" s="655"/>
      <c r="S327" s="655"/>
    </row>
    <row r="328" spans="1:20">
      <c r="H328" s="614"/>
      <c r="O328" s="655"/>
      <c r="P328" s="655"/>
      <c r="Q328" s="655"/>
      <c r="R328" s="655"/>
      <c r="S328" s="655"/>
    </row>
    <row r="329" spans="1:20">
      <c r="G329" s="621"/>
      <c r="H329" s="621"/>
      <c r="I329" s="621"/>
    </row>
    <row r="330" spans="1:20">
      <c r="G330" s="621"/>
      <c r="H330" s="621"/>
      <c r="I330" s="621"/>
    </row>
    <row r="331" spans="1:20">
      <c r="G331" s="621"/>
      <c r="H331" s="621"/>
      <c r="I331" s="621"/>
    </row>
    <row r="332" spans="1:20">
      <c r="G332" s="621"/>
      <c r="H332" s="621"/>
      <c r="I332" s="621"/>
    </row>
    <row r="333" spans="1:20">
      <c r="G333" s="621"/>
      <c r="H333" s="621"/>
      <c r="I333" s="621"/>
    </row>
    <row r="334" spans="1:20">
      <c r="G334" s="621"/>
      <c r="H334" s="621"/>
      <c r="I334" s="621"/>
    </row>
    <row r="335" spans="1:20">
      <c r="G335" s="621"/>
      <c r="H335" s="621"/>
      <c r="I335" s="621"/>
    </row>
    <row r="336" spans="1:20">
      <c r="G336" s="621"/>
      <c r="H336" s="621"/>
      <c r="I336" s="621"/>
    </row>
    <row r="337" spans="7:9">
      <c r="G337" s="621"/>
      <c r="H337" s="621"/>
      <c r="I337" s="621"/>
    </row>
    <row r="338" spans="7:9">
      <c r="G338" s="621"/>
      <c r="H338" s="621"/>
      <c r="I338" s="621"/>
    </row>
    <row r="339" spans="7:9">
      <c r="G339" s="621"/>
      <c r="H339" s="621"/>
      <c r="I339" s="621"/>
    </row>
    <row r="340" spans="7:9">
      <c r="G340" s="621"/>
      <c r="H340" s="621"/>
      <c r="I340" s="621"/>
    </row>
    <row r="341" spans="7:9">
      <c r="G341" s="621"/>
      <c r="H341" s="621"/>
      <c r="I341" s="621"/>
    </row>
    <row r="342" spans="7:9">
      <c r="G342" s="621"/>
      <c r="H342" s="621"/>
      <c r="I342" s="621"/>
    </row>
    <row r="343" spans="7:9">
      <c r="G343" s="621"/>
      <c r="H343" s="621"/>
      <c r="I343" s="621"/>
    </row>
    <row r="344" spans="7:9">
      <c r="G344" s="621"/>
      <c r="H344" s="621"/>
      <c r="I344" s="621"/>
    </row>
    <row r="345" spans="7:9">
      <c r="G345" s="621"/>
      <c r="H345" s="621"/>
      <c r="I345" s="621"/>
    </row>
    <row r="346" spans="7:9">
      <c r="G346" s="621"/>
      <c r="H346" s="621"/>
      <c r="I346" s="621"/>
    </row>
    <row r="347" spans="7:9">
      <c r="G347" s="621"/>
      <c r="H347" s="621"/>
      <c r="I347" s="621"/>
    </row>
    <row r="348" spans="7:9">
      <c r="G348" s="621"/>
      <c r="H348" s="621"/>
      <c r="I348" s="621"/>
    </row>
    <row r="349" spans="7:9">
      <c r="G349" s="621"/>
      <c r="H349" s="621"/>
      <c r="I349" s="621"/>
    </row>
    <row r="350" spans="7:9">
      <c r="G350" s="621"/>
      <c r="H350" s="621"/>
      <c r="I350" s="621"/>
    </row>
    <row r="351" spans="7:9">
      <c r="G351" s="621"/>
      <c r="H351" s="621"/>
      <c r="I351" s="621"/>
    </row>
    <row r="352" spans="7:9">
      <c r="G352" s="621"/>
      <c r="H352" s="621"/>
      <c r="I352" s="621"/>
    </row>
    <row r="353" spans="7:9">
      <c r="G353" s="621"/>
      <c r="H353" s="621"/>
      <c r="I353" s="621"/>
    </row>
    <row r="354" spans="7:9">
      <c r="G354" s="621"/>
      <c r="H354" s="621"/>
      <c r="I354" s="621"/>
    </row>
    <row r="355" spans="7:9">
      <c r="G355" s="621"/>
      <c r="H355" s="621"/>
      <c r="I355" s="621"/>
    </row>
    <row r="356" spans="7:9">
      <c r="G356" s="621"/>
      <c r="H356" s="621"/>
      <c r="I356" s="621"/>
    </row>
    <row r="357" spans="7:9">
      <c r="G357" s="621"/>
      <c r="H357" s="621"/>
      <c r="I357" s="621"/>
    </row>
    <row r="358" spans="7:9">
      <c r="G358" s="621"/>
      <c r="H358" s="621"/>
      <c r="I358" s="621"/>
    </row>
    <row r="359" spans="7:9">
      <c r="G359" s="621"/>
      <c r="H359" s="621"/>
      <c r="I359" s="621"/>
    </row>
    <row r="360" spans="7:9">
      <c r="G360" s="621"/>
      <c r="H360" s="621"/>
      <c r="I360" s="621"/>
    </row>
  </sheetData>
  <sheetProtection algorithmName="SHA-512" hashValue="Wzvg7KhHHRdZjtEEnBk63RSmMbAtmns6OltD/c88aZU0hFdWjzTD3kJHU8M3XMAjGaHFl86QKRMWiS5l5J5eQQ==" saltValue="VdoB/U1/2/emaLNboRnflg==" spinCount="100000" sheet="1" formatColumns="0" formatRows="0" selectLockedCells="1"/>
  <customSheetViews>
    <customSheetView guid="{C497F4E0-7D3E-4065-935D-7086BE9276FE}" scale="85" showPageBreaks="1" fitToPage="1" printArea="1" hiddenColumns="1" view="pageBreakPreview" topLeftCell="A161">
      <selection activeCell="I207" sqref="I207"/>
      <pageMargins left="0.25" right="0.25" top="0.75" bottom="0.5" header="0.3" footer="0.5"/>
      <printOptions horizontalCentered="1"/>
      <pageSetup paperSize="9" scale="44" fitToHeight="0" orientation="landscape" r:id="rId1"/>
      <headerFooter>
        <oddHeader>&amp;RSchedule-1Page &amp;P of &amp;N</oddHeader>
      </headerFooter>
    </customSheetView>
    <customSheetView guid="{889C3D82-0A24-4765-A688-A80A782F5056}" scale="85" showPageBreaks="1" fitToPage="1" printArea="1" hiddenColumns="1" view="pageBreakPreview">
      <selection activeCell="I207" sqref="I207"/>
      <pageMargins left="0.25" right="0.25" top="0.75" bottom="0.5" header="0.3" footer="0.5"/>
      <printOptions horizontalCentered="1"/>
      <pageSetup paperSize="9" scale="44" fitToHeight="0" orientation="landscape" r:id="rId2"/>
      <headerFooter>
        <oddHeader>&amp;RSchedule-1Page &amp;P of &amp;N</oddHeader>
      </headerFooter>
    </customSheetView>
    <customSheetView guid="{89CB4E6A-722E-4E39-885D-E2A6D0D08321}" scale="60" showPageBreaks="1" fitToPage="1" printArea="1" hiddenColumns="1" view="pageBreakPreview">
      <selection activeCell="M18" sqref="M18"/>
      <pageMargins left="0.25" right="0.25" top="0.75" bottom="0.5" header="0.3" footer="0.5"/>
      <printOptions horizontalCentered="1"/>
      <pageSetup paperSize="9" scale="44" fitToHeight="0" orientation="landscape" r:id="rId3"/>
      <headerFooter>
        <oddHeader>&amp;RSchedule-1Page &amp;P of &amp;N</oddHeader>
      </headerFooter>
    </customSheetView>
    <customSheetView guid="{915C64AD-BD67-44F0-9117-5B9D998BA799}" scale="80" showPageBreaks="1" printArea="1" hiddenColumns="1" view="pageBreakPreview" topLeftCell="D7">
      <selection activeCell="M17" sqref="M17"/>
      <pageMargins left="0.25" right="0.25" top="0.75" bottom="0.5" header="0.3" footer="0.5"/>
      <printOptions horizontalCentered="1"/>
      <pageSetup paperSize="9" scale="59" orientation="landscape" r:id="rId4"/>
      <headerFooter>
        <oddHeader>&amp;RSchedule-1Page &amp;P of &amp;N</oddHeader>
      </headerFooter>
    </customSheetView>
    <customSheetView guid="{18EA11B4-BD82-47BF-99FA-7AB19BF74D0B}" scale="80" showPageBreaks="1" printArea="1" hiddenColumns="1" view="pageBreakPreview" topLeftCell="E10">
      <selection activeCell="M18" sqref="M18"/>
      <pageMargins left="0.25" right="0.25" top="0.75" bottom="0.5" header="0.3" footer="0.5"/>
      <printOptions horizontalCentered="1"/>
      <pageSetup paperSize="9" scale="59" orientation="landscape" r:id="rId5"/>
      <headerFooter>
        <oddHeader>&amp;RSchedule-1Page &amp;P of &amp;N</oddHeader>
      </headerFooter>
    </customSheetView>
    <customSheetView guid="{CCA37BAE-906F-43D5-9FD9-B13563E4B9D7}" scale="80" showPageBreaks="1" printArea="1" hiddenColumns="1" view="pageBreakPreview">
      <selection activeCell="M168" sqref="M168:M202"/>
      <pageMargins left="0.25" right="0.25" top="0.75" bottom="0.5" header="0.3" footer="0.5"/>
      <printOptions horizontalCentered="1"/>
      <pageSetup paperSize="9" scale="59" orientation="landscape" r:id="rId6"/>
      <headerFooter>
        <oddHeader>&amp;RSchedule-1Page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7"/>
      <headerFooter>
        <oddHeader>&amp;RSchedule-1Page &amp;P of &amp;N</oddHeader>
      </headerFooter>
    </customSheetView>
    <customSheetView guid="{63D51328-7CBC-4A1E-B96D-BAE91416501B}" showPageBreaks="1" printArea="1" hiddenColumns="1" view="pageBreakPreview" topLeftCell="A87">
      <selection activeCell="M113" sqref="M113"/>
      <pageMargins left="0.25" right="0.25" top="0.75" bottom="0.5" header="0.3" footer="0.5"/>
      <printOptions horizontalCentered="1"/>
      <pageSetup paperSize="9" scale="60" orientation="landscape" r:id="rId8"/>
      <headerFooter>
        <oddHeader>&amp;RSchedule-1Page &amp;P of &amp;N</oddHeader>
      </headerFooter>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9"/>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10"/>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11"/>
      <headerFooter>
        <oddHeader>&amp;RSchedule-1Page &amp;P of &amp;N</oddHeader>
      </headerFooter>
    </customSheetView>
    <customSheetView guid="{A58DB4DF-40C7-4BEB-B85E-6BD6F54941CF}" scale="80" showPageBreaks="1" printArea="1" hiddenColumns="1" view="pageBreakPreview" topLeftCell="D7">
      <selection activeCell="M17" sqref="M17"/>
      <pageMargins left="0.25" right="0.25" top="0.75" bottom="0.5" header="0.3" footer="0.5"/>
      <printOptions horizontalCentered="1"/>
      <pageSetup paperSize="9" scale="59" orientation="landscape" r:id="rId12"/>
      <headerFooter>
        <oddHeader>&amp;RSchedule-1Page &amp;P of &amp;N</oddHeader>
      </headerFooter>
    </customSheetView>
    <customSheetView guid="{1211E1B9-FC37-4364-9CF0-0FFC01866726}" scale="85" showPageBreaks="1" fitToPage="1" printArea="1" hiddenColumns="1" view="pageBreakPreview">
      <selection activeCell="I207" sqref="I207"/>
      <pageMargins left="0.25" right="0.25" top="0.75" bottom="0.5" header="0.3" footer="0.5"/>
      <printOptions horizontalCentered="1"/>
      <pageSetup paperSize="9" scale="44" fitToHeight="0" orientation="landscape" r:id="rId13"/>
      <headerFooter>
        <oddHeader>&amp;RSchedule-1Page &amp;P of &amp;N</oddHeader>
      </headerFooter>
    </customSheetView>
  </customSheetViews>
  <mergeCells count="25">
    <mergeCell ref="A3:N3"/>
    <mergeCell ref="A4:N4"/>
    <mergeCell ref="A6:B6"/>
    <mergeCell ref="A8:G8"/>
    <mergeCell ref="K14:N14"/>
    <mergeCell ref="C12:G12"/>
    <mergeCell ref="C10:G10"/>
    <mergeCell ref="C9:G9"/>
    <mergeCell ref="A7:I7"/>
    <mergeCell ref="A13:N13"/>
    <mergeCell ref="C11:G11"/>
    <mergeCell ref="Z10:AL10"/>
    <mergeCell ref="Z8:AL8"/>
    <mergeCell ref="Z9:AL9"/>
    <mergeCell ref="A321:M321"/>
    <mergeCell ref="C327:D327"/>
    <mergeCell ref="B324:N324"/>
    <mergeCell ref="K327:N327"/>
    <mergeCell ref="K326:N326"/>
    <mergeCell ref="A322:M322"/>
    <mergeCell ref="A323:M323"/>
    <mergeCell ref="C326:D326"/>
    <mergeCell ref="A320:N320"/>
    <mergeCell ref="B193:D193"/>
    <mergeCell ref="B253:D253"/>
  </mergeCells>
  <conditionalFormatting sqref="I18:I89 I91:I192 I194:I252 I254:I319">
    <cfRule type="expression" dxfId="4" priority="4" stopIfTrue="1">
      <formula>H18&gt;0</formula>
    </cfRule>
  </conditionalFormatting>
  <dataValidations count="3">
    <dataValidation type="list" operator="greaterThan" allowBlank="1" showInputMessage="1" showErrorMessage="1" sqref="I18:I89 I91:I319" xr:uid="{00000000-0002-0000-0400-000000000000}">
      <formula1>"0%,5%,12%,18%,28%"</formula1>
    </dataValidation>
    <dataValidation type="whole" operator="greaterThan" allowBlank="1" showInputMessage="1" showErrorMessage="1" sqref="G18:G89 G91:G319" xr:uid="{00000000-0002-0000-0400-000001000000}">
      <formula1>0</formula1>
    </dataValidation>
    <dataValidation type="decimal" operator="greaterThanOrEqual" allowBlank="1" showInputMessage="1" showErrorMessage="1" sqref="M18:M89 M91:M319" xr:uid="{00000000-0002-0000-0400-000002000000}">
      <formula1>0</formula1>
    </dataValidation>
  </dataValidations>
  <printOptions horizontalCentered="1"/>
  <pageMargins left="0.25" right="0.25" top="0.75" bottom="0.5" header="0.3" footer="0.5"/>
  <pageSetup paperSize="9" scale="44" fitToHeight="0" orientation="landscape" r:id="rId14"/>
  <headerFooter>
    <oddHeader>&amp;RSchedule-1Page &amp;P of &amp;N</oddHeader>
  </headerFooter>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327"/>
  <sheetViews>
    <sheetView view="pageBreakPreview" zoomScaleSheetLayoutView="100" workbookViewId="0">
      <selection activeCell="A322" sqref="A322"/>
    </sheetView>
  </sheetViews>
  <sheetFormatPr defaultRowHeight="15.75"/>
  <cols>
    <col min="1" max="1" width="6.140625" style="581" customWidth="1"/>
    <col min="2" max="2" width="15" style="581" customWidth="1"/>
    <col min="3" max="3" width="11.28515625" style="581" customWidth="1"/>
    <col min="4" max="4" width="23.85546875" style="581" customWidth="1"/>
    <col min="5" max="5" width="20.28515625" style="581" customWidth="1"/>
    <col min="6" max="6" width="105.7109375" style="582" customWidth="1"/>
    <col min="7" max="7" width="11.28515625" style="581" customWidth="1"/>
    <col min="8" max="8" width="11" style="581" customWidth="1"/>
    <col min="9" max="9" width="18.85546875" style="583" customWidth="1"/>
    <col min="10" max="10" width="24.28515625" style="581" customWidth="1"/>
    <col min="11" max="13" width="10.28515625" style="576" customWidth="1"/>
    <col min="14" max="14" width="9.140625" style="576" customWidth="1"/>
    <col min="15" max="28" width="9.140625" style="576"/>
    <col min="29" max="16384" width="9.140625" style="577"/>
  </cols>
  <sheetData>
    <row r="1" spans="1:32" ht="27.75" customHeight="1">
      <c r="A1" s="571" t="str">
        <f>Basic!B5</f>
        <v>Spec No: CC/NT/W-AIS/DOM/A10/24/03802</v>
      </c>
      <c r="B1" s="571"/>
      <c r="C1" s="571"/>
      <c r="D1" s="572"/>
      <c r="E1" s="572"/>
      <c r="F1" s="572"/>
      <c r="G1" s="573"/>
      <c r="H1" s="573"/>
      <c r="I1" s="574"/>
      <c r="J1" s="575" t="s">
        <v>14</v>
      </c>
    </row>
    <row r="2" spans="1:32" ht="21.75" customHeight="1">
      <c r="A2" s="570"/>
      <c r="B2" s="570"/>
      <c r="C2" s="570"/>
      <c r="D2" s="570"/>
      <c r="E2" s="570"/>
      <c r="F2" s="570"/>
      <c r="G2" s="578"/>
      <c r="H2" s="578"/>
      <c r="I2" s="577"/>
      <c r="J2" s="578"/>
    </row>
    <row r="3" spans="1:32" ht="92.25" customHeight="1">
      <c r="A3" s="810" t="str">
        <f>Cover!$B$2</f>
        <v>765kV AIS Substation Extension Package SS-124 (including 765/400kV GIS Bus Duct) for (i) Extension of 765/400kV Indore Substation under Augmentation of transformation capacity at 765/400kV Indore S/S in Madhya Pradesh; (ii) Extension of 400kV Indore (PG) S/s under Implementation of 400kV line bay at 765/400/220kV Indore (PG) S/s in MP for RE interconnection; (iii) Extension of 400kV Parli (New) S/s under Implementation of 400kV line bay at 765/400kV Parli (New) S/s for interconnection of RE project and (iv) Extension of 400/220kV Bhuj GIS PS under Augmentation of transformation capacity at 400/220kV Bhuj PS in Gujarat by 1x500MVA, 400/220kV ICT (9th)</v>
      </c>
      <c r="B3" s="810"/>
      <c r="C3" s="810"/>
      <c r="D3" s="810"/>
      <c r="E3" s="810"/>
      <c r="F3" s="810"/>
      <c r="G3" s="810"/>
      <c r="H3" s="810"/>
      <c r="I3" s="810"/>
      <c r="J3" s="810"/>
      <c r="K3" s="579"/>
      <c r="N3" s="823"/>
      <c r="O3" s="823"/>
      <c r="AC3" s="576"/>
      <c r="AD3" s="576"/>
      <c r="AE3" s="576"/>
      <c r="AF3" s="576"/>
    </row>
    <row r="4" spans="1:32" ht="21.95" customHeight="1">
      <c r="A4" s="824" t="s">
        <v>0</v>
      </c>
      <c r="B4" s="824"/>
      <c r="C4" s="824"/>
      <c r="D4" s="824"/>
      <c r="E4" s="824"/>
      <c r="F4" s="824"/>
      <c r="G4" s="824"/>
      <c r="H4" s="824"/>
      <c r="I4" s="824"/>
      <c r="J4" s="824"/>
    </row>
    <row r="5" spans="1:32" ht="15" customHeight="1">
      <c r="J5" s="578"/>
    </row>
    <row r="6" spans="1:32" ht="22.5" customHeight="1">
      <c r="A6" s="812" t="s">
        <v>334</v>
      </c>
      <c r="B6" s="812"/>
      <c r="C6" s="584"/>
      <c r="D6" s="578"/>
      <c r="E6" s="584"/>
      <c r="F6" s="584"/>
      <c r="G6" s="584"/>
      <c r="H6" s="584"/>
      <c r="I6" s="584"/>
      <c r="J6" s="578"/>
    </row>
    <row r="7" spans="1:32" ht="25.5" customHeight="1">
      <c r="A7" s="816">
        <f>'Sch-1'!A7</f>
        <v>0</v>
      </c>
      <c r="B7" s="816"/>
      <c r="C7" s="816"/>
      <c r="D7" s="816"/>
      <c r="E7" s="816"/>
      <c r="F7" s="816"/>
      <c r="G7" s="586"/>
      <c r="H7" s="587" t="s">
        <v>1</v>
      </c>
      <c r="I7" s="586"/>
      <c r="J7" s="578"/>
    </row>
    <row r="8" spans="1:32" ht="29.25" customHeight="1">
      <c r="A8" s="813" t="str">
        <f>"Bidder’s Name and Address  (" &amp; MID('Names of Bidder'!A9,9, 20) &amp; ") :"</f>
        <v>Bidder’s Name and Address  (Sole Bidder) :</v>
      </c>
      <c r="B8" s="813"/>
      <c r="C8" s="813"/>
      <c r="D8" s="813"/>
      <c r="E8" s="813"/>
      <c r="F8" s="813"/>
      <c r="G8" s="813"/>
      <c r="H8" s="588" t="s">
        <v>2</v>
      </c>
      <c r="I8" s="589"/>
      <c r="J8" s="578"/>
    </row>
    <row r="9" spans="1:32" ht="26.25" customHeight="1">
      <c r="A9" s="585" t="s">
        <v>12</v>
      </c>
      <c r="B9" s="590"/>
      <c r="C9" s="816" t="str">
        <f>IF('Names of Bidder'!C9=0, "", 'Names of Bidder'!C9)</f>
        <v/>
      </c>
      <c r="D9" s="816"/>
      <c r="E9" s="816"/>
      <c r="F9" s="591"/>
      <c r="G9" s="591"/>
      <c r="H9" s="588" t="s">
        <v>3</v>
      </c>
      <c r="I9" s="592"/>
      <c r="J9" s="578"/>
    </row>
    <row r="10" spans="1:32" ht="17.25" customHeight="1">
      <c r="A10" s="585" t="s">
        <v>11</v>
      </c>
      <c r="B10" s="590"/>
      <c r="C10" s="815" t="str">
        <f>IF('Names of Bidder'!C10=0, "", 'Names of Bidder'!C10)</f>
        <v/>
      </c>
      <c r="D10" s="815"/>
      <c r="E10" s="815"/>
      <c r="F10" s="591"/>
      <c r="G10" s="591"/>
      <c r="H10" s="588" t="s">
        <v>4</v>
      </c>
      <c r="I10" s="592"/>
      <c r="J10" s="578"/>
    </row>
    <row r="11" spans="1:32" ht="18" customHeight="1">
      <c r="A11" s="592"/>
      <c r="B11" s="592"/>
      <c r="C11" s="815" t="str">
        <f>IF('Names of Bidder'!C11=0, "", 'Names of Bidder'!C11)</f>
        <v/>
      </c>
      <c r="D11" s="815"/>
      <c r="E11" s="815"/>
      <c r="F11" s="591"/>
      <c r="G11" s="591"/>
      <c r="H11" s="588" t="s">
        <v>5</v>
      </c>
      <c r="I11" s="592"/>
      <c r="J11" s="578"/>
    </row>
    <row r="12" spans="1:32" ht="18" customHeight="1">
      <c r="A12" s="592"/>
      <c r="B12" s="592"/>
      <c r="C12" s="815" t="str">
        <f>IF('Names of Bidder'!C12=0, "", 'Names of Bidder'!C12)</f>
        <v/>
      </c>
      <c r="D12" s="815"/>
      <c r="E12" s="815"/>
      <c r="F12" s="591"/>
      <c r="G12" s="591"/>
      <c r="H12" s="588" t="str">
        <f>'Sch-1'!K12</f>
        <v>Gurugram (Haryana) - 122001</v>
      </c>
      <c r="I12" s="592"/>
      <c r="J12" s="578"/>
    </row>
    <row r="13" spans="1:32" s="589" customFormat="1" ht="26.45" customHeight="1">
      <c r="A13" s="818" t="s">
        <v>348</v>
      </c>
      <c r="B13" s="818"/>
      <c r="C13" s="818"/>
      <c r="D13" s="818"/>
      <c r="E13" s="818"/>
      <c r="F13" s="818"/>
      <c r="G13" s="818"/>
      <c r="H13" s="818"/>
      <c r="I13" s="818"/>
      <c r="J13" s="818"/>
      <c r="K13" s="593"/>
      <c r="L13" s="593"/>
      <c r="M13" s="593"/>
      <c r="N13" s="593"/>
      <c r="O13" s="593"/>
      <c r="P13" s="593"/>
      <c r="Q13" s="593"/>
      <c r="R13" s="593"/>
      <c r="S13" s="593"/>
      <c r="T13" s="593"/>
      <c r="U13" s="593"/>
      <c r="V13" s="593"/>
      <c r="W13" s="593"/>
      <c r="X13" s="593"/>
      <c r="Y13" s="593"/>
      <c r="Z13" s="593"/>
      <c r="AA13" s="593"/>
      <c r="AB13" s="593"/>
    </row>
    <row r="14" spans="1:32" ht="20.25" customHeight="1" thickBot="1">
      <c r="A14" s="594"/>
      <c r="B14" s="594"/>
      <c r="C14" s="594"/>
      <c r="D14" s="594"/>
      <c r="E14" s="594"/>
      <c r="F14" s="595"/>
      <c r="G14" s="596"/>
      <c r="H14" s="596"/>
      <c r="I14" s="826" t="s">
        <v>339</v>
      </c>
      <c r="J14" s="826"/>
    </row>
    <row r="15" spans="1:32" ht="102" customHeight="1">
      <c r="A15" s="597" t="s">
        <v>7</v>
      </c>
      <c r="B15" s="598" t="s">
        <v>255</v>
      </c>
      <c r="C15" s="598" t="s">
        <v>267</v>
      </c>
      <c r="D15" s="598" t="s">
        <v>269</v>
      </c>
      <c r="E15" s="598" t="s">
        <v>13</v>
      </c>
      <c r="F15" s="599" t="s">
        <v>15</v>
      </c>
      <c r="G15" s="599" t="s">
        <v>9</v>
      </c>
      <c r="H15" s="599" t="s">
        <v>16</v>
      </c>
      <c r="I15" s="599" t="s">
        <v>347</v>
      </c>
      <c r="J15" s="600" t="s">
        <v>346</v>
      </c>
    </row>
    <row r="16" spans="1:32" s="603" customFormat="1">
      <c r="A16" s="601">
        <v>1</v>
      </c>
      <c r="B16" s="601">
        <v>2</v>
      </c>
      <c r="C16" s="601">
        <v>3</v>
      </c>
      <c r="D16" s="601">
        <v>4</v>
      </c>
      <c r="E16" s="601">
        <v>5</v>
      </c>
      <c r="F16" s="601">
        <v>6</v>
      </c>
      <c r="G16" s="601">
        <v>7</v>
      </c>
      <c r="H16" s="601">
        <v>8</v>
      </c>
      <c r="I16" s="601">
        <v>9</v>
      </c>
      <c r="J16" s="601" t="s">
        <v>340</v>
      </c>
      <c r="K16" s="602"/>
      <c r="L16" s="602"/>
      <c r="M16" s="602"/>
      <c r="N16" s="602"/>
      <c r="O16" s="602"/>
      <c r="P16" s="602"/>
      <c r="Q16" s="602"/>
      <c r="R16" s="602"/>
      <c r="S16" s="602"/>
      <c r="T16" s="602"/>
      <c r="U16" s="602"/>
      <c r="V16" s="602"/>
      <c r="W16" s="602"/>
      <c r="X16" s="602"/>
      <c r="Y16" s="602"/>
      <c r="Z16" s="602"/>
      <c r="AA16" s="602"/>
      <c r="AB16" s="602"/>
    </row>
    <row r="17" spans="1:28" s="610" customFormat="1" ht="34.5" customHeight="1">
      <c r="A17" s="604" t="str">
        <f>'Sch-1'!A17</f>
        <v>I</v>
      </c>
      <c r="B17" s="605" t="str">
        <f>'Sch-1'!B17</f>
        <v>Extension of 400kV Parli (New) S/s</v>
      </c>
      <c r="C17" s="606"/>
      <c r="D17" s="607"/>
      <c r="E17" s="608"/>
      <c r="F17" s="608"/>
      <c r="G17" s="608"/>
      <c r="H17" s="608"/>
      <c r="I17" s="608"/>
      <c r="J17" s="608"/>
      <c r="K17" s="609"/>
      <c r="L17" s="609"/>
      <c r="M17" s="609"/>
      <c r="N17" s="609"/>
      <c r="O17" s="609"/>
      <c r="P17" s="609"/>
      <c r="Q17" s="609"/>
      <c r="R17" s="609"/>
      <c r="S17" s="609"/>
      <c r="T17" s="609"/>
      <c r="U17" s="609"/>
      <c r="V17" s="609"/>
      <c r="W17" s="609"/>
      <c r="X17" s="609"/>
      <c r="Y17" s="609"/>
      <c r="Z17" s="609"/>
      <c r="AA17" s="609"/>
      <c r="AB17" s="609"/>
    </row>
    <row r="18" spans="1:28" ht="31.5">
      <c r="A18" s="611">
        <v>1</v>
      </c>
      <c r="B18" s="426">
        <v>7000026766</v>
      </c>
      <c r="C18" s="426">
        <v>10</v>
      </c>
      <c r="D18" s="426" t="s">
        <v>565</v>
      </c>
      <c r="E18" s="426">
        <v>1000004498</v>
      </c>
      <c r="F18" s="425" t="s">
        <v>475</v>
      </c>
      <c r="G18" s="426" t="s">
        <v>470</v>
      </c>
      <c r="H18" s="426">
        <v>6</v>
      </c>
      <c r="I18" s="427"/>
      <c r="J18" s="428" t="str">
        <f t="shared" ref="J18:J92" si="0">IF(I18=0, "INCLUDED", IF(ISERROR(I18*H18), I18, I18*H18))</f>
        <v>INCLUDED</v>
      </c>
    </row>
    <row r="19" spans="1:28" ht="31.5">
      <c r="A19" s="611">
        <v>2</v>
      </c>
      <c r="B19" s="426">
        <v>7000026766</v>
      </c>
      <c r="C19" s="426">
        <v>20</v>
      </c>
      <c r="D19" s="426" t="s">
        <v>565</v>
      </c>
      <c r="E19" s="426">
        <v>1000004463</v>
      </c>
      <c r="F19" s="425" t="s">
        <v>474</v>
      </c>
      <c r="G19" s="426" t="s">
        <v>470</v>
      </c>
      <c r="H19" s="426">
        <v>6</v>
      </c>
      <c r="I19" s="427"/>
      <c r="J19" s="428" t="str">
        <f t="shared" si="0"/>
        <v>INCLUDED</v>
      </c>
    </row>
    <row r="20" spans="1:28" ht="31.5">
      <c r="A20" s="611">
        <v>3</v>
      </c>
      <c r="B20" s="426">
        <v>7000026766</v>
      </c>
      <c r="C20" s="426">
        <v>30</v>
      </c>
      <c r="D20" s="426" t="s">
        <v>565</v>
      </c>
      <c r="E20" s="426">
        <v>1000004535</v>
      </c>
      <c r="F20" s="425" t="s">
        <v>476</v>
      </c>
      <c r="G20" s="426" t="s">
        <v>470</v>
      </c>
      <c r="H20" s="426">
        <v>3</v>
      </c>
      <c r="I20" s="427"/>
      <c r="J20" s="428" t="str">
        <f t="shared" si="0"/>
        <v>INCLUDED</v>
      </c>
    </row>
    <row r="21" spans="1:28" ht="31.5">
      <c r="A21" s="611">
        <v>4</v>
      </c>
      <c r="B21" s="426">
        <v>7000026766</v>
      </c>
      <c r="C21" s="426">
        <v>40</v>
      </c>
      <c r="D21" s="426" t="s">
        <v>565</v>
      </c>
      <c r="E21" s="426">
        <v>1000020419</v>
      </c>
      <c r="F21" s="425" t="s">
        <v>477</v>
      </c>
      <c r="G21" s="426" t="s">
        <v>470</v>
      </c>
      <c r="H21" s="426">
        <v>3</v>
      </c>
      <c r="I21" s="427"/>
      <c r="J21" s="428" t="str">
        <f t="shared" si="0"/>
        <v>INCLUDED</v>
      </c>
    </row>
    <row r="22" spans="1:28" ht="31.5">
      <c r="A22" s="611">
        <v>5</v>
      </c>
      <c r="B22" s="426">
        <v>7000026766</v>
      </c>
      <c r="C22" s="426">
        <v>50</v>
      </c>
      <c r="D22" s="426" t="s">
        <v>565</v>
      </c>
      <c r="E22" s="426">
        <v>1000004401</v>
      </c>
      <c r="F22" s="425" t="s">
        <v>478</v>
      </c>
      <c r="G22" s="426" t="s">
        <v>470</v>
      </c>
      <c r="H22" s="426">
        <v>12</v>
      </c>
      <c r="I22" s="427"/>
      <c r="J22" s="428" t="str">
        <f t="shared" si="0"/>
        <v>INCLUDED</v>
      </c>
    </row>
    <row r="23" spans="1:28" ht="31.5">
      <c r="A23" s="611">
        <v>6</v>
      </c>
      <c r="B23" s="426">
        <v>7000026766</v>
      </c>
      <c r="C23" s="426">
        <v>60</v>
      </c>
      <c r="D23" s="426" t="s">
        <v>565</v>
      </c>
      <c r="E23" s="426">
        <v>1000004290</v>
      </c>
      <c r="F23" s="425" t="s">
        <v>489</v>
      </c>
      <c r="G23" s="426" t="s">
        <v>470</v>
      </c>
      <c r="H23" s="426">
        <v>2</v>
      </c>
      <c r="I23" s="427"/>
      <c r="J23" s="428" t="str">
        <f t="shared" si="0"/>
        <v>INCLUDED</v>
      </c>
    </row>
    <row r="24" spans="1:28" ht="31.5">
      <c r="A24" s="611">
        <v>7</v>
      </c>
      <c r="B24" s="426">
        <v>7000026766</v>
      </c>
      <c r="C24" s="426">
        <v>70</v>
      </c>
      <c r="D24" s="426" t="s">
        <v>565</v>
      </c>
      <c r="E24" s="426">
        <v>1000004400</v>
      </c>
      <c r="F24" s="425" t="s">
        <v>490</v>
      </c>
      <c r="G24" s="426" t="s">
        <v>470</v>
      </c>
      <c r="H24" s="426">
        <v>6</v>
      </c>
      <c r="I24" s="427"/>
      <c r="J24" s="428" t="str">
        <f t="shared" si="0"/>
        <v>INCLUDED</v>
      </c>
    </row>
    <row r="25" spans="1:28" ht="31.5">
      <c r="A25" s="611">
        <v>8</v>
      </c>
      <c r="B25" s="426">
        <v>7000026766</v>
      </c>
      <c r="C25" s="426">
        <v>80</v>
      </c>
      <c r="D25" s="426" t="s">
        <v>565</v>
      </c>
      <c r="E25" s="426">
        <v>1000004502</v>
      </c>
      <c r="F25" s="425" t="s">
        <v>583</v>
      </c>
      <c r="G25" s="426" t="s">
        <v>470</v>
      </c>
      <c r="H25" s="426">
        <v>1</v>
      </c>
      <c r="I25" s="427"/>
      <c r="J25" s="428" t="str">
        <f t="shared" si="0"/>
        <v>INCLUDED</v>
      </c>
    </row>
    <row r="26" spans="1:28" ht="31.5">
      <c r="A26" s="611">
        <v>9</v>
      </c>
      <c r="B26" s="426">
        <v>7000026766</v>
      </c>
      <c r="C26" s="426">
        <v>90</v>
      </c>
      <c r="D26" s="426" t="s">
        <v>565</v>
      </c>
      <c r="E26" s="426">
        <v>1000004501</v>
      </c>
      <c r="F26" s="425" t="s">
        <v>472</v>
      </c>
      <c r="G26" s="426" t="s">
        <v>470</v>
      </c>
      <c r="H26" s="426">
        <v>1</v>
      </c>
      <c r="I26" s="427"/>
      <c r="J26" s="428" t="str">
        <f t="shared" si="0"/>
        <v>INCLUDED</v>
      </c>
    </row>
    <row r="27" spans="1:28" ht="31.5">
      <c r="A27" s="611">
        <v>10</v>
      </c>
      <c r="B27" s="426">
        <v>7000026766</v>
      </c>
      <c r="C27" s="426">
        <v>110</v>
      </c>
      <c r="D27" s="426" t="s">
        <v>566</v>
      </c>
      <c r="E27" s="426">
        <v>1000011319</v>
      </c>
      <c r="F27" s="425" t="s">
        <v>546</v>
      </c>
      <c r="G27" s="426" t="s">
        <v>471</v>
      </c>
      <c r="H27" s="426">
        <v>1</v>
      </c>
      <c r="I27" s="427"/>
      <c r="J27" s="428" t="str">
        <f t="shared" si="0"/>
        <v>INCLUDED</v>
      </c>
    </row>
    <row r="28" spans="1:28" ht="31.5">
      <c r="A28" s="611">
        <v>11</v>
      </c>
      <c r="B28" s="426">
        <v>7000026766</v>
      </c>
      <c r="C28" s="426">
        <v>120</v>
      </c>
      <c r="D28" s="426" t="s">
        <v>566</v>
      </c>
      <c r="E28" s="426">
        <v>1000011322</v>
      </c>
      <c r="F28" s="425" t="s">
        <v>483</v>
      </c>
      <c r="G28" s="426" t="s">
        <v>471</v>
      </c>
      <c r="H28" s="426">
        <v>1</v>
      </c>
      <c r="I28" s="427"/>
      <c r="J28" s="428" t="str">
        <f t="shared" si="0"/>
        <v>INCLUDED</v>
      </c>
    </row>
    <row r="29" spans="1:28" ht="31.5">
      <c r="A29" s="611">
        <v>12</v>
      </c>
      <c r="B29" s="426">
        <v>7000026766</v>
      </c>
      <c r="C29" s="426">
        <v>130</v>
      </c>
      <c r="D29" s="426" t="s">
        <v>566</v>
      </c>
      <c r="E29" s="426">
        <v>1000011326</v>
      </c>
      <c r="F29" s="425" t="s">
        <v>486</v>
      </c>
      <c r="G29" s="426" t="s">
        <v>471</v>
      </c>
      <c r="H29" s="426">
        <v>1</v>
      </c>
      <c r="I29" s="427"/>
      <c r="J29" s="428" t="str">
        <f t="shared" si="0"/>
        <v>INCLUDED</v>
      </c>
    </row>
    <row r="30" spans="1:28" ht="31.5">
      <c r="A30" s="611">
        <v>13</v>
      </c>
      <c r="B30" s="426">
        <v>7000026766</v>
      </c>
      <c r="C30" s="426">
        <v>140</v>
      </c>
      <c r="D30" s="426" t="s">
        <v>566</v>
      </c>
      <c r="E30" s="426">
        <v>1000055991</v>
      </c>
      <c r="F30" s="425" t="s">
        <v>482</v>
      </c>
      <c r="G30" s="426" t="s">
        <v>470</v>
      </c>
      <c r="H30" s="426">
        <v>9</v>
      </c>
      <c r="I30" s="427"/>
      <c r="J30" s="428" t="str">
        <f t="shared" si="0"/>
        <v>INCLUDED</v>
      </c>
    </row>
    <row r="31" spans="1:28" ht="31.5">
      <c r="A31" s="611">
        <v>14</v>
      </c>
      <c r="B31" s="426">
        <v>7000026766</v>
      </c>
      <c r="C31" s="426">
        <v>150</v>
      </c>
      <c r="D31" s="426" t="s">
        <v>566</v>
      </c>
      <c r="E31" s="426">
        <v>1000055984</v>
      </c>
      <c r="F31" s="425" t="s">
        <v>481</v>
      </c>
      <c r="G31" s="426" t="s">
        <v>470</v>
      </c>
      <c r="H31" s="426">
        <v>6</v>
      </c>
      <c r="I31" s="427"/>
      <c r="J31" s="428" t="str">
        <f t="shared" si="0"/>
        <v>INCLUDED</v>
      </c>
    </row>
    <row r="32" spans="1:28" ht="31.5">
      <c r="A32" s="611">
        <v>15</v>
      </c>
      <c r="B32" s="426">
        <v>7000026766</v>
      </c>
      <c r="C32" s="426">
        <v>160</v>
      </c>
      <c r="D32" s="426" t="s">
        <v>566</v>
      </c>
      <c r="E32" s="426">
        <v>1000055986</v>
      </c>
      <c r="F32" s="425" t="s">
        <v>484</v>
      </c>
      <c r="G32" s="426" t="s">
        <v>470</v>
      </c>
      <c r="H32" s="426">
        <v>9</v>
      </c>
      <c r="I32" s="427"/>
      <c r="J32" s="428" t="str">
        <f t="shared" si="0"/>
        <v>INCLUDED</v>
      </c>
    </row>
    <row r="33" spans="1:10" ht="31.5">
      <c r="A33" s="611">
        <v>16</v>
      </c>
      <c r="B33" s="426">
        <v>7000026766</v>
      </c>
      <c r="C33" s="426">
        <v>180</v>
      </c>
      <c r="D33" s="426" t="s">
        <v>567</v>
      </c>
      <c r="E33" s="426">
        <v>1000003398</v>
      </c>
      <c r="F33" s="425" t="s">
        <v>487</v>
      </c>
      <c r="G33" s="426" t="s">
        <v>470</v>
      </c>
      <c r="H33" s="426">
        <v>1</v>
      </c>
      <c r="I33" s="427"/>
      <c r="J33" s="428" t="str">
        <f t="shared" si="0"/>
        <v>INCLUDED</v>
      </c>
    </row>
    <row r="34" spans="1:10" ht="31.5">
      <c r="A34" s="611">
        <v>17</v>
      </c>
      <c r="B34" s="426">
        <v>7000026766</v>
      </c>
      <c r="C34" s="426">
        <v>190</v>
      </c>
      <c r="D34" s="426" t="s">
        <v>567</v>
      </c>
      <c r="E34" s="426">
        <v>1000055446</v>
      </c>
      <c r="F34" s="425" t="s">
        <v>547</v>
      </c>
      <c r="G34" s="426" t="s">
        <v>470</v>
      </c>
      <c r="H34" s="426">
        <v>2</v>
      </c>
      <c r="I34" s="427"/>
      <c r="J34" s="428" t="str">
        <f t="shared" si="0"/>
        <v>INCLUDED</v>
      </c>
    </row>
    <row r="35" spans="1:10" ht="31.5">
      <c r="A35" s="611">
        <v>18</v>
      </c>
      <c r="B35" s="426">
        <v>7000026766</v>
      </c>
      <c r="C35" s="426">
        <v>200</v>
      </c>
      <c r="D35" s="426" t="s">
        <v>567</v>
      </c>
      <c r="E35" s="426">
        <v>1000002146</v>
      </c>
      <c r="F35" s="425" t="s">
        <v>534</v>
      </c>
      <c r="G35" s="426" t="s">
        <v>471</v>
      </c>
      <c r="H35" s="426">
        <v>1</v>
      </c>
      <c r="I35" s="427"/>
      <c r="J35" s="428" t="str">
        <f t="shared" si="0"/>
        <v>INCLUDED</v>
      </c>
    </row>
    <row r="36" spans="1:10" ht="31.5">
      <c r="A36" s="611">
        <v>19</v>
      </c>
      <c r="B36" s="426">
        <v>7000026766</v>
      </c>
      <c r="C36" s="426">
        <v>210</v>
      </c>
      <c r="D36" s="426" t="s">
        <v>567</v>
      </c>
      <c r="E36" s="426">
        <v>1000064768</v>
      </c>
      <c r="F36" s="425" t="s">
        <v>584</v>
      </c>
      <c r="G36" s="426" t="s">
        <v>470</v>
      </c>
      <c r="H36" s="426">
        <v>1</v>
      </c>
      <c r="I36" s="427"/>
      <c r="J36" s="428" t="str">
        <f t="shared" si="0"/>
        <v>INCLUDED</v>
      </c>
    </row>
    <row r="37" spans="1:10" ht="31.5">
      <c r="A37" s="611">
        <v>20</v>
      </c>
      <c r="B37" s="426">
        <v>7000026766</v>
      </c>
      <c r="C37" s="426">
        <v>220</v>
      </c>
      <c r="D37" s="426" t="s">
        <v>567</v>
      </c>
      <c r="E37" s="426">
        <v>1000064770</v>
      </c>
      <c r="F37" s="425" t="s">
        <v>585</v>
      </c>
      <c r="G37" s="426" t="s">
        <v>470</v>
      </c>
      <c r="H37" s="426">
        <v>1</v>
      </c>
      <c r="I37" s="427"/>
      <c r="J37" s="428" t="str">
        <f t="shared" si="0"/>
        <v>INCLUDED</v>
      </c>
    </row>
    <row r="38" spans="1:10">
      <c r="A38" s="611">
        <v>21</v>
      </c>
      <c r="B38" s="426">
        <v>7000026766</v>
      </c>
      <c r="C38" s="426">
        <v>240</v>
      </c>
      <c r="D38" s="426" t="s">
        <v>542</v>
      </c>
      <c r="E38" s="426">
        <v>1000010014</v>
      </c>
      <c r="F38" s="425" t="s">
        <v>491</v>
      </c>
      <c r="G38" s="426" t="s">
        <v>471</v>
      </c>
      <c r="H38" s="426">
        <v>2</v>
      </c>
      <c r="I38" s="427"/>
      <c r="J38" s="428" t="str">
        <f t="shared" si="0"/>
        <v>INCLUDED</v>
      </c>
    </row>
    <row r="39" spans="1:10">
      <c r="A39" s="611">
        <v>22</v>
      </c>
      <c r="B39" s="426">
        <v>7000026766</v>
      </c>
      <c r="C39" s="426">
        <v>250</v>
      </c>
      <c r="D39" s="426" t="s">
        <v>542</v>
      </c>
      <c r="E39" s="426">
        <v>1000028380</v>
      </c>
      <c r="F39" s="425" t="s">
        <v>586</v>
      </c>
      <c r="G39" s="426" t="s">
        <v>470</v>
      </c>
      <c r="H39" s="426">
        <v>2</v>
      </c>
      <c r="I39" s="427"/>
      <c r="J39" s="428" t="str">
        <f t="shared" si="0"/>
        <v>INCLUDED</v>
      </c>
    </row>
    <row r="40" spans="1:10">
      <c r="A40" s="611">
        <v>23</v>
      </c>
      <c r="B40" s="426">
        <v>7000026766</v>
      </c>
      <c r="C40" s="426">
        <v>260</v>
      </c>
      <c r="D40" s="426" t="s">
        <v>542</v>
      </c>
      <c r="E40" s="426">
        <v>1000017887</v>
      </c>
      <c r="F40" s="425" t="s">
        <v>494</v>
      </c>
      <c r="G40" s="426" t="s">
        <v>470</v>
      </c>
      <c r="H40" s="426">
        <v>2</v>
      </c>
      <c r="I40" s="427"/>
      <c r="J40" s="428" t="str">
        <f t="shared" si="0"/>
        <v>INCLUDED</v>
      </c>
    </row>
    <row r="41" spans="1:10">
      <c r="A41" s="611">
        <v>24</v>
      </c>
      <c r="B41" s="426">
        <v>7000026766</v>
      </c>
      <c r="C41" s="426">
        <v>270</v>
      </c>
      <c r="D41" s="426" t="s">
        <v>542</v>
      </c>
      <c r="E41" s="426">
        <v>1000010638</v>
      </c>
      <c r="F41" s="425" t="s">
        <v>492</v>
      </c>
      <c r="G41" s="426" t="s">
        <v>470</v>
      </c>
      <c r="H41" s="426">
        <v>2</v>
      </c>
      <c r="I41" s="427"/>
      <c r="J41" s="428" t="str">
        <f t="shared" si="0"/>
        <v>INCLUDED</v>
      </c>
    </row>
    <row r="42" spans="1:10">
      <c r="A42" s="611">
        <v>25</v>
      </c>
      <c r="B42" s="426">
        <v>7000026766</v>
      </c>
      <c r="C42" s="426">
        <v>280</v>
      </c>
      <c r="D42" s="426" t="s">
        <v>542</v>
      </c>
      <c r="E42" s="426">
        <v>1000036908</v>
      </c>
      <c r="F42" s="425" t="s">
        <v>587</v>
      </c>
      <c r="G42" s="426" t="s">
        <v>493</v>
      </c>
      <c r="H42" s="426">
        <v>1</v>
      </c>
      <c r="I42" s="427"/>
      <c r="J42" s="428" t="str">
        <f t="shared" si="0"/>
        <v>INCLUDED</v>
      </c>
    </row>
    <row r="43" spans="1:10" ht="47.25">
      <c r="A43" s="611">
        <v>26</v>
      </c>
      <c r="B43" s="426">
        <v>7000026766</v>
      </c>
      <c r="C43" s="426">
        <v>300</v>
      </c>
      <c r="D43" s="426" t="s">
        <v>568</v>
      </c>
      <c r="E43" s="426">
        <v>1000006284</v>
      </c>
      <c r="F43" s="425" t="s">
        <v>502</v>
      </c>
      <c r="G43" s="426" t="s">
        <v>471</v>
      </c>
      <c r="H43" s="426">
        <v>1</v>
      </c>
      <c r="I43" s="427"/>
      <c r="J43" s="428" t="str">
        <f t="shared" si="0"/>
        <v>INCLUDED</v>
      </c>
    </row>
    <row r="44" spans="1:10" ht="47.25">
      <c r="A44" s="611">
        <v>27</v>
      </c>
      <c r="B44" s="426">
        <v>7000026766</v>
      </c>
      <c r="C44" s="426">
        <v>310</v>
      </c>
      <c r="D44" s="426" t="s">
        <v>568</v>
      </c>
      <c r="E44" s="426">
        <v>1000012022</v>
      </c>
      <c r="F44" s="425" t="s">
        <v>504</v>
      </c>
      <c r="G44" s="426" t="s">
        <v>470</v>
      </c>
      <c r="H44" s="426">
        <v>1</v>
      </c>
      <c r="I44" s="427"/>
      <c r="J44" s="428" t="str">
        <f t="shared" si="0"/>
        <v>INCLUDED</v>
      </c>
    </row>
    <row r="45" spans="1:10" ht="47.25">
      <c r="A45" s="611">
        <v>28</v>
      </c>
      <c r="B45" s="426">
        <v>7000026766</v>
      </c>
      <c r="C45" s="426">
        <v>320</v>
      </c>
      <c r="D45" s="426" t="s">
        <v>568</v>
      </c>
      <c r="E45" s="426">
        <v>1000012018</v>
      </c>
      <c r="F45" s="425" t="s">
        <v>503</v>
      </c>
      <c r="G45" s="426" t="s">
        <v>471</v>
      </c>
      <c r="H45" s="426">
        <v>1</v>
      </c>
      <c r="I45" s="427"/>
      <c r="J45" s="428" t="str">
        <f t="shared" si="0"/>
        <v>INCLUDED</v>
      </c>
    </row>
    <row r="46" spans="1:10" ht="47.25">
      <c r="A46" s="611">
        <v>29</v>
      </c>
      <c r="B46" s="426">
        <v>7000026766</v>
      </c>
      <c r="C46" s="426">
        <v>330</v>
      </c>
      <c r="D46" s="426" t="s">
        <v>568</v>
      </c>
      <c r="E46" s="426">
        <v>1000013795</v>
      </c>
      <c r="F46" s="425" t="s">
        <v>507</v>
      </c>
      <c r="G46" s="426" t="s">
        <v>506</v>
      </c>
      <c r="H46" s="426">
        <v>1</v>
      </c>
      <c r="I46" s="427"/>
      <c r="J46" s="428" t="str">
        <f t="shared" si="0"/>
        <v>INCLUDED</v>
      </c>
    </row>
    <row r="47" spans="1:10" ht="47.25">
      <c r="A47" s="611">
        <v>30</v>
      </c>
      <c r="B47" s="426">
        <v>7000026766</v>
      </c>
      <c r="C47" s="426">
        <v>350</v>
      </c>
      <c r="D47" s="426" t="s">
        <v>569</v>
      </c>
      <c r="E47" s="426">
        <v>1000038387</v>
      </c>
      <c r="F47" s="425" t="s">
        <v>550</v>
      </c>
      <c r="G47" s="426" t="s">
        <v>470</v>
      </c>
      <c r="H47" s="426">
        <v>15</v>
      </c>
      <c r="I47" s="427"/>
      <c r="J47" s="428" t="str">
        <f t="shared" si="0"/>
        <v>INCLUDED</v>
      </c>
    </row>
    <row r="48" spans="1:10" ht="47.25">
      <c r="A48" s="611">
        <v>31</v>
      </c>
      <c r="B48" s="426">
        <v>7000026766</v>
      </c>
      <c r="C48" s="426">
        <v>360</v>
      </c>
      <c r="D48" s="426" t="s">
        <v>569</v>
      </c>
      <c r="E48" s="426">
        <v>1000038325</v>
      </c>
      <c r="F48" s="425" t="s">
        <v>509</v>
      </c>
      <c r="G48" s="426" t="s">
        <v>470</v>
      </c>
      <c r="H48" s="426">
        <v>15</v>
      </c>
      <c r="I48" s="427"/>
      <c r="J48" s="428" t="str">
        <f t="shared" si="0"/>
        <v>INCLUDED</v>
      </c>
    </row>
    <row r="49" spans="1:10" ht="47.25">
      <c r="A49" s="611">
        <v>32</v>
      </c>
      <c r="B49" s="426">
        <v>7000026766</v>
      </c>
      <c r="C49" s="426">
        <v>370</v>
      </c>
      <c r="D49" s="426" t="s">
        <v>569</v>
      </c>
      <c r="E49" s="426">
        <v>1000020262</v>
      </c>
      <c r="F49" s="425" t="s">
        <v>588</v>
      </c>
      <c r="G49" s="426" t="s">
        <v>470</v>
      </c>
      <c r="H49" s="426">
        <v>2</v>
      </c>
      <c r="I49" s="427"/>
      <c r="J49" s="428" t="str">
        <f t="shared" si="0"/>
        <v>INCLUDED</v>
      </c>
    </row>
    <row r="50" spans="1:10" ht="47.25">
      <c r="A50" s="611">
        <v>33</v>
      </c>
      <c r="B50" s="426">
        <v>7000026766</v>
      </c>
      <c r="C50" s="426">
        <v>380</v>
      </c>
      <c r="D50" s="426" t="s">
        <v>569</v>
      </c>
      <c r="E50" s="426">
        <v>1000014547</v>
      </c>
      <c r="F50" s="425" t="s">
        <v>508</v>
      </c>
      <c r="G50" s="426" t="s">
        <v>470</v>
      </c>
      <c r="H50" s="426">
        <v>1</v>
      </c>
      <c r="I50" s="427"/>
      <c r="J50" s="428" t="str">
        <f t="shared" si="0"/>
        <v>INCLUDED</v>
      </c>
    </row>
    <row r="51" spans="1:10">
      <c r="A51" s="611">
        <v>34</v>
      </c>
      <c r="B51" s="426">
        <v>7000026766</v>
      </c>
      <c r="C51" s="426">
        <v>400</v>
      </c>
      <c r="D51" s="426" t="s">
        <v>570</v>
      </c>
      <c r="E51" s="426">
        <v>1000032055</v>
      </c>
      <c r="F51" s="425" t="s">
        <v>511</v>
      </c>
      <c r="G51" s="426" t="s">
        <v>493</v>
      </c>
      <c r="H51" s="426">
        <v>3</v>
      </c>
      <c r="I51" s="427"/>
      <c r="J51" s="428" t="str">
        <f t="shared" si="0"/>
        <v>INCLUDED</v>
      </c>
    </row>
    <row r="52" spans="1:10" ht="78.75">
      <c r="A52" s="611">
        <v>35</v>
      </c>
      <c r="B52" s="426">
        <v>7000026766</v>
      </c>
      <c r="C52" s="426">
        <v>420</v>
      </c>
      <c r="D52" s="426" t="s">
        <v>571</v>
      </c>
      <c r="E52" s="426">
        <v>1000030433</v>
      </c>
      <c r="F52" s="425" t="s">
        <v>589</v>
      </c>
      <c r="G52" s="426" t="s">
        <v>471</v>
      </c>
      <c r="H52" s="426">
        <v>1</v>
      </c>
      <c r="I52" s="427"/>
      <c r="J52" s="428" t="str">
        <f t="shared" si="0"/>
        <v>INCLUDED</v>
      </c>
    </row>
    <row r="53" spans="1:10">
      <c r="A53" s="611">
        <v>36</v>
      </c>
      <c r="B53" s="426">
        <v>7000026766</v>
      </c>
      <c r="C53" s="426">
        <v>440</v>
      </c>
      <c r="D53" s="426" t="s">
        <v>572</v>
      </c>
      <c r="E53" s="426">
        <v>1000019918</v>
      </c>
      <c r="F53" s="425" t="s">
        <v>527</v>
      </c>
      <c r="G53" s="426" t="s">
        <v>506</v>
      </c>
      <c r="H53" s="426">
        <v>1</v>
      </c>
      <c r="I53" s="427"/>
      <c r="J53" s="428" t="str">
        <f t="shared" si="0"/>
        <v>INCLUDED</v>
      </c>
    </row>
    <row r="54" spans="1:10" ht="31.5">
      <c r="A54" s="611">
        <v>37</v>
      </c>
      <c r="B54" s="426">
        <v>7000026766</v>
      </c>
      <c r="C54" s="426">
        <v>450</v>
      </c>
      <c r="D54" s="426" t="s">
        <v>573</v>
      </c>
      <c r="E54" s="426">
        <v>1000019919</v>
      </c>
      <c r="F54" s="425" t="s">
        <v>528</v>
      </c>
      <c r="G54" s="426" t="s">
        <v>506</v>
      </c>
      <c r="H54" s="426">
        <v>1</v>
      </c>
      <c r="I54" s="427"/>
      <c r="J54" s="428" t="str">
        <f t="shared" si="0"/>
        <v>INCLUDED</v>
      </c>
    </row>
    <row r="55" spans="1:10">
      <c r="A55" s="611">
        <v>38</v>
      </c>
      <c r="B55" s="426">
        <v>7000026766</v>
      </c>
      <c r="C55" s="426">
        <v>460</v>
      </c>
      <c r="D55" s="426" t="s">
        <v>574</v>
      </c>
      <c r="E55" s="426">
        <v>1000025941</v>
      </c>
      <c r="F55" s="425" t="s">
        <v>529</v>
      </c>
      <c r="G55" s="426" t="s">
        <v>471</v>
      </c>
      <c r="H55" s="426">
        <v>1</v>
      </c>
      <c r="I55" s="427"/>
      <c r="J55" s="428" t="str">
        <f t="shared" si="0"/>
        <v>INCLUDED</v>
      </c>
    </row>
    <row r="56" spans="1:10">
      <c r="A56" s="611">
        <v>39</v>
      </c>
      <c r="B56" s="426">
        <v>7000026766</v>
      </c>
      <c r="C56" s="426">
        <v>470</v>
      </c>
      <c r="D56" s="426" t="s">
        <v>575</v>
      </c>
      <c r="E56" s="426">
        <v>1000024186</v>
      </c>
      <c r="F56" s="425" t="s">
        <v>531</v>
      </c>
      <c r="G56" s="426" t="s">
        <v>506</v>
      </c>
      <c r="H56" s="426">
        <v>1</v>
      </c>
      <c r="I56" s="427"/>
      <c r="J56" s="428" t="str">
        <f t="shared" si="0"/>
        <v>INCLUDED</v>
      </c>
    </row>
    <row r="57" spans="1:10" ht="31.5">
      <c r="A57" s="611">
        <v>40</v>
      </c>
      <c r="B57" s="426">
        <v>7000026766</v>
      </c>
      <c r="C57" s="426">
        <v>480</v>
      </c>
      <c r="D57" s="426" t="s">
        <v>576</v>
      </c>
      <c r="E57" s="426">
        <v>1000031964</v>
      </c>
      <c r="F57" s="425" t="s">
        <v>515</v>
      </c>
      <c r="G57" s="426" t="s">
        <v>493</v>
      </c>
      <c r="H57" s="426">
        <v>1</v>
      </c>
      <c r="I57" s="427"/>
      <c r="J57" s="428" t="str">
        <f t="shared" si="0"/>
        <v>INCLUDED</v>
      </c>
    </row>
    <row r="58" spans="1:10" ht="31.5">
      <c r="A58" s="611">
        <v>41</v>
      </c>
      <c r="B58" s="426">
        <v>7000026766</v>
      </c>
      <c r="C58" s="426">
        <v>490</v>
      </c>
      <c r="D58" s="426" t="s">
        <v>576</v>
      </c>
      <c r="E58" s="426">
        <v>1000031987</v>
      </c>
      <c r="F58" s="425" t="s">
        <v>516</v>
      </c>
      <c r="G58" s="426" t="s">
        <v>493</v>
      </c>
      <c r="H58" s="426">
        <v>3</v>
      </c>
      <c r="I58" s="427"/>
      <c r="J58" s="428" t="str">
        <f t="shared" si="0"/>
        <v>INCLUDED</v>
      </c>
    </row>
    <row r="59" spans="1:10" ht="31.5">
      <c r="A59" s="611">
        <v>42</v>
      </c>
      <c r="B59" s="426">
        <v>7000026766</v>
      </c>
      <c r="C59" s="426">
        <v>500</v>
      </c>
      <c r="D59" s="426" t="s">
        <v>576</v>
      </c>
      <c r="E59" s="426">
        <v>1000031887</v>
      </c>
      <c r="F59" s="425" t="s">
        <v>517</v>
      </c>
      <c r="G59" s="426" t="s">
        <v>493</v>
      </c>
      <c r="H59" s="426">
        <v>1</v>
      </c>
      <c r="I59" s="427"/>
      <c r="J59" s="428" t="str">
        <f t="shared" si="0"/>
        <v>INCLUDED</v>
      </c>
    </row>
    <row r="60" spans="1:10" ht="31.5">
      <c r="A60" s="611">
        <v>43</v>
      </c>
      <c r="B60" s="426">
        <v>7000026766</v>
      </c>
      <c r="C60" s="426">
        <v>510</v>
      </c>
      <c r="D60" s="426" t="s">
        <v>576</v>
      </c>
      <c r="E60" s="426">
        <v>1000056264</v>
      </c>
      <c r="F60" s="425" t="s">
        <v>519</v>
      </c>
      <c r="G60" s="426" t="s">
        <v>493</v>
      </c>
      <c r="H60" s="426">
        <v>1</v>
      </c>
      <c r="I60" s="427"/>
      <c r="J60" s="428" t="str">
        <f t="shared" si="0"/>
        <v>INCLUDED</v>
      </c>
    </row>
    <row r="61" spans="1:10" ht="31.5">
      <c r="A61" s="611">
        <v>44</v>
      </c>
      <c r="B61" s="426">
        <v>7000026766</v>
      </c>
      <c r="C61" s="426">
        <v>520</v>
      </c>
      <c r="D61" s="426" t="s">
        <v>576</v>
      </c>
      <c r="E61" s="426">
        <v>1000056265</v>
      </c>
      <c r="F61" s="425" t="s">
        <v>520</v>
      </c>
      <c r="G61" s="426" t="s">
        <v>493</v>
      </c>
      <c r="H61" s="426">
        <v>1</v>
      </c>
      <c r="I61" s="427"/>
      <c r="J61" s="428" t="str">
        <f t="shared" si="0"/>
        <v>INCLUDED</v>
      </c>
    </row>
    <row r="62" spans="1:10" ht="31.5">
      <c r="A62" s="611">
        <v>45</v>
      </c>
      <c r="B62" s="426">
        <v>7000026766</v>
      </c>
      <c r="C62" s="426">
        <v>530</v>
      </c>
      <c r="D62" s="426" t="s">
        <v>576</v>
      </c>
      <c r="E62" s="426">
        <v>1000032049</v>
      </c>
      <c r="F62" s="425" t="s">
        <v>590</v>
      </c>
      <c r="G62" s="426" t="s">
        <v>493</v>
      </c>
      <c r="H62" s="426">
        <v>0.5</v>
      </c>
      <c r="I62" s="427"/>
      <c r="J62" s="428" t="str">
        <f t="shared" si="0"/>
        <v>INCLUDED</v>
      </c>
    </row>
    <row r="63" spans="1:10" ht="31.5">
      <c r="A63" s="611">
        <v>46</v>
      </c>
      <c r="B63" s="426">
        <v>7000026766</v>
      </c>
      <c r="C63" s="426">
        <v>540</v>
      </c>
      <c r="D63" s="426" t="s">
        <v>576</v>
      </c>
      <c r="E63" s="426">
        <v>1000031957</v>
      </c>
      <c r="F63" s="425" t="s">
        <v>522</v>
      </c>
      <c r="G63" s="426" t="s">
        <v>493</v>
      </c>
      <c r="H63" s="426">
        <v>1</v>
      </c>
      <c r="I63" s="427"/>
      <c r="J63" s="428" t="str">
        <f t="shared" si="0"/>
        <v>INCLUDED</v>
      </c>
    </row>
    <row r="64" spans="1:10" ht="31.5">
      <c r="A64" s="611">
        <v>47</v>
      </c>
      <c r="B64" s="426">
        <v>7000026766</v>
      </c>
      <c r="C64" s="426">
        <v>550</v>
      </c>
      <c r="D64" s="426" t="s">
        <v>576</v>
      </c>
      <c r="E64" s="426">
        <v>1000031943</v>
      </c>
      <c r="F64" s="425" t="s">
        <v>526</v>
      </c>
      <c r="G64" s="426" t="s">
        <v>493</v>
      </c>
      <c r="H64" s="426">
        <v>1</v>
      </c>
      <c r="I64" s="427"/>
      <c r="J64" s="428" t="str">
        <f t="shared" si="0"/>
        <v>INCLUDED</v>
      </c>
    </row>
    <row r="65" spans="1:10" ht="31.5">
      <c r="A65" s="611">
        <v>48</v>
      </c>
      <c r="B65" s="426">
        <v>7000026766</v>
      </c>
      <c r="C65" s="426">
        <v>560</v>
      </c>
      <c r="D65" s="426" t="s">
        <v>576</v>
      </c>
      <c r="E65" s="426">
        <v>1000031985</v>
      </c>
      <c r="F65" s="425" t="s">
        <v>525</v>
      </c>
      <c r="G65" s="426" t="s">
        <v>493</v>
      </c>
      <c r="H65" s="426">
        <v>1</v>
      </c>
      <c r="I65" s="427"/>
      <c r="J65" s="428" t="str">
        <f t="shared" si="0"/>
        <v>INCLUDED</v>
      </c>
    </row>
    <row r="66" spans="1:10" ht="47.25">
      <c r="A66" s="611">
        <v>49</v>
      </c>
      <c r="B66" s="426">
        <v>7000026766</v>
      </c>
      <c r="C66" s="426">
        <v>570</v>
      </c>
      <c r="D66" s="426" t="s">
        <v>577</v>
      </c>
      <c r="E66" s="426">
        <v>1000015954</v>
      </c>
      <c r="F66" s="425" t="s">
        <v>537</v>
      </c>
      <c r="G66" s="426" t="s">
        <v>536</v>
      </c>
      <c r="H66" s="426">
        <v>105</v>
      </c>
      <c r="I66" s="427"/>
      <c r="J66" s="428" t="str">
        <f t="shared" si="0"/>
        <v>INCLUDED</v>
      </c>
    </row>
    <row r="67" spans="1:10" ht="31.5">
      <c r="A67" s="611">
        <v>50</v>
      </c>
      <c r="B67" s="426">
        <v>7000026766</v>
      </c>
      <c r="C67" s="426">
        <v>580</v>
      </c>
      <c r="D67" s="426" t="s">
        <v>577</v>
      </c>
      <c r="E67" s="426">
        <v>1000011713</v>
      </c>
      <c r="F67" s="425" t="s">
        <v>538</v>
      </c>
      <c r="G67" s="426" t="s">
        <v>536</v>
      </c>
      <c r="H67" s="426">
        <v>9</v>
      </c>
      <c r="I67" s="427"/>
      <c r="J67" s="428" t="str">
        <f t="shared" si="0"/>
        <v>INCLUDED</v>
      </c>
    </row>
    <row r="68" spans="1:10" ht="31.5">
      <c r="A68" s="611">
        <v>51</v>
      </c>
      <c r="B68" s="426">
        <v>7000026766</v>
      </c>
      <c r="C68" s="426">
        <v>590</v>
      </c>
      <c r="D68" s="426" t="s">
        <v>577</v>
      </c>
      <c r="E68" s="426">
        <v>1000012373</v>
      </c>
      <c r="F68" s="425" t="s">
        <v>539</v>
      </c>
      <c r="G68" s="426" t="s">
        <v>536</v>
      </c>
      <c r="H68" s="426">
        <v>5</v>
      </c>
      <c r="I68" s="427"/>
      <c r="J68" s="428" t="str">
        <f t="shared" si="0"/>
        <v>INCLUDED</v>
      </c>
    </row>
    <row r="69" spans="1:10" ht="78.75">
      <c r="A69" s="611">
        <v>52</v>
      </c>
      <c r="B69" s="426">
        <v>7000026766</v>
      </c>
      <c r="C69" s="426">
        <v>620</v>
      </c>
      <c r="D69" s="426" t="s">
        <v>578</v>
      </c>
      <c r="E69" s="426">
        <v>1000031367</v>
      </c>
      <c r="F69" s="425" t="s">
        <v>495</v>
      </c>
      <c r="G69" s="426" t="s">
        <v>470</v>
      </c>
      <c r="H69" s="426">
        <v>1</v>
      </c>
      <c r="I69" s="427"/>
      <c r="J69" s="428" t="str">
        <f t="shared" si="0"/>
        <v>INCLUDED</v>
      </c>
    </row>
    <row r="70" spans="1:10" ht="31.5">
      <c r="A70" s="611">
        <v>53</v>
      </c>
      <c r="B70" s="426">
        <v>7000026766</v>
      </c>
      <c r="C70" s="426">
        <v>630</v>
      </c>
      <c r="D70" s="426" t="s">
        <v>578</v>
      </c>
      <c r="E70" s="426">
        <v>1000018706</v>
      </c>
      <c r="F70" s="425" t="s">
        <v>501</v>
      </c>
      <c r="G70" s="426" t="s">
        <v>470</v>
      </c>
      <c r="H70" s="426">
        <v>4</v>
      </c>
      <c r="I70" s="427"/>
      <c r="J70" s="428" t="str">
        <f t="shared" si="0"/>
        <v>INCLUDED</v>
      </c>
    </row>
    <row r="71" spans="1:10" ht="31.5">
      <c r="A71" s="611">
        <v>54</v>
      </c>
      <c r="B71" s="426">
        <v>7000026766</v>
      </c>
      <c r="C71" s="426">
        <v>640</v>
      </c>
      <c r="D71" s="426" t="s">
        <v>578</v>
      </c>
      <c r="E71" s="426">
        <v>1000031374</v>
      </c>
      <c r="F71" s="425" t="s">
        <v>496</v>
      </c>
      <c r="G71" s="426" t="s">
        <v>471</v>
      </c>
      <c r="H71" s="426">
        <v>2</v>
      </c>
      <c r="I71" s="427"/>
      <c r="J71" s="428" t="str">
        <f t="shared" si="0"/>
        <v>INCLUDED</v>
      </c>
    </row>
    <row r="72" spans="1:10" ht="31.5">
      <c r="A72" s="611">
        <v>55</v>
      </c>
      <c r="B72" s="426">
        <v>7000026766</v>
      </c>
      <c r="C72" s="426">
        <v>650</v>
      </c>
      <c r="D72" s="426" t="s">
        <v>578</v>
      </c>
      <c r="E72" s="426">
        <v>1000034950</v>
      </c>
      <c r="F72" s="425" t="s">
        <v>497</v>
      </c>
      <c r="G72" s="426" t="s">
        <v>470</v>
      </c>
      <c r="H72" s="426">
        <v>2</v>
      </c>
      <c r="I72" s="427"/>
      <c r="J72" s="428" t="str">
        <f t="shared" si="0"/>
        <v>INCLUDED</v>
      </c>
    </row>
    <row r="73" spans="1:10" ht="31.5">
      <c r="A73" s="611">
        <v>56</v>
      </c>
      <c r="B73" s="426">
        <v>7000026766</v>
      </c>
      <c r="C73" s="426">
        <v>660</v>
      </c>
      <c r="D73" s="426" t="s">
        <v>578</v>
      </c>
      <c r="E73" s="426">
        <v>1000031381</v>
      </c>
      <c r="F73" s="425" t="s">
        <v>498</v>
      </c>
      <c r="G73" s="426" t="s">
        <v>471</v>
      </c>
      <c r="H73" s="426">
        <v>1</v>
      </c>
      <c r="I73" s="427"/>
      <c r="J73" s="428" t="str">
        <f t="shared" si="0"/>
        <v>INCLUDED</v>
      </c>
    </row>
    <row r="74" spans="1:10" ht="31.5">
      <c r="A74" s="611">
        <v>57</v>
      </c>
      <c r="B74" s="426">
        <v>7000026766</v>
      </c>
      <c r="C74" s="426">
        <v>670</v>
      </c>
      <c r="D74" s="426" t="s">
        <v>578</v>
      </c>
      <c r="E74" s="426">
        <v>1000026228</v>
      </c>
      <c r="F74" s="425" t="s">
        <v>499</v>
      </c>
      <c r="G74" s="426" t="s">
        <v>470</v>
      </c>
      <c r="H74" s="426">
        <v>1</v>
      </c>
      <c r="I74" s="427"/>
      <c r="J74" s="428" t="str">
        <f t="shared" si="0"/>
        <v>INCLUDED</v>
      </c>
    </row>
    <row r="75" spans="1:10" ht="31.5">
      <c r="A75" s="611">
        <v>58</v>
      </c>
      <c r="B75" s="426">
        <v>7000026766</v>
      </c>
      <c r="C75" s="426">
        <v>680</v>
      </c>
      <c r="D75" s="426" t="s">
        <v>578</v>
      </c>
      <c r="E75" s="426">
        <v>1000037545</v>
      </c>
      <c r="F75" s="425" t="s">
        <v>591</v>
      </c>
      <c r="G75" s="426" t="s">
        <v>493</v>
      </c>
      <c r="H75" s="426">
        <v>1</v>
      </c>
      <c r="I75" s="427"/>
      <c r="J75" s="428" t="str">
        <f t="shared" si="0"/>
        <v>INCLUDED</v>
      </c>
    </row>
    <row r="76" spans="1:10" ht="31.5">
      <c r="A76" s="611">
        <v>59</v>
      </c>
      <c r="B76" s="426">
        <v>7000026766</v>
      </c>
      <c r="C76" s="426">
        <v>690</v>
      </c>
      <c r="D76" s="426" t="s">
        <v>578</v>
      </c>
      <c r="E76" s="426">
        <v>1000066614</v>
      </c>
      <c r="F76" s="425" t="s">
        <v>592</v>
      </c>
      <c r="G76" s="426" t="s">
        <v>493</v>
      </c>
      <c r="H76" s="426">
        <v>1</v>
      </c>
      <c r="I76" s="427"/>
      <c r="J76" s="428" t="str">
        <f t="shared" si="0"/>
        <v>INCLUDED</v>
      </c>
    </row>
    <row r="77" spans="1:10" ht="31.5">
      <c r="A77" s="611">
        <v>60</v>
      </c>
      <c r="B77" s="426">
        <v>7000026766</v>
      </c>
      <c r="C77" s="426">
        <v>700</v>
      </c>
      <c r="D77" s="426" t="s">
        <v>578</v>
      </c>
      <c r="E77" s="426">
        <v>1000066612</v>
      </c>
      <c r="F77" s="425" t="s">
        <v>593</v>
      </c>
      <c r="G77" s="426" t="s">
        <v>470</v>
      </c>
      <c r="H77" s="426">
        <v>100</v>
      </c>
      <c r="I77" s="427"/>
      <c r="J77" s="428" t="str">
        <f t="shared" si="0"/>
        <v>INCLUDED</v>
      </c>
    </row>
    <row r="78" spans="1:10" ht="31.5">
      <c r="A78" s="611">
        <v>61</v>
      </c>
      <c r="B78" s="426">
        <v>7000026766</v>
      </c>
      <c r="C78" s="426">
        <v>710</v>
      </c>
      <c r="D78" s="426" t="s">
        <v>578</v>
      </c>
      <c r="E78" s="426">
        <v>1000066613</v>
      </c>
      <c r="F78" s="425" t="s">
        <v>594</v>
      </c>
      <c r="G78" s="426" t="s">
        <v>470</v>
      </c>
      <c r="H78" s="426">
        <v>75</v>
      </c>
      <c r="I78" s="427"/>
      <c r="J78" s="428" t="str">
        <f t="shared" si="0"/>
        <v>INCLUDED</v>
      </c>
    </row>
    <row r="79" spans="1:10" ht="31.5">
      <c r="A79" s="611">
        <v>62</v>
      </c>
      <c r="B79" s="426">
        <v>7000026766</v>
      </c>
      <c r="C79" s="426">
        <v>720</v>
      </c>
      <c r="D79" s="426" t="s">
        <v>578</v>
      </c>
      <c r="E79" s="426">
        <v>1000023471</v>
      </c>
      <c r="F79" s="425" t="s">
        <v>500</v>
      </c>
      <c r="G79" s="426" t="s">
        <v>470</v>
      </c>
      <c r="H79" s="426">
        <v>1</v>
      </c>
      <c r="I79" s="427"/>
      <c r="J79" s="428" t="str">
        <f t="shared" si="0"/>
        <v>INCLUDED</v>
      </c>
    </row>
    <row r="80" spans="1:10" ht="31.5">
      <c r="A80" s="611">
        <v>63</v>
      </c>
      <c r="B80" s="426">
        <v>7000026766</v>
      </c>
      <c r="C80" s="426">
        <v>740</v>
      </c>
      <c r="D80" s="426" t="s">
        <v>579</v>
      </c>
      <c r="E80" s="426">
        <v>1000017518</v>
      </c>
      <c r="F80" s="425" t="s">
        <v>512</v>
      </c>
      <c r="G80" s="426" t="s">
        <v>470</v>
      </c>
      <c r="H80" s="426">
        <v>1</v>
      </c>
      <c r="I80" s="427"/>
      <c r="J80" s="428" t="str">
        <f t="shared" si="0"/>
        <v>INCLUDED</v>
      </c>
    </row>
    <row r="81" spans="1:28" ht="31.5">
      <c r="A81" s="611">
        <v>64</v>
      </c>
      <c r="B81" s="426">
        <v>7000026766</v>
      </c>
      <c r="C81" s="426">
        <v>750</v>
      </c>
      <c r="D81" s="426" t="s">
        <v>579</v>
      </c>
      <c r="E81" s="426">
        <v>1000022512</v>
      </c>
      <c r="F81" s="425" t="s">
        <v>513</v>
      </c>
      <c r="G81" s="426" t="s">
        <v>470</v>
      </c>
      <c r="H81" s="426">
        <v>1</v>
      </c>
      <c r="I81" s="427"/>
      <c r="J81" s="428" t="str">
        <f t="shared" si="0"/>
        <v>INCLUDED</v>
      </c>
    </row>
    <row r="82" spans="1:28" ht="31.5">
      <c r="A82" s="611">
        <v>65</v>
      </c>
      <c r="B82" s="426">
        <v>7000026766</v>
      </c>
      <c r="C82" s="426">
        <v>760</v>
      </c>
      <c r="D82" s="426" t="s">
        <v>579</v>
      </c>
      <c r="E82" s="426">
        <v>1000071061</v>
      </c>
      <c r="F82" s="425" t="s">
        <v>595</v>
      </c>
      <c r="G82" s="426" t="s">
        <v>470</v>
      </c>
      <c r="H82" s="426">
        <v>1</v>
      </c>
      <c r="I82" s="427"/>
      <c r="J82" s="428" t="str">
        <f t="shared" si="0"/>
        <v>INCLUDED</v>
      </c>
    </row>
    <row r="83" spans="1:28" ht="31.5">
      <c r="A83" s="611">
        <v>66</v>
      </c>
      <c r="B83" s="426">
        <v>7000026766</v>
      </c>
      <c r="C83" s="426">
        <v>770</v>
      </c>
      <c r="D83" s="426" t="s">
        <v>579</v>
      </c>
      <c r="E83" s="426">
        <v>1000071062</v>
      </c>
      <c r="F83" s="425" t="s">
        <v>596</v>
      </c>
      <c r="G83" s="426" t="s">
        <v>470</v>
      </c>
      <c r="H83" s="426">
        <v>1</v>
      </c>
      <c r="I83" s="427"/>
      <c r="J83" s="428" t="str">
        <f t="shared" si="0"/>
        <v>INCLUDED</v>
      </c>
    </row>
    <row r="84" spans="1:28" ht="31.5">
      <c r="A84" s="611">
        <v>67</v>
      </c>
      <c r="B84" s="426">
        <v>7000026766</v>
      </c>
      <c r="C84" s="426">
        <v>780</v>
      </c>
      <c r="D84" s="426" t="s">
        <v>579</v>
      </c>
      <c r="E84" s="426">
        <v>1000022487</v>
      </c>
      <c r="F84" s="425" t="s">
        <v>514</v>
      </c>
      <c r="G84" s="426" t="s">
        <v>470</v>
      </c>
      <c r="H84" s="426">
        <v>1</v>
      </c>
      <c r="I84" s="427"/>
      <c r="J84" s="428" t="str">
        <f t="shared" si="0"/>
        <v>INCLUDED</v>
      </c>
    </row>
    <row r="85" spans="1:28" ht="31.5">
      <c r="A85" s="611">
        <v>68</v>
      </c>
      <c r="B85" s="426">
        <v>7000026766</v>
      </c>
      <c r="C85" s="426">
        <v>790</v>
      </c>
      <c r="D85" s="426" t="s">
        <v>579</v>
      </c>
      <c r="E85" s="426">
        <v>1000030641</v>
      </c>
      <c r="F85" s="425" t="s">
        <v>597</v>
      </c>
      <c r="G85" s="426" t="s">
        <v>470</v>
      </c>
      <c r="H85" s="426">
        <v>2</v>
      </c>
      <c r="I85" s="427"/>
      <c r="J85" s="428" t="str">
        <f t="shared" si="0"/>
        <v>INCLUDED</v>
      </c>
    </row>
    <row r="86" spans="1:28" ht="31.5">
      <c r="A86" s="611">
        <v>69</v>
      </c>
      <c r="B86" s="426">
        <v>7000026766</v>
      </c>
      <c r="C86" s="426">
        <v>810</v>
      </c>
      <c r="D86" s="426" t="s">
        <v>580</v>
      </c>
      <c r="E86" s="426">
        <v>1000019912</v>
      </c>
      <c r="F86" s="425" t="s">
        <v>532</v>
      </c>
      <c r="G86" s="426" t="s">
        <v>506</v>
      </c>
      <c r="H86" s="426">
        <v>1</v>
      </c>
      <c r="I86" s="427"/>
      <c r="J86" s="428" t="str">
        <f t="shared" si="0"/>
        <v>INCLUDED</v>
      </c>
    </row>
    <row r="87" spans="1:28" ht="31.5">
      <c r="A87" s="611">
        <v>70</v>
      </c>
      <c r="B87" s="426">
        <v>7000026766</v>
      </c>
      <c r="C87" s="426">
        <v>820</v>
      </c>
      <c r="D87" s="426" t="s">
        <v>580</v>
      </c>
      <c r="E87" s="426">
        <v>1000019927</v>
      </c>
      <c r="F87" s="425" t="s">
        <v>533</v>
      </c>
      <c r="G87" s="426" t="s">
        <v>506</v>
      </c>
      <c r="H87" s="426">
        <v>1</v>
      </c>
      <c r="I87" s="427"/>
      <c r="J87" s="428" t="str">
        <f t="shared" si="0"/>
        <v>INCLUDED</v>
      </c>
    </row>
    <row r="88" spans="1:28" ht="31.5">
      <c r="A88" s="611">
        <v>71</v>
      </c>
      <c r="B88" s="426">
        <v>7000026766</v>
      </c>
      <c r="C88" s="426">
        <v>840</v>
      </c>
      <c r="D88" s="426" t="s">
        <v>581</v>
      </c>
      <c r="E88" s="426">
        <v>1000025943</v>
      </c>
      <c r="F88" s="425" t="s">
        <v>530</v>
      </c>
      <c r="G88" s="426" t="s">
        <v>471</v>
      </c>
      <c r="H88" s="426">
        <v>1</v>
      </c>
      <c r="I88" s="427"/>
      <c r="J88" s="428" t="str">
        <f t="shared" si="0"/>
        <v>INCLUDED</v>
      </c>
    </row>
    <row r="89" spans="1:28" ht="31.5">
      <c r="A89" s="611">
        <v>72</v>
      </c>
      <c r="B89" s="426">
        <v>7000026766</v>
      </c>
      <c r="C89" s="426">
        <v>850</v>
      </c>
      <c r="D89" s="426" t="s">
        <v>582</v>
      </c>
      <c r="E89" s="426">
        <v>1000019213</v>
      </c>
      <c r="F89" s="425" t="s">
        <v>598</v>
      </c>
      <c r="G89" s="426" t="s">
        <v>506</v>
      </c>
      <c r="H89" s="426">
        <v>1</v>
      </c>
      <c r="I89" s="427"/>
      <c r="J89" s="428" t="str">
        <f t="shared" si="0"/>
        <v>INCLUDED</v>
      </c>
    </row>
    <row r="90" spans="1:28" s="610" customFormat="1" ht="34.5" customHeight="1">
      <c r="A90" s="604" t="str">
        <f>'Sch-1'!A90</f>
        <v>II</v>
      </c>
      <c r="B90" s="605" t="str">
        <f>'Sch-1'!B90</f>
        <v xml:space="preserve">Extension of 765/400kV Indore Substation </v>
      </c>
      <c r="C90" s="606"/>
      <c r="D90" s="607"/>
      <c r="E90" s="608"/>
      <c r="F90" s="608"/>
      <c r="G90" s="608"/>
      <c r="H90" s="608"/>
      <c r="I90" s="608"/>
      <c r="J90" s="608"/>
      <c r="K90" s="609"/>
      <c r="L90" s="609"/>
      <c r="M90" s="609"/>
      <c r="N90" s="609"/>
      <c r="O90" s="609"/>
      <c r="P90" s="609"/>
      <c r="Q90" s="609"/>
      <c r="R90" s="609"/>
      <c r="S90" s="609"/>
      <c r="T90" s="609"/>
      <c r="U90" s="609"/>
      <c r="V90" s="609"/>
      <c r="W90" s="609"/>
      <c r="X90" s="609"/>
      <c r="Y90" s="609"/>
      <c r="Z90" s="609"/>
      <c r="AA90" s="609"/>
      <c r="AB90" s="609"/>
    </row>
    <row r="91" spans="1:28" ht="31.5">
      <c r="A91" s="611">
        <v>1</v>
      </c>
      <c r="B91" s="426">
        <v>7000026861</v>
      </c>
      <c r="C91" s="426">
        <v>10</v>
      </c>
      <c r="D91" s="426" t="s">
        <v>599</v>
      </c>
      <c r="E91" s="426">
        <v>1000005826</v>
      </c>
      <c r="F91" s="425" t="s">
        <v>616</v>
      </c>
      <c r="G91" s="426" t="s">
        <v>470</v>
      </c>
      <c r="H91" s="426">
        <v>1</v>
      </c>
      <c r="I91" s="427"/>
      <c r="J91" s="428" t="str">
        <f t="shared" si="0"/>
        <v>INCLUDED</v>
      </c>
    </row>
    <row r="92" spans="1:28" ht="31.5">
      <c r="A92" s="611">
        <v>2</v>
      </c>
      <c r="B92" s="426">
        <v>7000026861</v>
      </c>
      <c r="C92" s="426">
        <v>20</v>
      </c>
      <c r="D92" s="426" t="s">
        <v>599</v>
      </c>
      <c r="E92" s="426">
        <v>1000005853</v>
      </c>
      <c r="F92" s="425" t="s">
        <v>617</v>
      </c>
      <c r="G92" s="426" t="s">
        <v>470</v>
      </c>
      <c r="H92" s="426">
        <v>1</v>
      </c>
      <c r="I92" s="427"/>
      <c r="J92" s="428" t="str">
        <f t="shared" si="0"/>
        <v>INCLUDED</v>
      </c>
    </row>
    <row r="93" spans="1:28" ht="31.5">
      <c r="A93" s="611">
        <v>3</v>
      </c>
      <c r="B93" s="426">
        <v>7000026861</v>
      </c>
      <c r="C93" s="426">
        <v>30</v>
      </c>
      <c r="D93" s="426" t="s">
        <v>599</v>
      </c>
      <c r="E93" s="426">
        <v>1000005820</v>
      </c>
      <c r="F93" s="425" t="s">
        <v>618</v>
      </c>
      <c r="G93" s="426" t="s">
        <v>470</v>
      </c>
      <c r="H93" s="426">
        <v>3</v>
      </c>
      <c r="I93" s="427"/>
      <c r="J93" s="428" t="str">
        <f t="shared" ref="J93:J252" si="1">IF(I93=0, "INCLUDED", IF(ISERROR(I93*H93), I93, I93*H93))</f>
        <v>INCLUDED</v>
      </c>
    </row>
    <row r="94" spans="1:28" ht="31.5">
      <c r="A94" s="611">
        <v>4</v>
      </c>
      <c r="B94" s="426">
        <v>7000026861</v>
      </c>
      <c r="C94" s="426">
        <v>40</v>
      </c>
      <c r="D94" s="426" t="s">
        <v>599</v>
      </c>
      <c r="E94" s="426">
        <v>1000005819</v>
      </c>
      <c r="F94" s="425" t="s">
        <v>619</v>
      </c>
      <c r="G94" s="426" t="s">
        <v>470</v>
      </c>
      <c r="H94" s="426">
        <v>6</v>
      </c>
      <c r="I94" s="427"/>
      <c r="J94" s="428" t="str">
        <f t="shared" si="1"/>
        <v>INCLUDED</v>
      </c>
    </row>
    <row r="95" spans="1:28" ht="31.5">
      <c r="A95" s="611">
        <v>5</v>
      </c>
      <c r="B95" s="426">
        <v>7000026861</v>
      </c>
      <c r="C95" s="426">
        <v>50</v>
      </c>
      <c r="D95" s="426" t="s">
        <v>599</v>
      </c>
      <c r="E95" s="426">
        <v>1000005848</v>
      </c>
      <c r="F95" s="425" t="s">
        <v>620</v>
      </c>
      <c r="G95" s="426" t="s">
        <v>470</v>
      </c>
      <c r="H95" s="426">
        <v>3</v>
      </c>
      <c r="I95" s="427"/>
      <c r="J95" s="428" t="str">
        <f t="shared" si="1"/>
        <v>INCLUDED</v>
      </c>
    </row>
    <row r="96" spans="1:28" ht="31.5">
      <c r="A96" s="611">
        <v>6</v>
      </c>
      <c r="B96" s="426">
        <v>7000026861</v>
      </c>
      <c r="C96" s="426">
        <v>60</v>
      </c>
      <c r="D96" s="426" t="s">
        <v>599</v>
      </c>
      <c r="E96" s="426">
        <v>1000020421</v>
      </c>
      <c r="F96" s="425" t="s">
        <v>621</v>
      </c>
      <c r="G96" s="426" t="s">
        <v>470</v>
      </c>
      <c r="H96" s="426">
        <v>3</v>
      </c>
      <c r="I96" s="427"/>
      <c r="J96" s="428" t="str">
        <f t="shared" si="1"/>
        <v>INCLUDED</v>
      </c>
    </row>
    <row r="97" spans="1:10" ht="31.5">
      <c r="A97" s="611">
        <v>7</v>
      </c>
      <c r="B97" s="426">
        <v>7000026861</v>
      </c>
      <c r="C97" s="426">
        <v>70</v>
      </c>
      <c r="D97" s="426" t="s">
        <v>599</v>
      </c>
      <c r="E97" s="426">
        <v>1000005791</v>
      </c>
      <c r="F97" s="425" t="s">
        <v>622</v>
      </c>
      <c r="G97" s="426" t="s">
        <v>470</v>
      </c>
      <c r="H97" s="426">
        <v>6</v>
      </c>
      <c r="I97" s="427"/>
      <c r="J97" s="428" t="str">
        <f t="shared" si="1"/>
        <v>INCLUDED</v>
      </c>
    </row>
    <row r="98" spans="1:10" ht="31.5">
      <c r="A98" s="611">
        <v>8</v>
      </c>
      <c r="B98" s="426">
        <v>7000026861</v>
      </c>
      <c r="C98" s="426">
        <v>80</v>
      </c>
      <c r="D98" s="426" t="s">
        <v>599</v>
      </c>
      <c r="E98" s="426">
        <v>1000009714</v>
      </c>
      <c r="F98" s="425" t="s">
        <v>623</v>
      </c>
      <c r="G98" s="426" t="s">
        <v>470</v>
      </c>
      <c r="H98" s="426">
        <v>2</v>
      </c>
      <c r="I98" s="427"/>
      <c r="J98" s="428" t="str">
        <f t="shared" si="1"/>
        <v>INCLUDED</v>
      </c>
    </row>
    <row r="99" spans="1:10" ht="31.5">
      <c r="A99" s="611">
        <v>9</v>
      </c>
      <c r="B99" s="426">
        <v>7000026861</v>
      </c>
      <c r="C99" s="426">
        <v>90</v>
      </c>
      <c r="D99" s="426" t="s">
        <v>600</v>
      </c>
      <c r="E99" s="426">
        <v>1000004501</v>
      </c>
      <c r="F99" s="425" t="s">
        <v>472</v>
      </c>
      <c r="G99" s="426" t="s">
        <v>470</v>
      </c>
      <c r="H99" s="426">
        <v>1</v>
      </c>
      <c r="I99" s="427"/>
      <c r="J99" s="428" t="str">
        <f t="shared" si="1"/>
        <v>INCLUDED</v>
      </c>
    </row>
    <row r="100" spans="1:10" ht="31.5">
      <c r="A100" s="611">
        <v>10</v>
      </c>
      <c r="B100" s="426">
        <v>7000026861</v>
      </c>
      <c r="C100" s="426">
        <v>100</v>
      </c>
      <c r="D100" s="426" t="s">
        <v>600</v>
      </c>
      <c r="E100" s="426">
        <v>1000004498</v>
      </c>
      <c r="F100" s="425" t="s">
        <v>475</v>
      </c>
      <c r="G100" s="426" t="s">
        <v>470</v>
      </c>
      <c r="H100" s="426">
        <v>1</v>
      </c>
      <c r="I100" s="427"/>
      <c r="J100" s="428" t="str">
        <f t="shared" si="1"/>
        <v>INCLUDED</v>
      </c>
    </row>
    <row r="101" spans="1:10" ht="31.5">
      <c r="A101" s="611">
        <v>11</v>
      </c>
      <c r="B101" s="426">
        <v>7000026861</v>
      </c>
      <c r="C101" s="426">
        <v>110</v>
      </c>
      <c r="D101" s="426" t="s">
        <v>600</v>
      </c>
      <c r="E101" s="426">
        <v>1000004496</v>
      </c>
      <c r="F101" s="425" t="s">
        <v>624</v>
      </c>
      <c r="G101" s="426" t="s">
        <v>470</v>
      </c>
      <c r="H101" s="426">
        <v>3</v>
      </c>
      <c r="I101" s="427"/>
      <c r="J101" s="428" t="str">
        <f t="shared" si="1"/>
        <v>INCLUDED</v>
      </c>
    </row>
    <row r="102" spans="1:10" ht="31.5">
      <c r="A102" s="611">
        <v>12</v>
      </c>
      <c r="B102" s="426">
        <v>7000026861</v>
      </c>
      <c r="C102" s="426">
        <v>120</v>
      </c>
      <c r="D102" s="426" t="s">
        <v>600</v>
      </c>
      <c r="E102" s="426">
        <v>1000004495</v>
      </c>
      <c r="F102" s="425" t="s">
        <v>625</v>
      </c>
      <c r="G102" s="426" t="s">
        <v>470</v>
      </c>
      <c r="H102" s="426">
        <v>3</v>
      </c>
      <c r="I102" s="427"/>
      <c r="J102" s="428" t="str">
        <f t="shared" si="1"/>
        <v>INCLUDED</v>
      </c>
    </row>
    <row r="103" spans="1:10" ht="31.5">
      <c r="A103" s="611">
        <v>13</v>
      </c>
      <c r="B103" s="426">
        <v>7000026861</v>
      </c>
      <c r="C103" s="426">
        <v>130</v>
      </c>
      <c r="D103" s="426" t="s">
        <v>600</v>
      </c>
      <c r="E103" s="426">
        <v>1000004463</v>
      </c>
      <c r="F103" s="425" t="s">
        <v>474</v>
      </c>
      <c r="G103" s="426" t="s">
        <v>470</v>
      </c>
      <c r="H103" s="426">
        <v>3</v>
      </c>
      <c r="I103" s="427"/>
      <c r="J103" s="428" t="str">
        <f t="shared" si="1"/>
        <v>INCLUDED</v>
      </c>
    </row>
    <row r="104" spans="1:10" ht="31.5">
      <c r="A104" s="611">
        <v>14</v>
      </c>
      <c r="B104" s="426">
        <v>7000026861</v>
      </c>
      <c r="C104" s="426">
        <v>140</v>
      </c>
      <c r="D104" s="426" t="s">
        <v>600</v>
      </c>
      <c r="E104" s="426">
        <v>1000020419</v>
      </c>
      <c r="F104" s="425" t="s">
        <v>477</v>
      </c>
      <c r="G104" s="426" t="s">
        <v>470</v>
      </c>
      <c r="H104" s="426">
        <v>3</v>
      </c>
      <c r="I104" s="427"/>
      <c r="J104" s="428" t="str">
        <f t="shared" si="1"/>
        <v>INCLUDED</v>
      </c>
    </row>
    <row r="105" spans="1:10" ht="31.5">
      <c r="A105" s="611">
        <v>15</v>
      </c>
      <c r="B105" s="426">
        <v>7000026861</v>
      </c>
      <c r="C105" s="426">
        <v>150</v>
      </c>
      <c r="D105" s="426" t="s">
        <v>600</v>
      </c>
      <c r="E105" s="426">
        <v>1000004401</v>
      </c>
      <c r="F105" s="425" t="s">
        <v>478</v>
      </c>
      <c r="G105" s="426" t="s">
        <v>470</v>
      </c>
      <c r="H105" s="426">
        <v>12</v>
      </c>
      <c r="I105" s="427"/>
      <c r="J105" s="428" t="str">
        <f t="shared" si="1"/>
        <v>INCLUDED</v>
      </c>
    </row>
    <row r="106" spans="1:10" ht="31.5">
      <c r="A106" s="611">
        <v>16</v>
      </c>
      <c r="B106" s="426">
        <v>7000026861</v>
      </c>
      <c r="C106" s="426">
        <v>160</v>
      </c>
      <c r="D106" s="426" t="s">
        <v>600</v>
      </c>
      <c r="E106" s="426">
        <v>1000009713</v>
      </c>
      <c r="F106" s="425" t="s">
        <v>473</v>
      </c>
      <c r="G106" s="426" t="s">
        <v>470</v>
      </c>
      <c r="H106" s="426">
        <v>2</v>
      </c>
      <c r="I106" s="427"/>
      <c r="J106" s="428" t="str">
        <f t="shared" si="1"/>
        <v>INCLUDED</v>
      </c>
    </row>
    <row r="107" spans="1:10" ht="31.5">
      <c r="A107" s="611">
        <v>17</v>
      </c>
      <c r="B107" s="426">
        <v>7000026861</v>
      </c>
      <c r="C107" s="426">
        <v>170</v>
      </c>
      <c r="D107" s="426" t="s">
        <v>600</v>
      </c>
      <c r="E107" s="426">
        <v>1000001998</v>
      </c>
      <c r="F107" s="425" t="s">
        <v>626</v>
      </c>
      <c r="G107" s="426" t="s">
        <v>471</v>
      </c>
      <c r="H107" s="426">
        <v>1</v>
      </c>
      <c r="I107" s="427"/>
      <c r="J107" s="428" t="str">
        <f t="shared" si="1"/>
        <v>INCLUDED</v>
      </c>
    </row>
    <row r="108" spans="1:10" ht="31.5">
      <c r="A108" s="611">
        <v>18</v>
      </c>
      <c r="B108" s="426">
        <v>7000026861</v>
      </c>
      <c r="C108" s="426">
        <v>180</v>
      </c>
      <c r="D108" s="426" t="s">
        <v>601</v>
      </c>
      <c r="E108" s="426">
        <v>1000050141</v>
      </c>
      <c r="F108" s="425" t="s">
        <v>627</v>
      </c>
      <c r="G108" s="426" t="s">
        <v>470</v>
      </c>
      <c r="H108" s="426">
        <v>2</v>
      </c>
      <c r="I108" s="427"/>
      <c r="J108" s="428" t="str">
        <f t="shared" si="1"/>
        <v>INCLUDED</v>
      </c>
    </row>
    <row r="109" spans="1:10" ht="31.5">
      <c r="A109" s="611">
        <v>19</v>
      </c>
      <c r="B109" s="426">
        <v>7000026861</v>
      </c>
      <c r="C109" s="426">
        <v>190</v>
      </c>
      <c r="D109" s="426" t="s">
        <v>601</v>
      </c>
      <c r="E109" s="426">
        <v>1000006101</v>
      </c>
      <c r="F109" s="425" t="s">
        <v>628</v>
      </c>
      <c r="G109" s="426" t="s">
        <v>518</v>
      </c>
      <c r="H109" s="426">
        <v>150</v>
      </c>
      <c r="I109" s="427"/>
      <c r="J109" s="428" t="str">
        <f t="shared" si="1"/>
        <v>INCLUDED</v>
      </c>
    </row>
    <row r="110" spans="1:10" ht="31.5">
      <c r="A110" s="611">
        <v>20</v>
      </c>
      <c r="B110" s="426">
        <v>7000026861</v>
      </c>
      <c r="C110" s="426">
        <v>200</v>
      </c>
      <c r="D110" s="426" t="s">
        <v>602</v>
      </c>
      <c r="E110" s="426">
        <v>1000032796</v>
      </c>
      <c r="F110" s="425" t="s">
        <v>629</v>
      </c>
      <c r="G110" s="426" t="s">
        <v>471</v>
      </c>
      <c r="H110" s="426">
        <v>8</v>
      </c>
      <c r="I110" s="427"/>
      <c r="J110" s="428" t="str">
        <f t="shared" si="1"/>
        <v>INCLUDED</v>
      </c>
    </row>
    <row r="111" spans="1:10" ht="31.5">
      <c r="A111" s="611">
        <v>21</v>
      </c>
      <c r="B111" s="426">
        <v>7000026861</v>
      </c>
      <c r="C111" s="426">
        <v>210</v>
      </c>
      <c r="D111" s="426" t="s">
        <v>602</v>
      </c>
      <c r="E111" s="426">
        <v>1000059207</v>
      </c>
      <c r="F111" s="425" t="s">
        <v>630</v>
      </c>
      <c r="G111" s="426" t="s">
        <v>518</v>
      </c>
      <c r="H111" s="426">
        <v>750</v>
      </c>
      <c r="I111" s="427"/>
      <c r="J111" s="428" t="str">
        <f t="shared" si="1"/>
        <v>INCLUDED</v>
      </c>
    </row>
    <row r="112" spans="1:10">
      <c r="A112" s="611">
        <v>22</v>
      </c>
      <c r="B112" s="426">
        <v>7000026861</v>
      </c>
      <c r="C112" s="426">
        <v>220</v>
      </c>
      <c r="D112" s="426" t="s">
        <v>603</v>
      </c>
      <c r="E112" s="426">
        <v>1000031144</v>
      </c>
      <c r="F112" s="425" t="s">
        <v>631</v>
      </c>
      <c r="G112" s="426" t="s">
        <v>518</v>
      </c>
      <c r="H112" s="426">
        <v>1200</v>
      </c>
      <c r="I112" s="427"/>
      <c r="J112" s="428" t="str">
        <f t="shared" si="1"/>
        <v>INCLUDED</v>
      </c>
    </row>
    <row r="113" spans="1:10" ht="31.5">
      <c r="A113" s="611">
        <v>23</v>
      </c>
      <c r="B113" s="426">
        <v>7000026861</v>
      </c>
      <c r="C113" s="426">
        <v>230</v>
      </c>
      <c r="D113" s="426" t="s">
        <v>603</v>
      </c>
      <c r="E113" s="426">
        <v>1000052625</v>
      </c>
      <c r="F113" s="425" t="s">
        <v>632</v>
      </c>
      <c r="G113" s="426" t="s">
        <v>470</v>
      </c>
      <c r="H113" s="426">
        <v>8</v>
      </c>
      <c r="I113" s="427"/>
      <c r="J113" s="428" t="str">
        <f t="shared" si="1"/>
        <v>INCLUDED</v>
      </c>
    </row>
    <row r="114" spans="1:10" ht="47.25">
      <c r="A114" s="611">
        <v>24</v>
      </c>
      <c r="B114" s="426">
        <v>7000026861</v>
      </c>
      <c r="C114" s="426">
        <v>290</v>
      </c>
      <c r="D114" s="426" t="s">
        <v>604</v>
      </c>
      <c r="E114" s="426">
        <v>1000015954</v>
      </c>
      <c r="F114" s="425" t="s">
        <v>537</v>
      </c>
      <c r="G114" s="426" t="s">
        <v>536</v>
      </c>
      <c r="H114" s="426">
        <v>102</v>
      </c>
      <c r="I114" s="427"/>
      <c r="J114" s="428" t="str">
        <f t="shared" si="1"/>
        <v>INCLUDED</v>
      </c>
    </row>
    <row r="115" spans="1:10" ht="47.25">
      <c r="A115" s="611">
        <v>25</v>
      </c>
      <c r="B115" s="426">
        <v>7000026861</v>
      </c>
      <c r="C115" s="426">
        <v>300</v>
      </c>
      <c r="D115" s="426" t="s">
        <v>604</v>
      </c>
      <c r="E115" s="426">
        <v>1000015953</v>
      </c>
      <c r="F115" s="425" t="s">
        <v>633</v>
      </c>
      <c r="G115" s="426" t="s">
        <v>536</v>
      </c>
      <c r="H115" s="426">
        <v>26</v>
      </c>
      <c r="I115" s="427"/>
      <c r="J115" s="428" t="str">
        <f t="shared" si="1"/>
        <v>INCLUDED</v>
      </c>
    </row>
    <row r="116" spans="1:10" ht="31.5">
      <c r="A116" s="611">
        <v>26</v>
      </c>
      <c r="B116" s="426">
        <v>7000026861</v>
      </c>
      <c r="C116" s="426">
        <v>310</v>
      </c>
      <c r="D116" s="426" t="s">
        <v>604</v>
      </c>
      <c r="E116" s="426">
        <v>1000011713</v>
      </c>
      <c r="F116" s="425" t="s">
        <v>538</v>
      </c>
      <c r="G116" s="426" t="s">
        <v>536</v>
      </c>
      <c r="H116" s="426">
        <v>6</v>
      </c>
      <c r="I116" s="427"/>
      <c r="J116" s="428" t="str">
        <f t="shared" si="1"/>
        <v>INCLUDED</v>
      </c>
    </row>
    <row r="117" spans="1:10" ht="31.5">
      <c r="A117" s="611">
        <v>27</v>
      </c>
      <c r="B117" s="426">
        <v>7000026861</v>
      </c>
      <c r="C117" s="426">
        <v>320</v>
      </c>
      <c r="D117" s="426" t="s">
        <v>604</v>
      </c>
      <c r="E117" s="426">
        <v>1000012373</v>
      </c>
      <c r="F117" s="425" t="s">
        <v>539</v>
      </c>
      <c r="G117" s="426" t="s">
        <v>536</v>
      </c>
      <c r="H117" s="426">
        <v>11</v>
      </c>
      <c r="I117" s="427"/>
      <c r="J117" s="428" t="str">
        <f t="shared" si="1"/>
        <v>INCLUDED</v>
      </c>
    </row>
    <row r="118" spans="1:10">
      <c r="A118" s="611">
        <v>28</v>
      </c>
      <c r="B118" s="426">
        <v>7000026861</v>
      </c>
      <c r="C118" s="426">
        <v>350</v>
      </c>
      <c r="D118" s="426" t="s">
        <v>605</v>
      </c>
      <c r="E118" s="426">
        <v>1000005789</v>
      </c>
      <c r="F118" s="425" t="s">
        <v>634</v>
      </c>
      <c r="G118" s="426" t="s">
        <v>470</v>
      </c>
      <c r="H118" s="426">
        <v>1</v>
      </c>
      <c r="I118" s="427"/>
      <c r="J118" s="428" t="str">
        <f t="shared" si="1"/>
        <v>INCLUDED</v>
      </c>
    </row>
    <row r="119" spans="1:10">
      <c r="A119" s="611">
        <v>29</v>
      </c>
      <c r="B119" s="426">
        <v>7000026861</v>
      </c>
      <c r="C119" s="426">
        <v>360</v>
      </c>
      <c r="D119" s="426" t="s">
        <v>605</v>
      </c>
      <c r="E119" s="426">
        <v>1000055448</v>
      </c>
      <c r="F119" s="425" t="s">
        <v>635</v>
      </c>
      <c r="G119" s="426" t="s">
        <v>470</v>
      </c>
      <c r="H119" s="426">
        <v>1</v>
      </c>
      <c r="I119" s="427"/>
      <c r="J119" s="428" t="str">
        <f t="shared" si="1"/>
        <v>INCLUDED</v>
      </c>
    </row>
    <row r="120" spans="1:10">
      <c r="A120" s="611">
        <v>30</v>
      </c>
      <c r="B120" s="426">
        <v>7000026861</v>
      </c>
      <c r="C120" s="426">
        <v>370</v>
      </c>
      <c r="D120" s="426" t="s">
        <v>606</v>
      </c>
      <c r="E120" s="426">
        <v>1000055446</v>
      </c>
      <c r="F120" s="425" t="s">
        <v>547</v>
      </c>
      <c r="G120" s="426" t="s">
        <v>470</v>
      </c>
      <c r="H120" s="426">
        <v>1</v>
      </c>
      <c r="I120" s="427"/>
      <c r="J120" s="428" t="str">
        <f t="shared" si="1"/>
        <v>INCLUDED</v>
      </c>
    </row>
    <row r="121" spans="1:10">
      <c r="A121" s="611">
        <v>31</v>
      </c>
      <c r="B121" s="426">
        <v>7000026861</v>
      </c>
      <c r="C121" s="426">
        <v>380</v>
      </c>
      <c r="D121" s="426" t="s">
        <v>607</v>
      </c>
      <c r="E121" s="426">
        <v>1000005535</v>
      </c>
      <c r="F121" s="425" t="s">
        <v>636</v>
      </c>
      <c r="G121" s="426" t="s">
        <v>470</v>
      </c>
      <c r="H121" s="426">
        <v>1</v>
      </c>
      <c r="I121" s="427"/>
      <c r="J121" s="428" t="str">
        <f t="shared" si="1"/>
        <v>INCLUDED</v>
      </c>
    </row>
    <row r="122" spans="1:10">
      <c r="A122" s="611">
        <v>32</v>
      </c>
      <c r="B122" s="426">
        <v>7000026861</v>
      </c>
      <c r="C122" s="426">
        <v>390</v>
      </c>
      <c r="D122" s="426" t="s">
        <v>608</v>
      </c>
      <c r="E122" s="426">
        <v>1000003409</v>
      </c>
      <c r="F122" s="425" t="s">
        <v>535</v>
      </c>
      <c r="G122" s="426" t="s">
        <v>470</v>
      </c>
      <c r="H122" s="426">
        <v>1</v>
      </c>
      <c r="I122" s="427"/>
      <c r="J122" s="428" t="str">
        <f t="shared" si="1"/>
        <v>INCLUDED</v>
      </c>
    </row>
    <row r="123" spans="1:10" ht="31.5">
      <c r="A123" s="611">
        <v>33</v>
      </c>
      <c r="B123" s="426">
        <v>7000026861</v>
      </c>
      <c r="C123" s="426">
        <v>440</v>
      </c>
      <c r="D123" s="426" t="s">
        <v>609</v>
      </c>
      <c r="E123" s="426">
        <v>1000011363</v>
      </c>
      <c r="F123" s="425" t="s">
        <v>637</v>
      </c>
      <c r="G123" s="426" t="s">
        <v>471</v>
      </c>
      <c r="H123" s="426">
        <v>1</v>
      </c>
      <c r="I123" s="427"/>
      <c r="J123" s="428" t="str">
        <f t="shared" si="1"/>
        <v>INCLUDED</v>
      </c>
    </row>
    <row r="124" spans="1:10" ht="78.75">
      <c r="A124" s="611">
        <v>34</v>
      </c>
      <c r="B124" s="426">
        <v>7000026861</v>
      </c>
      <c r="C124" s="426">
        <v>450</v>
      </c>
      <c r="D124" s="426" t="s">
        <v>609</v>
      </c>
      <c r="E124" s="426">
        <v>1000015788</v>
      </c>
      <c r="F124" s="425" t="s">
        <v>638</v>
      </c>
      <c r="G124" s="426" t="s">
        <v>505</v>
      </c>
      <c r="H124" s="426">
        <v>1</v>
      </c>
      <c r="I124" s="427"/>
      <c r="J124" s="428" t="str">
        <f t="shared" si="1"/>
        <v>INCLUDED</v>
      </c>
    </row>
    <row r="125" spans="1:10" ht="31.5">
      <c r="A125" s="611">
        <v>35</v>
      </c>
      <c r="B125" s="426">
        <v>7000026861</v>
      </c>
      <c r="C125" s="426">
        <v>460</v>
      </c>
      <c r="D125" s="426" t="s">
        <v>610</v>
      </c>
      <c r="E125" s="426">
        <v>1000011327</v>
      </c>
      <c r="F125" s="425" t="s">
        <v>485</v>
      </c>
      <c r="G125" s="426" t="s">
        <v>471</v>
      </c>
      <c r="H125" s="426">
        <v>1</v>
      </c>
      <c r="I125" s="427"/>
      <c r="J125" s="428" t="str">
        <f t="shared" si="1"/>
        <v>INCLUDED</v>
      </c>
    </row>
    <row r="126" spans="1:10" ht="31.5">
      <c r="A126" s="611">
        <v>36</v>
      </c>
      <c r="B126" s="426">
        <v>7000026861</v>
      </c>
      <c r="C126" s="426">
        <v>490</v>
      </c>
      <c r="D126" s="426" t="s">
        <v>611</v>
      </c>
      <c r="E126" s="426">
        <v>1000055995</v>
      </c>
      <c r="F126" s="425" t="s">
        <v>639</v>
      </c>
      <c r="G126" s="426" t="s">
        <v>470</v>
      </c>
      <c r="H126" s="426">
        <v>3</v>
      </c>
      <c r="I126" s="427"/>
      <c r="J126" s="428" t="str">
        <f t="shared" si="1"/>
        <v>INCLUDED</v>
      </c>
    </row>
    <row r="127" spans="1:10" ht="31.5">
      <c r="A127" s="611">
        <v>37</v>
      </c>
      <c r="B127" s="426">
        <v>7000026861</v>
      </c>
      <c r="C127" s="426">
        <v>500</v>
      </c>
      <c r="D127" s="426" t="s">
        <v>611</v>
      </c>
      <c r="E127" s="426">
        <v>1000055997</v>
      </c>
      <c r="F127" s="425" t="s">
        <v>640</v>
      </c>
      <c r="G127" s="426" t="s">
        <v>470</v>
      </c>
      <c r="H127" s="426">
        <v>3</v>
      </c>
      <c r="I127" s="427"/>
      <c r="J127" s="428" t="str">
        <f t="shared" si="1"/>
        <v>INCLUDED</v>
      </c>
    </row>
    <row r="128" spans="1:10" ht="31.5">
      <c r="A128" s="611">
        <v>38</v>
      </c>
      <c r="B128" s="426">
        <v>7000026861</v>
      </c>
      <c r="C128" s="426">
        <v>510</v>
      </c>
      <c r="D128" s="426" t="s">
        <v>611</v>
      </c>
      <c r="E128" s="426">
        <v>1000055993</v>
      </c>
      <c r="F128" s="425" t="s">
        <v>641</v>
      </c>
      <c r="G128" s="426" t="s">
        <v>470</v>
      </c>
      <c r="H128" s="426">
        <v>3</v>
      </c>
      <c r="I128" s="427"/>
      <c r="J128" s="428" t="str">
        <f t="shared" si="1"/>
        <v>INCLUDED</v>
      </c>
    </row>
    <row r="129" spans="1:10" ht="31.5">
      <c r="A129" s="611">
        <v>39</v>
      </c>
      <c r="B129" s="426">
        <v>7000026861</v>
      </c>
      <c r="C129" s="426">
        <v>520</v>
      </c>
      <c r="D129" s="426" t="s">
        <v>612</v>
      </c>
      <c r="E129" s="426">
        <v>1000055984</v>
      </c>
      <c r="F129" s="425" t="s">
        <v>481</v>
      </c>
      <c r="G129" s="426" t="s">
        <v>470</v>
      </c>
      <c r="H129" s="426">
        <v>6</v>
      </c>
      <c r="I129" s="427"/>
      <c r="J129" s="428" t="str">
        <f t="shared" si="1"/>
        <v>INCLUDED</v>
      </c>
    </row>
    <row r="130" spans="1:10" ht="31.5">
      <c r="A130" s="611">
        <v>40</v>
      </c>
      <c r="B130" s="426">
        <v>7000026861</v>
      </c>
      <c r="C130" s="426">
        <v>530</v>
      </c>
      <c r="D130" s="426" t="s">
        <v>612</v>
      </c>
      <c r="E130" s="426">
        <v>1000055991</v>
      </c>
      <c r="F130" s="425" t="s">
        <v>482</v>
      </c>
      <c r="G130" s="426" t="s">
        <v>470</v>
      </c>
      <c r="H130" s="426">
        <v>6</v>
      </c>
      <c r="I130" s="427"/>
      <c r="J130" s="428" t="str">
        <f t="shared" si="1"/>
        <v>INCLUDED</v>
      </c>
    </row>
    <row r="131" spans="1:10" ht="31.5">
      <c r="A131" s="611">
        <v>41</v>
      </c>
      <c r="B131" s="426">
        <v>7000026861</v>
      </c>
      <c r="C131" s="426">
        <v>540</v>
      </c>
      <c r="D131" s="426" t="s">
        <v>612</v>
      </c>
      <c r="E131" s="426">
        <v>1000055986</v>
      </c>
      <c r="F131" s="425" t="s">
        <v>484</v>
      </c>
      <c r="G131" s="426" t="s">
        <v>470</v>
      </c>
      <c r="H131" s="426">
        <v>6</v>
      </c>
      <c r="I131" s="427"/>
      <c r="J131" s="428" t="str">
        <f t="shared" si="1"/>
        <v>INCLUDED</v>
      </c>
    </row>
    <row r="132" spans="1:10" ht="31.5">
      <c r="A132" s="611">
        <v>42</v>
      </c>
      <c r="B132" s="426">
        <v>7000026861</v>
      </c>
      <c r="C132" s="426">
        <v>550</v>
      </c>
      <c r="D132" s="426" t="s">
        <v>612</v>
      </c>
      <c r="E132" s="426">
        <v>1000055988</v>
      </c>
      <c r="F132" s="425" t="s">
        <v>642</v>
      </c>
      <c r="G132" s="426" t="s">
        <v>470</v>
      </c>
      <c r="H132" s="426">
        <v>3</v>
      </c>
      <c r="I132" s="427"/>
      <c r="J132" s="428" t="str">
        <f t="shared" si="1"/>
        <v>INCLUDED</v>
      </c>
    </row>
    <row r="133" spans="1:10" ht="31.5">
      <c r="A133" s="611">
        <v>43</v>
      </c>
      <c r="B133" s="426">
        <v>7000026861</v>
      </c>
      <c r="C133" s="426">
        <v>580</v>
      </c>
      <c r="D133" s="426" t="s">
        <v>543</v>
      </c>
      <c r="E133" s="426">
        <v>1000031964</v>
      </c>
      <c r="F133" s="425" t="s">
        <v>515</v>
      </c>
      <c r="G133" s="426" t="s">
        <v>493</v>
      </c>
      <c r="H133" s="426">
        <v>19.5</v>
      </c>
      <c r="I133" s="427"/>
      <c r="J133" s="428" t="str">
        <f t="shared" si="1"/>
        <v>INCLUDED</v>
      </c>
    </row>
    <row r="134" spans="1:10" ht="31.5">
      <c r="A134" s="611">
        <v>44</v>
      </c>
      <c r="B134" s="426">
        <v>7000026861</v>
      </c>
      <c r="C134" s="426">
        <v>590</v>
      </c>
      <c r="D134" s="426" t="s">
        <v>543</v>
      </c>
      <c r="E134" s="426">
        <v>1000031987</v>
      </c>
      <c r="F134" s="425" t="s">
        <v>516</v>
      </c>
      <c r="G134" s="426" t="s">
        <v>493</v>
      </c>
      <c r="H134" s="426">
        <v>37.6</v>
      </c>
      <c r="I134" s="427"/>
      <c r="J134" s="428" t="str">
        <f t="shared" si="1"/>
        <v>INCLUDED</v>
      </c>
    </row>
    <row r="135" spans="1:10" ht="31.5">
      <c r="A135" s="611">
        <v>45</v>
      </c>
      <c r="B135" s="426">
        <v>7000026861</v>
      </c>
      <c r="C135" s="426">
        <v>600</v>
      </c>
      <c r="D135" s="426" t="s">
        <v>543</v>
      </c>
      <c r="E135" s="426">
        <v>1000031993</v>
      </c>
      <c r="F135" s="425" t="s">
        <v>643</v>
      </c>
      <c r="G135" s="426" t="s">
        <v>493</v>
      </c>
      <c r="H135" s="426">
        <v>5.5</v>
      </c>
      <c r="I135" s="427"/>
      <c r="J135" s="428" t="str">
        <f t="shared" si="1"/>
        <v>INCLUDED</v>
      </c>
    </row>
    <row r="136" spans="1:10" ht="31.5">
      <c r="A136" s="611">
        <v>46</v>
      </c>
      <c r="B136" s="426">
        <v>7000026861</v>
      </c>
      <c r="C136" s="426">
        <v>610</v>
      </c>
      <c r="D136" s="426" t="s">
        <v>543</v>
      </c>
      <c r="E136" s="426">
        <v>1000031887</v>
      </c>
      <c r="F136" s="425" t="s">
        <v>517</v>
      </c>
      <c r="G136" s="426" t="s">
        <v>493</v>
      </c>
      <c r="H136" s="426">
        <v>11.3</v>
      </c>
      <c r="I136" s="427"/>
      <c r="J136" s="428" t="str">
        <f t="shared" si="1"/>
        <v>INCLUDED</v>
      </c>
    </row>
    <row r="137" spans="1:10" ht="31.5">
      <c r="A137" s="611">
        <v>47</v>
      </c>
      <c r="B137" s="426">
        <v>7000026861</v>
      </c>
      <c r="C137" s="426">
        <v>620</v>
      </c>
      <c r="D137" s="426" t="s">
        <v>543</v>
      </c>
      <c r="E137" s="426">
        <v>1000031904</v>
      </c>
      <c r="F137" s="425" t="s">
        <v>644</v>
      </c>
      <c r="G137" s="426" t="s">
        <v>493</v>
      </c>
      <c r="H137" s="426">
        <v>9.8000000000000007</v>
      </c>
      <c r="I137" s="427"/>
      <c r="J137" s="428" t="str">
        <f t="shared" si="1"/>
        <v>INCLUDED</v>
      </c>
    </row>
    <row r="138" spans="1:10" ht="31.5">
      <c r="A138" s="611">
        <v>48</v>
      </c>
      <c r="B138" s="426">
        <v>7000026861</v>
      </c>
      <c r="C138" s="426">
        <v>630</v>
      </c>
      <c r="D138" s="426" t="s">
        <v>543</v>
      </c>
      <c r="E138" s="426">
        <v>1000031908</v>
      </c>
      <c r="F138" s="425" t="s">
        <v>645</v>
      </c>
      <c r="G138" s="426" t="s">
        <v>493</v>
      </c>
      <c r="H138" s="426">
        <v>3.5</v>
      </c>
      <c r="I138" s="427"/>
      <c r="J138" s="428" t="str">
        <f t="shared" si="1"/>
        <v>INCLUDED</v>
      </c>
    </row>
    <row r="139" spans="1:10" ht="31.5">
      <c r="A139" s="611">
        <v>49</v>
      </c>
      <c r="B139" s="426">
        <v>7000026861</v>
      </c>
      <c r="C139" s="426">
        <v>640</v>
      </c>
      <c r="D139" s="426" t="s">
        <v>543</v>
      </c>
      <c r="E139" s="426">
        <v>1000031927</v>
      </c>
      <c r="F139" s="425" t="s">
        <v>646</v>
      </c>
      <c r="G139" s="426" t="s">
        <v>493</v>
      </c>
      <c r="H139" s="426">
        <v>3</v>
      </c>
      <c r="I139" s="427"/>
      <c r="J139" s="428" t="str">
        <f t="shared" si="1"/>
        <v>INCLUDED</v>
      </c>
    </row>
    <row r="140" spans="1:10" ht="31.5">
      <c r="A140" s="611">
        <v>50</v>
      </c>
      <c r="B140" s="426">
        <v>7000026861</v>
      </c>
      <c r="C140" s="426">
        <v>650</v>
      </c>
      <c r="D140" s="426" t="s">
        <v>543</v>
      </c>
      <c r="E140" s="426">
        <v>1000032049</v>
      </c>
      <c r="F140" s="425" t="s">
        <v>590</v>
      </c>
      <c r="G140" s="426" t="s">
        <v>493</v>
      </c>
      <c r="H140" s="426">
        <v>6.3</v>
      </c>
      <c r="I140" s="427"/>
      <c r="J140" s="428" t="str">
        <f t="shared" si="1"/>
        <v>INCLUDED</v>
      </c>
    </row>
    <row r="141" spans="1:10" ht="31.5">
      <c r="A141" s="611">
        <v>51</v>
      </c>
      <c r="B141" s="426">
        <v>7000026861</v>
      </c>
      <c r="C141" s="426">
        <v>660</v>
      </c>
      <c r="D141" s="426" t="s">
        <v>543</v>
      </c>
      <c r="E141" s="426">
        <v>1000031957</v>
      </c>
      <c r="F141" s="425" t="s">
        <v>522</v>
      </c>
      <c r="G141" s="426" t="s">
        <v>493</v>
      </c>
      <c r="H141" s="426">
        <v>3.5</v>
      </c>
      <c r="I141" s="427"/>
      <c r="J141" s="428" t="str">
        <f t="shared" si="1"/>
        <v>INCLUDED</v>
      </c>
    </row>
    <row r="142" spans="1:10" ht="31.5">
      <c r="A142" s="611">
        <v>52</v>
      </c>
      <c r="B142" s="426">
        <v>7000026861</v>
      </c>
      <c r="C142" s="426">
        <v>670</v>
      </c>
      <c r="D142" s="426" t="s">
        <v>543</v>
      </c>
      <c r="E142" s="426">
        <v>1000031953</v>
      </c>
      <c r="F142" s="425" t="s">
        <v>523</v>
      </c>
      <c r="G142" s="426" t="s">
        <v>493</v>
      </c>
      <c r="H142" s="426">
        <v>0.53</v>
      </c>
      <c r="I142" s="427"/>
      <c r="J142" s="428" t="str">
        <f t="shared" si="1"/>
        <v>INCLUDED</v>
      </c>
    </row>
    <row r="143" spans="1:10" ht="31.5">
      <c r="A143" s="611">
        <v>53</v>
      </c>
      <c r="B143" s="426">
        <v>7000026861</v>
      </c>
      <c r="C143" s="426">
        <v>680</v>
      </c>
      <c r="D143" s="426" t="s">
        <v>543</v>
      </c>
      <c r="E143" s="426">
        <v>1000031943</v>
      </c>
      <c r="F143" s="425" t="s">
        <v>526</v>
      </c>
      <c r="G143" s="426" t="s">
        <v>493</v>
      </c>
      <c r="H143" s="426">
        <v>6.3</v>
      </c>
      <c r="I143" s="427"/>
      <c r="J143" s="428" t="str">
        <f t="shared" ref="J143:J153" si="2">IF(I143=0, "INCLUDED", IF(ISERROR(I143*H143), I143, I143*H143))</f>
        <v>INCLUDED</v>
      </c>
    </row>
    <row r="144" spans="1:10" ht="31.5">
      <c r="A144" s="611">
        <v>54</v>
      </c>
      <c r="B144" s="426">
        <v>7000026861</v>
      </c>
      <c r="C144" s="426">
        <v>690</v>
      </c>
      <c r="D144" s="426" t="s">
        <v>543</v>
      </c>
      <c r="E144" s="426">
        <v>1000031985</v>
      </c>
      <c r="F144" s="425" t="s">
        <v>525</v>
      </c>
      <c r="G144" s="426" t="s">
        <v>493</v>
      </c>
      <c r="H144" s="426">
        <v>8</v>
      </c>
      <c r="I144" s="427"/>
      <c r="J144" s="428" t="str">
        <f t="shared" si="2"/>
        <v>INCLUDED</v>
      </c>
    </row>
    <row r="145" spans="1:10" ht="31.5">
      <c r="A145" s="611">
        <v>55</v>
      </c>
      <c r="B145" s="426">
        <v>7000026861</v>
      </c>
      <c r="C145" s="426">
        <v>700</v>
      </c>
      <c r="D145" s="426" t="s">
        <v>543</v>
      </c>
      <c r="E145" s="426">
        <v>1000031951</v>
      </c>
      <c r="F145" s="425" t="s">
        <v>521</v>
      </c>
      <c r="G145" s="426" t="s">
        <v>493</v>
      </c>
      <c r="H145" s="426">
        <v>2.5</v>
      </c>
      <c r="I145" s="427"/>
      <c r="J145" s="428" t="str">
        <f t="shared" si="2"/>
        <v>INCLUDED</v>
      </c>
    </row>
    <row r="146" spans="1:10" ht="31.5">
      <c r="A146" s="611">
        <v>56</v>
      </c>
      <c r="B146" s="426">
        <v>7000026861</v>
      </c>
      <c r="C146" s="426">
        <v>710</v>
      </c>
      <c r="D146" s="426" t="s">
        <v>543</v>
      </c>
      <c r="E146" s="426">
        <v>1000031976</v>
      </c>
      <c r="F146" s="425" t="s">
        <v>524</v>
      </c>
      <c r="G146" s="426" t="s">
        <v>493</v>
      </c>
      <c r="H146" s="426">
        <v>0.53</v>
      </c>
      <c r="I146" s="427"/>
      <c r="J146" s="428" t="str">
        <f t="shared" si="2"/>
        <v>INCLUDED</v>
      </c>
    </row>
    <row r="147" spans="1:10" ht="31.5">
      <c r="A147" s="611">
        <v>57</v>
      </c>
      <c r="B147" s="426">
        <v>7000026861</v>
      </c>
      <c r="C147" s="426">
        <v>720</v>
      </c>
      <c r="D147" s="426" t="s">
        <v>543</v>
      </c>
      <c r="E147" s="426">
        <v>1000031912</v>
      </c>
      <c r="F147" s="425" t="s">
        <v>647</v>
      </c>
      <c r="G147" s="426" t="s">
        <v>493</v>
      </c>
      <c r="H147" s="426">
        <v>2.5</v>
      </c>
      <c r="I147" s="427"/>
      <c r="J147" s="428" t="str">
        <f t="shared" si="2"/>
        <v>INCLUDED</v>
      </c>
    </row>
    <row r="148" spans="1:10" ht="47.25">
      <c r="A148" s="611">
        <v>58</v>
      </c>
      <c r="B148" s="426">
        <v>7000026861</v>
      </c>
      <c r="C148" s="426">
        <v>740</v>
      </c>
      <c r="D148" s="426" t="s">
        <v>544</v>
      </c>
      <c r="E148" s="426">
        <v>1000055460</v>
      </c>
      <c r="F148" s="425" t="s">
        <v>648</v>
      </c>
      <c r="G148" s="426" t="s">
        <v>471</v>
      </c>
      <c r="H148" s="426">
        <v>3</v>
      </c>
      <c r="I148" s="427"/>
      <c r="J148" s="428" t="str">
        <f t="shared" si="2"/>
        <v>INCLUDED</v>
      </c>
    </row>
    <row r="149" spans="1:10" ht="31.5">
      <c r="A149" s="611">
        <v>59</v>
      </c>
      <c r="B149" s="426">
        <v>7000026861</v>
      </c>
      <c r="C149" s="426">
        <v>750</v>
      </c>
      <c r="D149" s="426" t="s">
        <v>545</v>
      </c>
      <c r="E149" s="426">
        <v>1000014547</v>
      </c>
      <c r="F149" s="425" t="s">
        <v>508</v>
      </c>
      <c r="G149" s="426" t="s">
        <v>470</v>
      </c>
      <c r="H149" s="426">
        <v>1</v>
      </c>
      <c r="I149" s="427"/>
      <c r="J149" s="428" t="str">
        <f t="shared" si="2"/>
        <v>INCLUDED</v>
      </c>
    </row>
    <row r="150" spans="1:10" ht="31.5">
      <c r="A150" s="611">
        <v>60</v>
      </c>
      <c r="B150" s="426">
        <v>7000026861</v>
      </c>
      <c r="C150" s="426">
        <v>760</v>
      </c>
      <c r="D150" s="426" t="s">
        <v>545</v>
      </c>
      <c r="E150" s="426">
        <v>1000001894</v>
      </c>
      <c r="F150" s="425" t="s">
        <v>510</v>
      </c>
      <c r="G150" s="426" t="s">
        <v>470</v>
      </c>
      <c r="H150" s="426">
        <v>1</v>
      </c>
      <c r="I150" s="427"/>
      <c r="J150" s="428" t="str">
        <f t="shared" si="2"/>
        <v>INCLUDED</v>
      </c>
    </row>
    <row r="151" spans="1:10" ht="31.5">
      <c r="A151" s="611">
        <v>61</v>
      </c>
      <c r="B151" s="426">
        <v>7000026861</v>
      </c>
      <c r="C151" s="426">
        <v>770</v>
      </c>
      <c r="D151" s="426" t="s">
        <v>545</v>
      </c>
      <c r="E151" s="426">
        <v>1000038387</v>
      </c>
      <c r="F151" s="425" t="s">
        <v>550</v>
      </c>
      <c r="G151" s="426" t="s">
        <v>470</v>
      </c>
      <c r="H151" s="426">
        <v>10</v>
      </c>
      <c r="I151" s="427"/>
      <c r="J151" s="428" t="str">
        <f t="shared" si="2"/>
        <v>INCLUDED</v>
      </c>
    </row>
    <row r="152" spans="1:10" ht="31.5">
      <c r="A152" s="611">
        <v>62</v>
      </c>
      <c r="B152" s="426">
        <v>7000026861</v>
      </c>
      <c r="C152" s="426">
        <v>780</v>
      </c>
      <c r="D152" s="426" t="s">
        <v>545</v>
      </c>
      <c r="E152" s="426">
        <v>1000038325</v>
      </c>
      <c r="F152" s="425" t="s">
        <v>509</v>
      </c>
      <c r="G152" s="426" t="s">
        <v>470</v>
      </c>
      <c r="H152" s="426">
        <v>10</v>
      </c>
      <c r="I152" s="427"/>
      <c r="J152" s="428" t="str">
        <f t="shared" si="2"/>
        <v>INCLUDED</v>
      </c>
    </row>
    <row r="153" spans="1:10" ht="31.5">
      <c r="A153" s="611">
        <v>63</v>
      </c>
      <c r="B153" s="426">
        <v>7000026861</v>
      </c>
      <c r="C153" s="426">
        <v>790</v>
      </c>
      <c r="D153" s="426" t="s">
        <v>545</v>
      </c>
      <c r="E153" s="426">
        <v>1000038385</v>
      </c>
      <c r="F153" s="425" t="s">
        <v>548</v>
      </c>
      <c r="G153" s="426" t="s">
        <v>470</v>
      </c>
      <c r="H153" s="426">
        <v>6</v>
      </c>
      <c r="I153" s="427"/>
      <c r="J153" s="428" t="str">
        <f t="shared" si="2"/>
        <v>INCLUDED</v>
      </c>
    </row>
    <row r="154" spans="1:10" ht="31.5">
      <c r="A154" s="611">
        <v>64</v>
      </c>
      <c r="B154" s="426">
        <v>7000026861</v>
      </c>
      <c r="C154" s="426">
        <v>800</v>
      </c>
      <c r="D154" s="426" t="s">
        <v>545</v>
      </c>
      <c r="E154" s="426">
        <v>1000020262</v>
      </c>
      <c r="F154" s="425" t="s">
        <v>588</v>
      </c>
      <c r="G154" s="426" t="s">
        <v>470</v>
      </c>
      <c r="H154" s="426">
        <v>2</v>
      </c>
      <c r="I154" s="427"/>
      <c r="J154" s="428" t="str">
        <f t="shared" si="1"/>
        <v>INCLUDED</v>
      </c>
    </row>
    <row r="155" spans="1:10" ht="78.75">
      <c r="A155" s="611">
        <v>65</v>
      </c>
      <c r="B155" s="426">
        <v>7000026861</v>
      </c>
      <c r="C155" s="426">
        <v>820</v>
      </c>
      <c r="D155" s="426" t="s">
        <v>571</v>
      </c>
      <c r="E155" s="426">
        <v>1000030433</v>
      </c>
      <c r="F155" s="425" t="s">
        <v>589</v>
      </c>
      <c r="G155" s="426" t="s">
        <v>471</v>
      </c>
      <c r="H155" s="426">
        <v>1</v>
      </c>
      <c r="I155" s="427"/>
      <c r="J155" s="428" t="str">
        <f t="shared" si="1"/>
        <v>INCLUDED</v>
      </c>
    </row>
    <row r="156" spans="1:10" ht="31.5">
      <c r="A156" s="611">
        <v>66</v>
      </c>
      <c r="B156" s="426">
        <v>7000026861</v>
      </c>
      <c r="C156" s="426">
        <v>840</v>
      </c>
      <c r="D156" s="426" t="s">
        <v>613</v>
      </c>
      <c r="E156" s="426">
        <v>1000027625</v>
      </c>
      <c r="F156" s="425" t="s">
        <v>649</v>
      </c>
      <c r="G156" s="426" t="s">
        <v>505</v>
      </c>
      <c r="H156" s="426">
        <v>1</v>
      </c>
      <c r="I156" s="427"/>
      <c r="J156" s="428" t="str">
        <f t="shared" si="1"/>
        <v>INCLUDED</v>
      </c>
    </row>
    <row r="157" spans="1:10" ht="31.5">
      <c r="A157" s="611">
        <v>67</v>
      </c>
      <c r="B157" s="426">
        <v>7000026861</v>
      </c>
      <c r="C157" s="426">
        <v>850</v>
      </c>
      <c r="D157" s="426" t="s">
        <v>613</v>
      </c>
      <c r="E157" s="426">
        <v>1000028091</v>
      </c>
      <c r="F157" s="425" t="s">
        <v>650</v>
      </c>
      <c r="G157" s="426" t="s">
        <v>505</v>
      </c>
      <c r="H157" s="426">
        <v>1</v>
      </c>
      <c r="I157" s="427"/>
      <c r="J157" s="428" t="str">
        <f t="shared" si="1"/>
        <v>INCLUDED</v>
      </c>
    </row>
    <row r="158" spans="1:10" ht="31.5">
      <c r="A158" s="611">
        <v>68</v>
      </c>
      <c r="B158" s="426">
        <v>7000026861</v>
      </c>
      <c r="C158" s="426">
        <v>860</v>
      </c>
      <c r="D158" s="426" t="s">
        <v>613</v>
      </c>
      <c r="E158" s="426">
        <v>1000054976</v>
      </c>
      <c r="F158" s="425" t="s">
        <v>651</v>
      </c>
      <c r="G158" s="426" t="s">
        <v>505</v>
      </c>
      <c r="H158" s="426">
        <v>1</v>
      </c>
      <c r="I158" s="427"/>
      <c r="J158" s="428" t="str">
        <f t="shared" si="1"/>
        <v>INCLUDED</v>
      </c>
    </row>
    <row r="159" spans="1:10" ht="31.5">
      <c r="A159" s="611">
        <v>69</v>
      </c>
      <c r="B159" s="426">
        <v>7000026861</v>
      </c>
      <c r="C159" s="426">
        <v>870</v>
      </c>
      <c r="D159" s="426" t="s">
        <v>613</v>
      </c>
      <c r="E159" s="426">
        <v>1000028372</v>
      </c>
      <c r="F159" s="425" t="s">
        <v>652</v>
      </c>
      <c r="G159" s="426" t="s">
        <v>506</v>
      </c>
      <c r="H159" s="426">
        <v>1</v>
      </c>
      <c r="I159" s="427"/>
      <c r="J159" s="428" t="str">
        <f t="shared" si="1"/>
        <v>INCLUDED</v>
      </c>
    </row>
    <row r="160" spans="1:10" ht="31.5">
      <c r="A160" s="611">
        <v>70</v>
      </c>
      <c r="B160" s="426">
        <v>7000026861</v>
      </c>
      <c r="C160" s="426">
        <v>880</v>
      </c>
      <c r="D160" s="426" t="s">
        <v>613</v>
      </c>
      <c r="E160" s="426">
        <v>1000019918</v>
      </c>
      <c r="F160" s="425" t="s">
        <v>527</v>
      </c>
      <c r="G160" s="426" t="s">
        <v>506</v>
      </c>
      <c r="H160" s="426">
        <v>1</v>
      </c>
      <c r="I160" s="427"/>
      <c r="J160" s="428" t="str">
        <f t="shared" si="1"/>
        <v>INCLUDED</v>
      </c>
    </row>
    <row r="161" spans="1:10" ht="31.5">
      <c r="A161" s="611">
        <v>71</v>
      </c>
      <c r="B161" s="426">
        <v>7000026861</v>
      </c>
      <c r="C161" s="426">
        <v>890</v>
      </c>
      <c r="D161" s="426" t="s">
        <v>613</v>
      </c>
      <c r="E161" s="426">
        <v>1000019919</v>
      </c>
      <c r="F161" s="425" t="s">
        <v>528</v>
      </c>
      <c r="G161" s="426" t="s">
        <v>506</v>
      </c>
      <c r="H161" s="426">
        <v>1</v>
      </c>
      <c r="I161" s="427"/>
      <c r="J161" s="428" t="str">
        <f t="shared" si="1"/>
        <v>INCLUDED</v>
      </c>
    </row>
    <row r="162" spans="1:10" ht="31.5">
      <c r="A162" s="611">
        <v>72</v>
      </c>
      <c r="B162" s="426">
        <v>7000026861</v>
      </c>
      <c r="C162" s="426">
        <v>900</v>
      </c>
      <c r="D162" s="426" t="s">
        <v>613</v>
      </c>
      <c r="E162" s="426">
        <v>1000025941</v>
      </c>
      <c r="F162" s="425" t="s">
        <v>529</v>
      </c>
      <c r="G162" s="426" t="s">
        <v>471</v>
      </c>
      <c r="H162" s="426">
        <v>1</v>
      </c>
      <c r="I162" s="427"/>
      <c r="J162" s="428" t="str">
        <f t="shared" si="1"/>
        <v>INCLUDED</v>
      </c>
    </row>
    <row r="163" spans="1:10" ht="31.5">
      <c r="A163" s="611">
        <v>73</v>
      </c>
      <c r="B163" s="426">
        <v>7000026861</v>
      </c>
      <c r="C163" s="426">
        <v>910</v>
      </c>
      <c r="D163" s="426" t="s">
        <v>613</v>
      </c>
      <c r="E163" s="426">
        <v>1000024186</v>
      </c>
      <c r="F163" s="425" t="s">
        <v>531</v>
      </c>
      <c r="G163" s="426" t="s">
        <v>506</v>
      </c>
      <c r="H163" s="426">
        <v>1</v>
      </c>
      <c r="I163" s="427"/>
      <c r="J163" s="428" t="str">
        <f t="shared" si="1"/>
        <v>INCLUDED</v>
      </c>
    </row>
    <row r="164" spans="1:10" ht="31.5">
      <c r="A164" s="611">
        <v>74</v>
      </c>
      <c r="B164" s="426">
        <v>7000026861</v>
      </c>
      <c r="C164" s="426">
        <v>920</v>
      </c>
      <c r="D164" s="426" t="s">
        <v>613</v>
      </c>
      <c r="E164" s="426">
        <v>1000019912</v>
      </c>
      <c r="F164" s="425" t="s">
        <v>532</v>
      </c>
      <c r="G164" s="426" t="s">
        <v>506</v>
      </c>
      <c r="H164" s="426">
        <v>1</v>
      </c>
      <c r="I164" s="427"/>
      <c r="J164" s="428" t="str">
        <f t="shared" si="1"/>
        <v>INCLUDED</v>
      </c>
    </row>
    <row r="165" spans="1:10" ht="31.5">
      <c r="A165" s="611">
        <v>75</v>
      </c>
      <c r="B165" s="426">
        <v>7000026861</v>
      </c>
      <c r="C165" s="426">
        <v>930</v>
      </c>
      <c r="D165" s="426" t="s">
        <v>613</v>
      </c>
      <c r="E165" s="426">
        <v>1000019927</v>
      </c>
      <c r="F165" s="425" t="s">
        <v>533</v>
      </c>
      <c r="G165" s="426" t="s">
        <v>506</v>
      </c>
      <c r="H165" s="426">
        <v>1</v>
      </c>
      <c r="I165" s="427"/>
      <c r="J165" s="428" t="str">
        <f t="shared" si="1"/>
        <v>INCLUDED</v>
      </c>
    </row>
    <row r="166" spans="1:10" ht="31.5">
      <c r="A166" s="611">
        <v>76</v>
      </c>
      <c r="B166" s="426">
        <v>7000026861</v>
      </c>
      <c r="C166" s="426">
        <v>940</v>
      </c>
      <c r="D166" s="426" t="s">
        <v>613</v>
      </c>
      <c r="E166" s="426">
        <v>1000032289</v>
      </c>
      <c r="F166" s="425" t="s">
        <v>549</v>
      </c>
      <c r="G166" s="426" t="s">
        <v>471</v>
      </c>
      <c r="H166" s="426">
        <v>1</v>
      </c>
      <c r="I166" s="427"/>
      <c r="J166" s="428" t="str">
        <f t="shared" si="1"/>
        <v>INCLUDED</v>
      </c>
    </row>
    <row r="167" spans="1:10" ht="31.5">
      <c r="A167" s="611">
        <v>77</v>
      </c>
      <c r="B167" s="426">
        <v>7000026861</v>
      </c>
      <c r="C167" s="426">
        <v>950</v>
      </c>
      <c r="D167" s="426" t="s">
        <v>614</v>
      </c>
      <c r="E167" s="426">
        <v>1000058364</v>
      </c>
      <c r="F167" s="425" t="s">
        <v>653</v>
      </c>
      <c r="G167" s="426" t="s">
        <v>470</v>
      </c>
      <c r="H167" s="426">
        <v>1</v>
      </c>
      <c r="I167" s="427"/>
      <c r="J167" s="428" t="str">
        <f t="shared" si="1"/>
        <v>INCLUDED</v>
      </c>
    </row>
    <row r="168" spans="1:10" ht="31.5">
      <c r="A168" s="611">
        <v>78</v>
      </c>
      <c r="B168" s="426">
        <v>7000026861</v>
      </c>
      <c r="C168" s="426">
        <v>960</v>
      </c>
      <c r="D168" s="426" t="s">
        <v>614</v>
      </c>
      <c r="E168" s="426">
        <v>1000049818</v>
      </c>
      <c r="F168" s="425" t="s">
        <v>654</v>
      </c>
      <c r="G168" s="426" t="s">
        <v>471</v>
      </c>
      <c r="H168" s="426">
        <v>2</v>
      </c>
      <c r="I168" s="427"/>
      <c r="J168" s="428" t="str">
        <f t="shared" si="1"/>
        <v>INCLUDED</v>
      </c>
    </row>
    <row r="169" spans="1:10" ht="31.5">
      <c r="A169" s="611">
        <v>79</v>
      </c>
      <c r="B169" s="426">
        <v>7000026861</v>
      </c>
      <c r="C169" s="426">
        <v>970</v>
      </c>
      <c r="D169" s="426" t="s">
        <v>614</v>
      </c>
      <c r="E169" s="426">
        <v>1000049754</v>
      </c>
      <c r="F169" s="425" t="s">
        <v>655</v>
      </c>
      <c r="G169" s="426" t="s">
        <v>471</v>
      </c>
      <c r="H169" s="426">
        <v>1</v>
      </c>
      <c r="I169" s="427"/>
      <c r="J169" s="428" t="str">
        <f t="shared" si="1"/>
        <v>INCLUDED</v>
      </c>
    </row>
    <row r="170" spans="1:10" ht="31.5">
      <c r="A170" s="611">
        <v>80</v>
      </c>
      <c r="B170" s="426">
        <v>7000026861</v>
      </c>
      <c r="C170" s="426">
        <v>980</v>
      </c>
      <c r="D170" s="426" t="s">
        <v>614</v>
      </c>
      <c r="E170" s="426">
        <v>1000049763</v>
      </c>
      <c r="F170" s="425" t="s">
        <v>656</v>
      </c>
      <c r="G170" s="426" t="s">
        <v>471</v>
      </c>
      <c r="H170" s="426">
        <v>2</v>
      </c>
      <c r="I170" s="427"/>
      <c r="J170" s="428" t="str">
        <f t="shared" si="1"/>
        <v>INCLUDED</v>
      </c>
    </row>
    <row r="171" spans="1:10" ht="31.5">
      <c r="A171" s="611">
        <v>81</v>
      </c>
      <c r="B171" s="426">
        <v>7000026861</v>
      </c>
      <c r="C171" s="426">
        <v>990</v>
      </c>
      <c r="D171" s="426" t="s">
        <v>614</v>
      </c>
      <c r="E171" s="426">
        <v>1000058362</v>
      </c>
      <c r="F171" s="425" t="s">
        <v>657</v>
      </c>
      <c r="G171" s="426" t="s">
        <v>471</v>
      </c>
      <c r="H171" s="426">
        <v>1</v>
      </c>
      <c r="I171" s="427"/>
      <c r="J171" s="428" t="str">
        <f t="shared" ref="J171:J213" si="3">IF(I171=0, "INCLUDED", IF(ISERROR(I171*H171), I171, I171*H171))</f>
        <v>INCLUDED</v>
      </c>
    </row>
    <row r="172" spans="1:10" ht="31.5">
      <c r="A172" s="611">
        <v>82</v>
      </c>
      <c r="B172" s="426">
        <v>7000026861</v>
      </c>
      <c r="C172" s="426">
        <v>1000</v>
      </c>
      <c r="D172" s="426" t="s">
        <v>614</v>
      </c>
      <c r="E172" s="426">
        <v>1000049751</v>
      </c>
      <c r="F172" s="425" t="s">
        <v>658</v>
      </c>
      <c r="G172" s="426" t="s">
        <v>471</v>
      </c>
      <c r="H172" s="426">
        <v>2</v>
      </c>
      <c r="I172" s="427"/>
      <c r="J172" s="428" t="str">
        <f t="shared" si="3"/>
        <v>INCLUDED</v>
      </c>
    </row>
    <row r="173" spans="1:10" ht="31.5">
      <c r="A173" s="611">
        <v>83</v>
      </c>
      <c r="B173" s="426">
        <v>7000026861</v>
      </c>
      <c r="C173" s="426">
        <v>1010</v>
      </c>
      <c r="D173" s="426" t="s">
        <v>614</v>
      </c>
      <c r="E173" s="426">
        <v>1000058363</v>
      </c>
      <c r="F173" s="425" t="s">
        <v>659</v>
      </c>
      <c r="G173" s="426" t="s">
        <v>505</v>
      </c>
      <c r="H173" s="426">
        <v>1</v>
      </c>
      <c r="I173" s="427"/>
      <c r="J173" s="428" t="str">
        <f t="shared" si="3"/>
        <v>INCLUDED</v>
      </c>
    </row>
    <row r="174" spans="1:10" ht="47.25">
      <c r="A174" s="611">
        <v>84</v>
      </c>
      <c r="B174" s="426">
        <v>7000026861</v>
      </c>
      <c r="C174" s="426">
        <v>1020</v>
      </c>
      <c r="D174" s="426" t="s">
        <v>614</v>
      </c>
      <c r="E174" s="426">
        <v>1000049784</v>
      </c>
      <c r="F174" s="425" t="s">
        <v>660</v>
      </c>
      <c r="G174" s="426" t="s">
        <v>471</v>
      </c>
      <c r="H174" s="426">
        <v>2</v>
      </c>
      <c r="I174" s="427"/>
      <c r="J174" s="428" t="str">
        <f t="shared" si="3"/>
        <v>INCLUDED</v>
      </c>
    </row>
    <row r="175" spans="1:10" ht="31.5">
      <c r="A175" s="611">
        <v>85</v>
      </c>
      <c r="B175" s="426">
        <v>7000026861</v>
      </c>
      <c r="C175" s="426">
        <v>1030</v>
      </c>
      <c r="D175" s="426" t="s">
        <v>614</v>
      </c>
      <c r="E175" s="426">
        <v>1000049506</v>
      </c>
      <c r="F175" s="425" t="s">
        <v>661</v>
      </c>
      <c r="G175" s="426" t="s">
        <v>470</v>
      </c>
      <c r="H175" s="426">
        <v>3</v>
      </c>
      <c r="I175" s="427"/>
      <c r="J175" s="428" t="str">
        <f t="shared" si="3"/>
        <v>INCLUDED</v>
      </c>
    </row>
    <row r="176" spans="1:10" ht="31.5">
      <c r="A176" s="611">
        <v>86</v>
      </c>
      <c r="B176" s="426">
        <v>7000026861</v>
      </c>
      <c r="C176" s="426">
        <v>1040</v>
      </c>
      <c r="D176" s="426" t="s">
        <v>614</v>
      </c>
      <c r="E176" s="426">
        <v>1000058366</v>
      </c>
      <c r="F176" s="425" t="s">
        <v>662</v>
      </c>
      <c r="G176" s="426" t="s">
        <v>470</v>
      </c>
      <c r="H176" s="426">
        <v>3</v>
      </c>
      <c r="I176" s="427"/>
      <c r="J176" s="428" t="str">
        <f t="shared" si="3"/>
        <v>INCLUDED</v>
      </c>
    </row>
    <row r="177" spans="1:10" ht="31.5">
      <c r="A177" s="611">
        <v>87</v>
      </c>
      <c r="B177" s="426">
        <v>7000026861</v>
      </c>
      <c r="C177" s="426">
        <v>1050</v>
      </c>
      <c r="D177" s="426" t="s">
        <v>614</v>
      </c>
      <c r="E177" s="426">
        <v>1000058361</v>
      </c>
      <c r="F177" s="425" t="s">
        <v>663</v>
      </c>
      <c r="G177" s="426" t="s">
        <v>470</v>
      </c>
      <c r="H177" s="426">
        <v>3</v>
      </c>
      <c r="I177" s="427"/>
      <c r="J177" s="428" t="str">
        <f t="shared" si="3"/>
        <v>INCLUDED</v>
      </c>
    </row>
    <row r="178" spans="1:10" ht="31.5">
      <c r="A178" s="611">
        <v>88</v>
      </c>
      <c r="B178" s="426">
        <v>7000026861</v>
      </c>
      <c r="C178" s="426">
        <v>1060</v>
      </c>
      <c r="D178" s="426" t="s">
        <v>614</v>
      </c>
      <c r="E178" s="426">
        <v>1000058365</v>
      </c>
      <c r="F178" s="425" t="s">
        <v>664</v>
      </c>
      <c r="G178" s="426" t="s">
        <v>470</v>
      </c>
      <c r="H178" s="426">
        <v>1</v>
      </c>
      <c r="I178" s="427"/>
      <c r="J178" s="428" t="str">
        <f t="shared" si="3"/>
        <v>INCLUDED</v>
      </c>
    </row>
    <row r="179" spans="1:10" ht="47.25">
      <c r="A179" s="611">
        <v>89</v>
      </c>
      <c r="B179" s="426">
        <v>7000026861</v>
      </c>
      <c r="C179" s="426">
        <v>1070</v>
      </c>
      <c r="D179" s="426" t="s">
        <v>614</v>
      </c>
      <c r="E179" s="426">
        <v>1000049499</v>
      </c>
      <c r="F179" s="425" t="s">
        <v>665</v>
      </c>
      <c r="G179" s="426" t="s">
        <v>471</v>
      </c>
      <c r="H179" s="426">
        <v>1</v>
      </c>
      <c r="I179" s="427"/>
      <c r="J179" s="428" t="str">
        <f t="shared" si="3"/>
        <v>INCLUDED</v>
      </c>
    </row>
    <row r="180" spans="1:10" ht="31.5">
      <c r="A180" s="611">
        <v>90</v>
      </c>
      <c r="B180" s="426">
        <v>7000026861</v>
      </c>
      <c r="C180" s="426">
        <v>1080</v>
      </c>
      <c r="D180" s="426" t="s">
        <v>615</v>
      </c>
      <c r="E180" s="426">
        <v>1000058332</v>
      </c>
      <c r="F180" s="425" t="s">
        <v>666</v>
      </c>
      <c r="G180" s="426" t="s">
        <v>470</v>
      </c>
      <c r="H180" s="426">
        <v>1</v>
      </c>
      <c r="I180" s="427"/>
      <c r="J180" s="428" t="str">
        <f t="shared" si="3"/>
        <v>INCLUDED</v>
      </c>
    </row>
    <row r="181" spans="1:10" ht="31.5">
      <c r="A181" s="611">
        <v>91</v>
      </c>
      <c r="B181" s="426">
        <v>7000026861</v>
      </c>
      <c r="C181" s="426">
        <v>1090</v>
      </c>
      <c r="D181" s="426" t="s">
        <v>615</v>
      </c>
      <c r="E181" s="426">
        <v>1000049817</v>
      </c>
      <c r="F181" s="425" t="s">
        <v>667</v>
      </c>
      <c r="G181" s="426" t="s">
        <v>471</v>
      </c>
      <c r="H181" s="426">
        <v>2</v>
      </c>
      <c r="I181" s="427"/>
      <c r="J181" s="428" t="str">
        <f t="shared" si="3"/>
        <v>INCLUDED</v>
      </c>
    </row>
    <row r="182" spans="1:10" ht="31.5">
      <c r="A182" s="611">
        <v>92</v>
      </c>
      <c r="B182" s="426">
        <v>7000026861</v>
      </c>
      <c r="C182" s="426">
        <v>1100</v>
      </c>
      <c r="D182" s="426" t="s">
        <v>615</v>
      </c>
      <c r="E182" s="426">
        <v>1000049753</v>
      </c>
      <c r="F182" s="425" t="s">
        <v>668</v>
      </c>
      <c r="G182" s="426" t="s">
        <v>471</v>
      </c>
      <c r="H182" s="426">
        <v>1</v>
      </c>
      <c r="I182" s="427"/>
      <c r="J182" s="428" t="str">
        <f t="shared" si="3"/>
        <v>INCLUDED</v>
      </c>
    </row>
    <row r="183" spans="1:10" ht="31.5">
      <c r="A183" s="611">
        <v>93</v>
      </c>
      <c r="B183" s="426">
        <v>7000026861</v>
      </c>
      <c r="C183" s="426">
        <v>1110</v>
      </c>
      <c r="D183" s="426" t="s">
        <v>615</v>
      </c>
      <c r="E183" s="426">
        <v>1000049762</v>
      </c>
      <c r="F183" s="425" t="s">
        <v>669</v>
      </c>
      <c r="G183" s="426" t="s">
        <v>471</v>
      </c>
      <c r="H183" s="426">
        <v>2</v>
      </c>
      <c r="I183" s="427"/>
      <c r="J183" s="428" t="str">
        <f t="shared" si="3"/>
        <v>INCLUDED</v>
      </c>
    </row>
    <row r="184" spans="1:10" ht="31.5">
      <c r="A184" s="611">
        <v>94</v>
      </c>
      <c r="B184" s="426">
        <v>7000026861</v>
      </c>
      <c r="C184" s="426">
        <v>1120</v>
      </c>
      <c r="D184" s="426" t="s">
        <v>615</v>
      </c>
      <c r="E184" s="426">
        <v>1000058330</v>
      </c>
      <c r="F184" s="425" t="s">
        <v>670</v>
      </c>
      <c r="G184" s="426" t="s">
        <v>471</v>
      </c>
      <c r="H184" s="426">
        <v>1</v>
      </c>
      <c r="I184" s="427"/>
      <c r="J184" s="428" t="str">
        <f t="shared" si="3"/>
        <v>INCLUDED</v>
      </c>
    </row>
    <row r="185" spans="1:10" ht="31.5">
      <c r="A185" s="611">
        <v>95</v>
      </c>
      <c r="B185" s="426">
        <v>7000026861</v>
      </c>
      <c r="C185" s="426">
        <v>1130</v>
      </c>
      <c r="D185" s="426" t="s">
        <v>615</v>
      </c>
      <c r="E185" s="426">
        <v>1000049750</v>
      </c>
      <c r="F185" s="425" t="s">
        <v>671</v>
      </c>
      <c r="G185" s="426" t="s">
        <v>471</v>
      </c>
      <c r="H185" s="426">
        <v>2</v>
      </c>
      <c r="I185" s="427"/>
      <c r="J185" s="428" t="str">
        <f t="shared" si="3"/>
        <v>INCLUDED</v>
      </c>
    </row>
    <row r="186" spans="1:10" ht="31.5">
      <c r="A186" s="611">
        <v>96</v>
      </c>
      <c r="B186" s="426">
        <v>7000026861</v>
      </c>
      <c r="C186" s="426">
        <v>1140</v>
      </c>
      <c r="D186" s="426" t="s">
        <v>615</v>
      </c>
      <c r="E186" s="426">
        <v>1000058331</v>
      </c>
      <c r="F186" s="425" t="s">
        <v>672</v>
      </c>
      <c r="G186" s="426" t="s">
        <v>505</v>
      </c>
      <c r="H186" s="426">
        <v>1</v>
      </c>
      <c r="I186" s="427"/>
      <c r="J186" s="428" t="str">
        <f t="shared" si="3"/>
        <v>INCLUDED</v>
      </c>
    </row>
    <row r="187" spans="1:10" ht="47.25">
      <c r="A187" s="611">
        <v>97</v>
      </c>
      <c r="B187" s="426">
        <v>7000026861</v>
      </c>
      <c r="C187" s="426">
        <v>1150</v>
      </c>
      <c r="D187" s="426" t="s">
        <v>615</v>
      </c>
      <c r="E187" s="426">
        <v>1000049783</v>
      </c>
      <c r="F187" s="425" t="s">
        <v>673</v>
      </c>
      <c r="G187" s="426" t="s">
        <v>471</v>
      </c>
      <c r="H187" s="426">
        <v>2</v>
      </c>
      <c r="I187" s="427"/>
      <c r="J187" s="428" t="str">
        <f t="shared" si="3"/>
        <v>INCLUDED</v>
      </c>
    </row>
    <row r="188" spans="1:10" ht="31.5">
      <c r="A188" s="611">
        <v>98</v>
      </c>
      <c r="B188" s="426">
        <v>7000026861</v>
      </c>
      <c r="C188" s="426">
        <v>1160</v>
      </c>
      <c r="D188" s="426" t="s">
        <v>615</v>
      </c>
      <c r="E188" s="426">
        <v>1000049505</v>
      </c>
      <c r="F188" s="425" t="s">
        <v>674</v>
      </c>
      <c r="G188" s="426" t="s">
        <v>470</v>
      </c>
      <c r="H188" s="426">
        <v>3</v>
      </c>
      <c r="I188" s="427"/>
      <c r="J188" s="428" t="str">
        <f t="shared" si="3"/>
        <v>INCLUDED</v>
      </c>
    </row>
    <row r="189" spans="1:10" ht="31.5">
      <c r="A189" s="611">
        <v>99</v>
      </c>
      <c r="B189" s="426">
        <v>7000026861</v>
      </c>
      <c r="C189" s="426">
        <v>1170</v>
      </c>
      <c r="D189" s="426" t="s">
        <v>615</v>
      </c>
      <c r="E189" s="426">
        <v>1000058334</v>
      </c>
      <c r="F189" s="425" t="s">
        <v>675</v>
      </c>
      <c r="G189" s="426" t="s">
        <v>470</v>
      </c>
      <c r="H189" s="426">
        <v>3</v>
      </c>
      <c r="I189" s="427"/>
      <c r="J189" s="428" t="str">
        <f t="shared" si="3"/>
        <v>INCLUDED</v>
      </c>
    </row>
    <row r="190" spans="1:10" ht="31.5">
      <c r="A190" s="611">
        <v>100</v>
      </c>
      <c r="B190" s="426">
        <v>7000026861</v>
      </c>
      <c r="C190" s="426">
        <v>1180</v>
      </c>
      <c r="D190" s="426" t="s">
        <v>615</v>
      </c>
      <c r="E190" s="426">
        <v>1000058329</v>
      </c>
      <c r="F190" s="425" t="s">
        <v>676</v>
      </c>
      <c r="G190" s="426" t="s">
        <v>470</v>
      </c>
      <c r="H190" s="426">
        <v>3</v>
      </c>
      <c r="I190" s="427"/>
      <c r="J190" s="428" t="str">
        <f t="shared" si="3"/>
        <v>INCLUDED</v>
      </c>
    </row>
    <row r="191" spans="1:10" ht="31.5">
      <c r="A191" s="611">
        <v>101</v>
      </c>
      <c r="B191" s="426">
        <v>7000026861</v>
      </c>
      <c r="C191" s="426">
        <v>1190</v>
      </c>
      <c r="D191" s="426" t="s">
        <v>615</v>
      </c>
      <c r="E191" s="426">
        <v>1000058333</v>
      </c>
      <c r="F191" s="425" t="s">
        <v>677</v>
      </c>
      <c r="G191" s="426" t="s">
        <v>470</v>
      </c>
      <c r="H191" s="426">
        <v>1</v>
      </c>
      <c r="I191" s="427"/>
      <c r="J191" s="428" t="str">
        <f t="shared" si="3"/>
        <v>INCLUDED</v>
      </c>
    </row>
    <row r="192" spans="1:10" ht="47.25">
      <c r="A192" s="611">
        <v>102</v>
      </c>
      <c r="B192" s="426">
        <v>7000026861</v>
      </c>
      <c r="C192" s="426">
        <v>1200</v>
      </c>
      <c r="D192" s="426" t="s">
        <v>615</v>
      </c>
      <c r="E192" s="426">
        <v>1000049498</v>
      </c>
      <c r="F192" s="425" t="s">
        <v>678</v>
      </c>
      <c r="G192" s="426" t="s">
        <v>471</v>
      </c>
      <c r="H192" s="426">
        <v>1</v>
      </c>
      <c r="I192" s="427"/>
      <c r="J192" s="428" t="str">
        <f t="shared" si="3"/>
        <v>INCLUDED</v>
      </c>
    </row>
    <row r="193" spans="1:28" s="610" customFormat="1" ht="34.5" customHeight="1">
      <c r="A193" s="604" t="str">
        <f>'Sch-1'!A193</f>
        <v>III</v>
      </c>
      <c r="B193" s="605" t="str">
        <f>'Sch-1'!B193</f>
        <v xml:space="preserve">Extension of 400/220kV Bhuj GIS PS </v>
      </c>
      <c r="C193" s="606"/>
      <c r="D193" s="607"/>
      <c r="E193" s="608"/>
      <c r="F193" s="608"/>
      <c r="G193" s="608"/>
      <c r="H193" s="608"/>
      <c r="I193" s="608"/>
      <c r="J193" s="608"/>
      <c r="K193" s="609"/>
      <c r="L193" s="609"/>
      <c r="M193" s="609"/>
      <c r="N193" s="609"/>
      <c r="O193" s="609"/>
      <c r="P193" s="609"/>
      <c r="Q193" s="609"/>
      <c r="R193" s="609"/>
      <c r="S193" s="609"/>
      <c r="T193" s="609"/>
      <c r="U193" s="609"/>
      <c r="V193" s="609"/>
      <c r="W193" s="609"/>
      <c r="X193" s="609"/>
      <c r="Y193" s="609"/>
      <c r="Z193" s="609"/>
      <c r="AA193" s="609"/>
      <c r="AB193" s="609"/>
    </row>
    <row r="194" spans="1:28" ht="31.5">
      <c r="A194" s="611">
        <v>1</v>
      </c>
      <c r="B194" s="426">
        <v>7000026864</v>
      </c>
      <c r="C194" s="426">
        <v>10</v>
      </c>
      <c r="D194" s="426" t="s">
        <v>679</v>
      </c>
      <c r="E194" s="426">
        <v>1000020419</v>
      </c>
      <c r="F194" s="425" t="s">
        <v>477</v>
      </c>
      <c r="G194" s="426" t="s">
        <v>470</v>
      </c>
      <c r="H194" s="426">
        <v>3</v>
      </c>
      <c r="I194" s="427"/>
      <c r="J194" s="428" t="str">
        <f t="shared" si="3"/>
        <v>INCLUDED</v>
      </c>
    </row>
    <row r="195" spans="1:28" ht="31.5">
      <c r="A195" s="611">
        <v>2</v>
      </c>
      <c r="B195" s="426">
        <v>7000026864</v>
      </c>
      <c r="C195" s="426">
        <v>20</v>
      </c>
      <c r="D195" s="426" t="s">
        <v>679</v>
      </c>
      <c r="E195" s="426">
        <v>1000020417</v>
      </c>
      <c r="F195" s="425" t="s">
        <v>479</v>
      </c>
      <c r="G195" s="426" t="s">
        <v>470</v>
      </c>
      <c r="H195" s="426">
        <v>3</v>
      </c>
      <c r="I195" s="427"/>
      <c r="J195" s="428" t="str">
        <f t="shared" si="3"/>
        <v>INCLUDED</v>
      </c>
    </row>
    <row r="196" spans="1:28" ht="31.5">
      <c r="A196" s="611">
        <v>3</v>
      </c>
      <c r="B196" s="426">
        <v>7000026864</v>
      </c>
      <c r="C196" s="426">
        <v>30</v>
      </c>
      <c r="D196" s="426" t="s">
        <v>679</v>
      </c>
      <c r="E196" s="426">
        <v>1000001695</v>
      </c>
      <c r="F196" s="425" t="s">
        <v>480</v>
      </c>
      <c r="G196" s="426" t="s">
        <v>470</v>
      </c>
      <c r="H196" s="426">
        <v>21</v>
      </c>
      <c r="I196" s="427"/>
      <c r="J196" s="428" t="str">
        <f t="shared" si="3"/>
        <v>INCLUDED</v>
      </c>
    </row>
    <row r="197" spans="1:28" ht="31.5">
      <c r="A197" s="611">
        <v>4</v>
      </c>
      <c r="B197" s="426">
        <v>7000026864</v>
      </c>
      <c r="C197" s="426">
        <v>50</v>
      </c>
      <c r="D197" s="426" t="s">
        <v>680</v>
      </c>
      <c r="E197" s="426">
        <v>1000029503</v>
      </c>
      <c r="F197" s="425" t="s">
        <v>688</v>
      </c>
      <c r="G197" s="426" t="s">
        <v>470</v>
      </c>
      <c r="H197" s="426">
        <v>6</v>
      </c>
      <c r="I197" s="427"/>
      <c r="J197" s="428" t="str">
        <f t="shared" si="3"/>
        <v>INCLUDED</v>
      </c>
    </row>
    <row r="198" spans="1:28" ht="31.5">
      <c r="A198" s="611">
        <v>5</v>
      </c>
      <c r="B198" s="426">
        <v>7000026864</v>
      </c>
      <c r="C198" s="426">
        <v>60</v>
      </c>
      <c r="D198" s="426" t="s">
        <v>680</v>
      </c>
      <c r="E198" s="426">
        <v>1000061111</v>
      </c>
      <c r="F198" s="425" t="s">
        <v>689</v>
      </c>
      <c r="G198" s="426" t="s">
        <v>518</v>
      </c>
      <c r="H198" s="426">
        <v>1200</v>
      </c>
      <c r="I198" s="427"/>
      <c r="J198" s="428" t="str">
        <f t="shared" si="3"/>
        <v>INCLUDED</v>
      </c>
    </row>
    <row r="199" spans="1:28" ht="31.5">
      <c r="A199" s="611">
        <v>6</v>
      </c>
      <c r="B199" s="426">
        <v>7000026864</v>
      </c>
      <c r="C199" s="426">
        <v>80</v>
      </c>
      <c r="D199" s="426" t="s">
        <v>681</v>
      </c>
      <c r="E199" s="426">
        <v>1000011252</v>
      </c>
      <c r="F199" s="425" t="s">
        <v>690</v>
      </c>
      <c r="G199" s="426" t="s">
        <v>471</v>
      </c>
      <c r="H199" s="426">
        <v>1</v>
      </c>
      <c r="I199" s="427"/>
      <c r="J199" s="428" t="str">
        <f t="shared" si="3"/>
        <v>INCLUDED</v>
      </c>
    </row>
    <row r="200" spans="1:28" ht="31.5">
      <c r="A200" s="611">
        <v>7</v>
      </c>
      <c r="B200" s="426">
        <v>7000026864</v>
      </c>
      <c r="C200" s="426">
        <v>90</v>
      </c>
      <c r="D200" s="426" t="s">
        <v>681</v>
      </c>
      <c r="E200" s="426">
        <v>1000011334</v>
      </c>
      <c r="F200" s="425" t="s">
        <v>691</v>
      </c>
      <c r="G200" s="426" t="s">
        <v>471</v>
      </c>
      <c r="H200" s="426">
        <v>1</v>
      </c>
      <c r="I200" s="427"/>
      <c r="J200" s="428" t="str">
        <f t="shared" si="3"/>
        <v>INCLUDED</v>
      </c>
    </row>
    <row r="201" spans="1:28" ht="31.5">
      <c r="A201" s="611">
        <v>8</v>
      </c>
      <c r="B201" s="426">
        <v>7000026864</v>
      </c>
      <c r="C201" s="426">
        <v>110</v>
      </c>
      <c r="D201" s="426" t="s">
        <v>682</v>
      </c>
      <c r="E201" s="426">
        <v>1000058300</v>
      </c>
      <c r="F201" s="425" t="s">
        <v>692</v>
      </c>
      <c r="G201" s="426" t="s">
        <v>470</v>
      </c>
      <c r="H201" s="426">
        <v>1</v>
      </c>
      <c r="I201" s="427"/>
      <c r="J201" s="428" t="str">
        <f t="shared" si="3"/>
        <v>INCLUDED</v>
      </c>
    </row>
    <row r="202" spans="1:28" ht="31.5">
      <c r="A202" s="611">
        <v>9</v>
      </c>
      <c r="B202" s="426">
        <v>7000026864</v>
      </c>
      <c r="C202" s="426">
        <v>120</v>
      </c>
      <c r="D202" s="426" t="s">
        <v>682</v>
      </c>
      <c r="E202" s="426">
        <v>1000049816</v>
      </c>
      <c r="F202" s="425" t="s">
        <v>693</v>
      </c>
      <c r="G202" s="426" t="s">
        <v>471</v>
      </c>
      <c r="H202" s="426">
        <v>2</v>
      </c>
      <c r="I202" s="427"/>
      <c r="J202" s="428" t="str">
        <f t="shared" si="3"/>
        <v>INCLUDED</v>
      </c>
    </row>
    <row r="203" spans="1:28" ht="31.5">
      <c r="A203" s="611">
        <v>10</v>
      </c>
      <c r="B203" s="426">
        <v>7000026864</v>
      </c>
      <c r="C203" s="426">
        <v>130</v>
      </c>
      <c r="D203" s="426" t="s">
        <v>682</v>
      </c>
      <c r="E203" s="426">
        <v>1000049752</v>
      </c>
      <c r="F203" s="425" t="s">
        <v>694</v>
      </c>
      <c r="G203" s="426" t="s">
        <v>471</v>
      </c>
      <c r="H203" s="426">
        <v>1</v>
      </c>
      <c r="I203" s="427"/>
      <c r="J203" s="428" t="str">
        <f t="shared" si="3"/>
        <v>INCLUDED</v>
      </c>
    </row>
    <row r="204" spans="1:28" ht="31.5">
      <c r="A204" s="611">
        <v>11</v>
      </c>
      <c r="B204" s="426">
        <v>7000026864</v>
      </c>
      <c r="C204" s="426">
        <v>140</v>
      </c>
      <c r="D204" s="426" t="s">
        <v>682</v>
      </c>
      <c r="E204" s="426">
        <v>1000049761</v>
      </c>
      <c r="F204" s="425" t="s">
        <v>695</v>
      </c>
      <c r="G204" s="426" t="s">
        <v>471</v>
      </c>
      <c r="H204" s="426">
        <v>2</v>
      </c>
      <c r="I204" s="427"/>
      <c r="J204" s="428" t="str">
        <f t="shared" si="3"/>
        <v>INCLUDED</v>
      </c>
    </row>
    <row r="205" spans="1:28" ht="31.5">
      <c r="A205" s="611">
        <v>12</v>
      </c>
      <c r="B205" s="426">
        <v>7000026864</v>
      </c>
      <c r="C205" s="426">
        <v>150</v>
      </c>
      <c r="D205" s="426" t="s">
        <v>682</v>
      </c>
      <c r="E205" s="426">
        <v>1000058298</v>
      </c>
      <c r="F205" s="425" t="s">
        <v>696</v>
      </c>
      <c r="G205" s="426" t="s">
        <v>471</v>
      </c>
      <c r="H205" s="426">
        <v>1</v>
      </c>
      <c r="I205" s="427"/>
      <c r="J205" s="428" t="str">
        <f t="shared" si="3"/>
        <v>INCLUDED</v>
      </c>
    </row>
    <row r="206" spans="1:28" ht="31.5">
      <c r="A206" s="611">
        <v>13</v>
      </c>
      <c r="B206" s="426">
        <v>7000026864</v>
      </c>
      <c r="C206" s="426">
        <v>160</v>
      </c>
      <c r="D206" s="426" t="s">
        <v>682</v>
      </c>
      <c r="E206" s="426">
        <v>1000049749</v>
      </c>
      <c r="F206" s="425" t="s">
        <v>697</v>
      </c>
      <c r="G206" s="426" t="s">
        <v>471</v>
      </c>
      <c r="H206" s="426">
        <v>2</v>
      </c>
      <c r="I206" s="427"/>
      <c r="J206" s="428" t="str">
        <f t="shared" si="3"/>
        <v>INCLUDED</v>
      </c>
    </row>
    <row r="207" spans="1:28" ht="31.5">
      <c r="A207" s="611">
        <v>14</v>
      </c>
      <c r="B207" s="426">
        <v>7000026864</v>
      </c>
      <c r="C207" s="426">
        <v>170</v>
      </c>
      <c r="D207" s="426" t="s">
        <v>682</v>
      </c>
      <c r="E207" s="426">
        <v>1000058299</v>
      </c>
      <c r="F207" s="425" t="s">
        <v>698</v>
      </c>
      <c r="G207" s="426" t="s">
        <v>505</v>
      </c>
      <c r="H207" s="426">
        <v>1</v>
      </c>
      <c r="I207" s="427"/>
      <c r="J207" s="428" t="str">
        <f t="shared" si="3"/>
        <v>INCLUDED</v>
      </c>
    </row>
    <row r="208" spans="1:28" ht="47.25">
      <c r="A208" s="611">
        <v>15</v>
      </c>
      <c r="B208" s="426">
        <v>7000026864</v>
      </c>
      <c r="C208" s="426">
        <v>180</v>
      </c>
      <c r="D208" s="426" t="s">
        <v>682</v>
      </c>
      <c r="E208" s="426">
        <v>1000049782</v>
      </c>
      <c r="F208" s="425" t="s">
        <v>699</v>
      </c>
      <c r="G208" s="426" t="s">
        <v>471</v>
      </c>
      <c r="H208" s="426">
        <v>2</v>
      </c>
      <c r="I208" s="427"/>
      <c r="J208" s="428" t="str">
        <f t="shared" si="3"/>
        <v>INCLUDED</v>
      </c>
    </row>
    <row r="209" spans="1:10" ht="31.5">
      <c r="A209" s="611">
        <v>16</v>
      </c>
      <c r="B209" s="426">
        <v>7000026864</v>
      </c>
      <c r="C209" s="426">
        <v>190</v>
      </c>
      <c r="D209" s="426" t="s">
        <v>682</v>
      </c>
      <c r="E209" s="426">
        <v>1000049504</v>
      </c>
      <c r="F209" s="425" t="s">
        <v>700</v>
      </c>
      <c r="G209" s="426" t="s">
        <v>470</v>
      </c>
      <c r="H209" s="426">
        <v>3</v>
      </c>
      <c r="I209" s="427"/>
      <c r="J209" s="428" t="str">
        <f t="shared" si="3"/>
        <v>INCLUDED</v>
      </c>
    </row>
    <row r="210" spans="1:10" ht="31.5">
      <c r="A210" s="611">
        <v>17</v>
      </c>
      <c r="B210" s="426">
        <v>7000026864</v>
      </c>
      <c r="C210" s="426">
        <v>200</v>
      </c>
      <c r="D210" s="426" t="s">
        <v>682</v>
      </c>
      <c r="E210" s="426">
        <v>1000058302</v>
      </c>
      <c r="F210" s="425" t="s">
        <v>701</v>
      </c>
      <c r="G210" s="426" t="s">
        <v>470</v>
      </c>
      <c r="H210" s="426">
        <v>3</v>
      </c>
      <c r="I210" s="427"/>
      <c r="J210" s="428" t="str">
        <f t="shared" si="3"/>
        <v>INCLUDED</v>
      </c>
    </row>
    <row r="211" spans="1:10" ht="31.5">
      <c r="A211" s="611">
        <v>18</v>
      </c>
      <c r="B211" s="426">
        <v>7000026864</v>
      </c>
      <c r="C211" s="426">
        <v>210</v>
      </c>
      <c r="D211" s="426" t="s">
        <v>682</v>
      </c>
      <c r="E211" s="426">
        <v>1000058297</v>
      </c>
      <c r="F211" s="425" t="s">
        <v>702</v>
      </c>
      <c r="G211" s="426" t="s">
        <v>470</v>
      </c>
      <c r="H211" s="426">
        <v>3</v>
      </c>
      <c r="I211" s="427"/>
      <c r="J211" s="428" t="str">
        <f t="shared" si="3"/>
        <v>INCLUDED</v>
      </c>
    </row>
    <row r="212" spans="1:10" ht="31.5">
      <c r="A212" s="611">
        <v>19</v>
      </c>
      <c r="B212" s="426">
        <v>7000026864</v>
      </c>
      <c r="C212" s="426">
        <v>220</v>
      </c>
      <c r="D212" s="426" t="s">
        <v>682</v>
      </c>
      <c r="E212" s="426">
        <v>1000058301</v>
      </c>
      <c r="F212" s="425" t="s">
        <v>703</v>
      </c>
      <c r="G212" s="426" t="s">
        <v>470</v>
      </c>
      <c r="H212" s="426">
        <v>1</v>
      </c>
      <c r="I212" s="427"/>
      <c r="J212" s="428" t="str">
        <f t="shared" si="3"/>
        <v>INCLUDED</v>
      </c>
    </row>
    <row r="213" spans="1:10" ht="47.25">
      <c r="A213" s="611">
        <v>20</v>
      </c>
      <c r="B213" s="426">
        <v>7000026864</v>
      </c>
      <c r="C213" s="426">
        <v>230</v>
      </c>
      <c r="D213" s="426" t="s">
        <v>682</v>
      </c>
      <c r="E213" s="426">
        <v>1000049497</v>
      </c>
      <c r="F213" s="425" t="s">
        <v>704</v>
      </c>
      <c r="G213" s="426" t="s">
        <v>471</v>
      </c>
      <c r="H213" s="426">
        <v>1</v>
      </c>
      <c r="I213" s="427"/>
      <c r="J213" s="428" t="str">
        <f t="shared" si="3"/>
        <v>INCLUDED</v>
      </c>
    </row>
    <row r="214" spans="1:10">
      <c r="A214" s="611">
        <v>21</v>
      </c>
      <c r="B214" s="426">
        <v>7000026864</v>
      </c>
      <c r="C214" s="426">
        <v>240</v>
      </c>
      <c r="D214" s="426" t="s">
        <v>683</v>
      </c>
      <c r="E214" s="426">
        <v>1000004274</v>
      </c>
      <c r="F214" s="425" t="s">
        <v>488</v>
      </c>
      <c r="G214" s="426" t="s">
        <v>470</v>
      </c>
      <c r="H214" s="426">
        <v>1</v>
      </c>
      <c r="I214" s="427"/>
      <c r="J214" s="428" t="str">
        <f t="shared" si="1"/>
        <v>INCLUDED</v>
      </c>
    </row>
    <row r="215" spans="1:10">
      <c r="A215" s="611">
        <v>22</v>
      </c>
      <c r="B215" s="426">
        <v>7000026864</v>
      </c>
      <c r="C215" s="426">
        <v>250</v>
      </c>
      <c r="D215" s="426" t="s">
        <v>683</v>
      </c>
      <c r="E215" s="426">
        <v>1000001333</v>
      </c>
      <c r="F215" s="425" t="s">
        <v>705</v>
      </c>
      <c r="G215" s="426" t="s">
        <v>470</v>
      </c>
      <c r="H215" s="426">
        <v>1</v>
      </c>
      <c r="I215" s="427"/>
      <c r="J215" s="428" t="str">
        <f t="shared" si="1"/>
        <v>INCLUDED</v>
      </c>
    </row>
    <row r="216" spans="1:10">
      <c r="A216" s="611">
        <v>23</v>
      </c>
      <c r="B216" s="426">
        <v>7000026864</v>
      </c>
      <c r="C216" s="426">
        <v>260</v>
      </c>
      <c r="D216" s="426" t="s">
        <v>683</v>
      </c>
      <c r="E216" s="426">
        <v>1000003409</v>
      </c>
      <c r="F216" s="425" t="s">
        <v>535</v>
      </c>
      <c r="G216" s="426" t="s">
        <v>470</v>
      </c>
      <c r="H216" s="426">
        <v>1</v>
      </c>
      <c r="I216" s="427"/>
      <c r="J216" s="428" t="str">
        <f t="shared" si="1"/>
        <v>INCLUDED</v>
      </c>
    </row>
    <row r="217" spans="1:10">
      <c r="A217" s="611">
        <v>24</v>
      </c>
      <c r="B217" s="426">
        <v>7000026864</v>
      </c>
      <c r="C217" s="426">
        <v>270</v>
      </c>
      <c r="D217" s="426" t="s">
        <v>683</v>
      </c>
      <c r="E217" s="426">
        <v>1000001170</v>
      </c>
      <c r="F217" s="425" t="s">
        <v>706</v>
      </c>
      <c r="G217" s="426" t="s">
        <v>470</v>
      </c>
      <c r="H217" s="426">
        <v>1</v>
      </c>
      <c r="I217" s="427"/>
      <c r="J217" s="428" t="str">
        <f t="shared" si="1"/>
        <v>INCLUDED</v>
      </c>
    </row>
    <row r="218" spans="1:10" ht="31.5">
      <c r="A218" s="611">
        <v>25</v>
      </c>
      <c r="B218" s="426">
        <v>7000026864</v>
      </c>
      <c r="C218" s="426">
        <v>280</v>
      </c>
      <c r="D218" s="426" t="s">
        <v>683</v>
      </c>
      <c r="E218" s="426">
        <v>1000001167</v>
      </c>
      <c r="F218" s="425" t="s">
        <v>707</v>
      </c>
      <c r="G218" s="426" t="s">
        <v>471</v>
      </c>
      <c r="H218" s="426">
        <v>1</v>
      </c>
      <c r="I218" s="427"/>
      <c r="J218" s="428" t="str">
        <f t="shared" si="1"/>
        <v>INCLUDED</v>
      </c>
    </row>
    <row r="219" spans="1:10" ht="47.25">
      <c r="A219" s="611">
        <v>26</v>
      </c>
      <c r="B219" s="426">
        <v>7000026864</v>
      </c>
      <c r="C219" s="426">
        <v>300</v>
      </c>
      <c r="D219" s="426" t="s">
        <v>569</v>
      </c>
      <c r="E219" s="426">
        <v>1000014547</v>
      </c>
      <c r="F219" s="425" t="s">
        <v>508</v>
      </c>
      <c r="G219" s="426" t="s">
        <v>470</v>
      </c>
      <c r="H219" s="426">
        <v>1</v>
      </c>
      <c r="I219" s="427"/>
      <c r="J219" s="428" t="str">
        <f t="shared" si="1"/>
        <v>INCLUDED</v>
      </c>
    </row>
    <row r="220" spans="1:10" ht="47.25">
      <c r="A220" s="611">
        <v>27</v>
      </c>
      <c r="B220" s="426">
        <v>7000026864</v>
      </c>
      <c r="C220" s="426">
        <v>310</v>
      </c>
      <c r="D220" s="426" t="s">
        <v>569</v>
      </c>
      <c r="E220" s="426">
        <v>1000020262</v>
      </c>
      <c r="F220" s="425" t="s">
        <v>588</v>
      </c>
      <c r="G220" s="426" t="s">
        <v>470</v>
      </c>
      <c r="H220" s="426">
        <v>1</v>
      </c>
      <c r="I220" s="427"/>
      <c r="J220" s="428" t="str">
        <f t="shared" si="1"/>
        <v>INCLUDED</v>
      </c>
    </row>
    <row r="221" spans="1:10" ht="47.25">
      <c r="A221" s="611">
        <v>28</v>
      </c>
      <c r="B221" s="426">
        <v>7000026864</v>
      </c>
      <c r="C221" s="426">
        <v>320</v>
      </c>
      <c r="D221" s="426" t="s">
        <v>569</v>
      </c>
      <c r="E221" s="426">
        <v>1000038039</v>
      </c>
      <c r="F221" s="425" t="s">
        <v>708</v>
      </c>
      <c r="G221" s="426" t="s">
        <v>470</v>
      </c>
      <c r="H221" s="426">
        <v>10</v>
      </c>
      <c r="I221" s="427"/>
      <c r="J221" s="428" t="str">
        <f t="shared" si="1"/>
        <v>INCLUDED</v>
      </c>
    </row>
    <row r="222" spans="1:10" ht="47.25">
      <c r="A222" s="611">
        <v>29</v>
      </c>
      <c r="B222" s="426">
        <v>7000026864</v>
      </c>
      <c r="C222" s="426">
        <v>330</v>
      </c>
      <c r="D222" s="426" t="s">
        <v>569</v>
      </c>
      <c r="E222" s="426">
        <v>1000038325</v>
      </c>
      <c r="F222" s="425" t="s">
        <v>509</v>
      </c>
      <c r="G222" s="426" t="s">
        <v>470</v>
      </c>
      <c r="H222" s="426">
        <v>10</v>
      </c>
      <c r="I222" s="427"/>
      <c r="J222" s="428" t="str">
        <f t="shared" si="1"/>
        <v>INCLUDED</v>
      </c>
    </row>
    <row r="223" spans="1:10" ht="31.5">
      <c r="A223" s="611">
        <v>30</v>
      </c>
      <c r="B223" s="426">
        <v>7000026864</v>
      </c>
      <c r="C223" s="426">
        <v>350</v>
      </c>
      <c r="D223" s="426" t="s">
        <v>576</v>
      </c>
      <c r="E223" s="426">
        <v>1000031953</v>
      </c>
      <c r="F223" s="425" t="s">
        <v>523</v>
      </c>
      <c r="G223" s="426" t="s">
        <v>493</v>
      </c>
      <c r="H223" s="426">
        <v>1</v>
      </c>
      <c r="I223" s="427"/>
      <c r="J223" s="428" t="str">
        <f t="shared" si="1"/>
        <v>INCLUDED</v>
      </c>
    </row>
    <row r="224" spans="1:10" ht="31.5">
      <c r="A224" s="611">
        <v>31</v>
      </c>
      <c r="B224" s="426">
        <v>7000026864</v>
      </c>
      <c r="C224" s="426">
        <v>360</v>
      </c>
      <c r="D224" s="426" t="s">
        <v>576</v>
      </c>
      <c r="E224" s="426">
        <v>1000031951</v>
      </c>
      <c r="F224" s="425" t="s">
        <v>521</v>
      </c>
      <c r="G224" s="426" t="s">
        <v>493</v>
      </c>
      <c r="H224" s="426">
        <v>0.1</v>
      </c>
      <c r="I224" s="427"/>
      <c r="J224" s="428" t="str">
        <f t="shared" si="1"/>
        <v>INCLUDED</v>
      </c>
    </row>
    <row r="225" spans="1:10" ht="31.5">
      <c r="A225" s="611">
        <v>32</v>
      </c>
      <c r="B225" s="426">
        <v>7000026864</v>
      </c>
      <c r="C225" s="426">
        <v>370</v>
      </c>
      <c r="D225" s="426" t="s">
        <v>576</v>
      </c>
      <c r="E225" s="426">
        <v>1000031976</v>
      </c>
      <c r="F225" s="425" t="s">
        <v>524</v>
      </c>
      <c r="G225" s="426" t="s">
        <v>493</v>
      </c>
      <c r="H225" s="426">
        <v>4.5</v>
      </c>
      <c r="I225" s="427"/>
      <c r="J225" s="428" t="str">
        <f t="shared" si="1"/>
        <v>INCLUDED</v>
      </c>
    </row>
    <row r="226" spans="1:10" ht="31.5">
      <c r="A226" s="611">
        <v>33</v>
      </c>
      <c r="B226" s="426">
        <v>7000026864</v>
      </c>
      <c r="C226" s="426">
        <v>380</v>
      </c>
      <c r="D226" s="426" t="s">
        <v>576</v>
      </c>
      <c r="E226" s="426">
        <v>1000031985</v>
      </c>
      <c r="F226" s="425" t="s">
        <v>525</v>
      </c>
      <c r="G226" s="426" t="s">
        <v>493</v>
      </c>
      <c r="H226" s="426">
        <v>3</v>
      </c>
      <c r="I226" s="427"/>
      <c r="J226" s="428" t="str">
        <f t="shared" ref="J226:J234" si="4">IF(I226=0, "INCLUDED", IF(ISERROR(I226*H226), I226, I226*H226))</f>
        <v>INCLUDED</v>
      </c>
    </row>
    <row r="227" spans="1:10" ht="31.5">
      <c r="A227" s="611">
        <v>34</v>
      </c>
      <c r="B227" s="426">
        <v>7000026864</v>
      </c>
      <c r="C227" s="426">
        <v>390</v>
      </c>
      <c r="D227" s="426" t="s">
        <v>576</v>
      </c>
      <c r="E227" s="426">
        <v>1000031943</v>
      </c>
      <c r="F227" s="425" t="s">
        <v>526</v>
      </c>
      <c r="G227" s="426" t="s">
        <v>493</v>
      </c>
      <c r="H227" s="426">
        <v>1</v>
      </c>
      <c r="I227" s="427"/>
      <c r="J227" s="428" t="str">
        <f t="shared" si="4"/>
        <v>INCLUDED</v>
      </c>
    </row>
    <row r="228" spans="1:10" ht="31.5">
      <c r="A228" s="611">
        <v>35</v>
      </c>
      <c r="B228" s="426">
        <v>7000026864</v>
      </c>
      <c r="C228" s="426">
        <v>400</v>
      </c>
      <c r="D228" s="426" t="s">
        <v>576</v>
      </c>
      <c r="E228" s="426">
        <v>1000031987</v>
      </c>
      <c r="F228" s="425" t="s">
        <v>516</v>
      </c>
      <c r="G228" s="426" t="s">
        <v>493</v>
      </c>
      <c r="H228" s="426">
        <v>9.5</v>
      </c>
      <c r="I228" s="427"/>
      <c r="J228" s="428" t="str">
        <f t="shared" si="4"/>
        <v>INCLUDED</v>
      </c>
    </row>
    <row r="229" spans="1:10" ht="31.5">
      <c r="A229" s="611">
        <v>36</v>
      </c>
      <c r="B229" s="426">
        <v>7000026864</v>
      </c>
      <c r="C229" s="426">
        <v>410</v>
      </c>
      <c r="D229" s="426" t="s">
        <v>576</v>
      </c>
      <c r="E229" s="426">
        <v>1000031887</v>
      </c>
      <c r="F229" s="425" t="s">
        <v>517</v>
      </c>
      <c r="G229" s="426" t="s">
        <v>493</v>
      </c>
      <c r="H229" s="426">
        <v>8</v>
      </c>
      <c r="I229" s="427"/>
      <c r="J229" s="428" t="str">
        <f t="shared" si="4"/>
        <v>INCLUDED</v>
      </c>
    </row>
    <row r="230" spans="1:10" ht="31.5">
      <c r="A230" s="611">
        <v>37</v>
      </c>
      <c r="B230" s="426">
        <v>7000026864</v>
      </c>
      <c r="C230" s="426">
        <v>420</v>
      </c>
      <c r="D230" s="426" t="s">
        <v>576</v>
      </c>
      <c r="E230" s="426">
        <v>1000056264</v>
      </c>
      <c r="F230" s="425" t="s">
        <v>519</v>
      </c>
      <c r="G230" s="426" t="s">
        <v>493</v>
      </c>
      <c r="H230" s="426">
        <v>8</v>
      </c>
      <c r="I230" s="427"/>
      <c r="J230" s="428" t="str">
        <f t="shared" si="4"/>
        <v>INCLUDED</v>
      </c>
    </row>
    <row r="231" spans="1:10" ht="31.5">
      <c r="A231" s="611">
        <v>38</v>
      </c>
      <c r="B231" s="426">
        <v>7000026864</v>
      </c>
      <c r="C231" s="426">
        <v>430</v>
      </c>
      <c r="D231" s="426" t="s">
        <v>576</v>
      </c>
      <c r="E231" s="426">
        <v>1000056265</v>
      </c>
      <c r="F231" s="425" t="s">
        <v>520</v>
      </c>
      <c r="G231" s="426" t="s">
        <v>493</v>
      </c>
      <c r="H231" s="426">
        <v>5.5</v>
      </c>
      <c r="I231" s="427"/>
      <c r="J231" s="428" t="str">
        <f t="shared" si="4"/>
        <v>INCLUDED</v>
      </c>
    </row>
    <row r="232" spans="1:10" ht="31.5">
      <c r="A232" s="611">
        <v>39</v>
      </c>
      <c r="B232" s="426">
        <v>7000026864</v>
      </c>
      <c r="C232" s="426">
        <v>440</v>
      </c>
      <c r="D232" s="426" t="s">
        <v>684</v>
      </c>
      <c r="E232" s="426">
        <v>1000012069</v>
      </c>
      <c r="F232" s="425" t="s">
        <v>709</v>
      </c>
      <c r="G232" s="426" t="s">
        <v>471</v>
      </c>
      <c r="H232" s="426">
        <v>1</v>
      </c>
      <c r="I232" s="427"/>
      <c r="J232" s="428" t="str">
        <f t="shared" si="4"/>
        <v>INCLUDED</v>
      </c>
    </row>
    <row r="233" spans="1:10" ht="78.75">
      <c r="A233" s="611">
        <v>40</v>
      </c>
      <c r="B233" s="426">
        <v>7000026864</v>
      </c>
      <c r="C233" s="426">
        <v>460</v>
      </c>
      <c r="D233" s="426" t="s">
        <v>571</v>
      </c>
      <c r="E233" s="426">
        <v>1000030433</v>
      </c>
      <c r="F233" s="425" t="s">
        <v>589</v>
      </c>
      <c r="G233" s="426" t="s">
        <v>471</v>
      </c>
      <c r="H233" s="426">
        <v>1</v>
      </c>
      <c r="I233" s="427"/>
      <c r="J233" s="428" t="str">
        <f t="shared" si="4"/>
        <v>INCLUDED</v>
      </c>
    </row>
    <row r="234" spans="1:10" ht="47.25">
      <c r="A234" s="611">
        <v>41</v>
      </c>
      <c r="B234" s="426">
        <v>7000026864</v>
      </c>
      <c r="C234" s="426">
        <v>480</v>
      </c>
      <c r="D234" s="426" t="s">
        <v>568</v>
      </c>
      <c r="E234" s="426">
        <v>1000006284</v>
      </c>
      <c r="F234" s="425" t="s">
        <v>502</v>
      </c>
      <c r="G234" s="426" t="s">
        <v>471</v>
      </c>
      <c r="H234" s="426">
        <v>1</v>
      </c>
      <c r="I234" s="427"/>
      <c r="J234" s="428" t="str">
        <f t="shared" si="4"/>
        <v>INCLUDED</v>
      </c>
    </row>
    <row r="235" spans="1:10" ht="47.25">
      <c r="A235" s="611">
        <v>42</v>
      </c>
      <c r="B235" s="426">
        <v>7000026864</v>
      </c>
      <c r="C235" s="426">
        <v>490</v>
      </c>
      <c r="D235" s="426" t="s">
        <v>568</v>
      </c>
      <c r="E235" s="426">
        <v>1000012022</v>
      </c>
      <c r="F235" s="425" t="s">
        <v>504</v>
      </c>
      <c r="G235" s="426" t="s">
        <v>470</v>
      </c>
      <c r="H235" s="426">
        <v>2</v>
      </c>
      <c r="I235" s="427"/>
      <c r="J235" s="428" t="str">
        <f t="shared" si="1"/>
        <v>INCLUDED</v>
      </c>
    </row>
    <row r="236" spans="1:10" ht="47.25">
      <c r="A236" s="611">
        <v>43</v>
      </c>
      <c r="B236" s="426">
        <v>7000026864</v>
      </c>
      <c r="C236" s="426">
        <v>500</v>
      </c>
      <c r="D236" s="426" t="s">
        <v>568</v>
      </c>
      <c r="E236" s="426">
        <v>1000012018</v>
      </c>
      <c r="F236" s="425" t="s">
        <v>503</v>
      </c>
      <c r="G236" s="426" t="s">
        <v>471</v>
      </c>
      <c r="H236" s="426">
        <v>1</v>
      </c>
      <c r="I236" s="427"/>
      <c r="J236" s="428" t="str">
        <f t="shared" si="1"/>
        <v>INCLUDED</v>
      </c>
    </row>
    <row r="237" spans="1:10" ht="47.25">
      <c r="A237" s="611">
        <v>44</v>
      </c>
      <c r="B237" s="426">
        <v>7000026864</v>
      </c>
      <c r="C237" s="426">
        <v>510</v>
      </c>
      <c r="D237" s="426" t="s">
        <v>568</v>
      </c>
      <c r="E237" s="426">
        <v>1000013795</v>
      </c>
      <c r="F237" s="425" t="s">
        <v>507</v>
      </c>
      <c r="G237" s="426" t="s">
        <v>506</v>
      </c>
      <c r="H237" s="426">
        <v>1</v>
      </c>
      <c r="I237" s="427"/>
      <c r="J237" s="428" t="str">
        <f t="shared" si="1"/>
        <v>INCLUDED</v>
      </c>
    </row>
    <row r="238" spans="1:10" ht="47.25">
      <c r="A238" s="611">
        <v>45</v>
      </c>
      <c r="B238" s="426">
        <v>7000026864</v>
      </c>
      <c r="C238" s="426">
        <v>530</v>
      </c>
      <c r="D238" s="426" t="s">
        <v>577</v>
      </c>
      <c r="E238" s="426">
        <v>1000015954</v>
      </c>
      <c r="F238" s="425" t="s">
        <v>537</v>
      </c>
      <c r="G238" s="426" t="s">
        <v>536</v>
      </c>
      <c r="H238" s="426">
        <v>8</v>
      </c>
      <c r="I238" s="427"/>
      <c r="J238" s="428" t="str">
        <f t="shared" si="1"/>
        <v>INCLUDED</v>
      </c>
    </row>
    <row r="239" spans="1:10" ht="31.5">
      <c r="A239" s="611">
        <v>46</v>
      </c>
      <c r="B239" s="426">
        <v>7000026864</v>
      </c>
      <c r="C239" s="426">
        <v>540</v>
      </c>
      <c r="D239" s="426" t="s">
        <v>577</v>
      </c>
      <c r="E239" s="426">
        <v>1000011713</v>
      </c>
      <c r="F239" s="425" t="s">
        <v>538</v>
      </c>
      <c r="G239" s="426" t="s">
        <v>536</v>
      </c>
      <c r="H239" s="426">
        <v>1</v>
      </c>
      <c r="I239" s="427"/>
      <c r="J239" s="428" t="str">
        <f t="shared" si="1"/>
        <v>INCLUDED</v>
      </c>
    </row>
    <row r="240" spans="1:10" ht="31.5">
      <c r="A240" s="611">
        <v>47</v>
      </c>
      <c r="B240" s="426">
        <v>7000026864</v>
      </c>
      <c r="C240" s="426">
        <v>550</v>
      </c>
      <c r="D240" s="426" t="s">
        <v>577</v>
      </c>
      <c r="E240" s="426">
        <v>1000012373</v>
      </c>
      <c r="F240" s="425" t="s">
        <v>539</v>
      </c>
      <c r="G240" s="426" t="s">
        <v>536</v>
      </c>
      <c r="H240" s="426">
        <v>1</v>
      </c>
      <c r="I240" s="427"/>
      <c r="J240" s="428" t="str">
        <f t="shared" si="1"/>
        <v>INCLUDED</v>
      </c>
    </row>
    <row r="241" spans="1:28" ht="31.5">
      <c r="A241" s="611">
        <v>48</v>
      </c>
      <c r="B241" s="426">
        <v>7000026864</v>
      </c>
      <c r="C241" s="426">
        <v>580</v>
      </c>
      <c r="D241" s="426" t="s">
        <v>580</v>
      </c>
      <c r="E241" s="426">
        <v>1000019912</v>
      </c>
      <c r="F241" s="425" t="s">
        <v>532</v>
      </c>
      <c r="G241" s="426" t="s">
        <v>506</v>
      </c>
      <c r="H241" s="426">
        <v>1</v>
      </c>
      <c r="I241" s="427"/>
      <c r="J241" s="428" t="str">
        <f t="shared" si="1"/>
        <v>INCLUDED</v>
      </c>
    </row>
    <row r="242" spans="1:28" ht="31.5">
      <c r="A242" s="611">
        <v>49</v>
      </c>
      <c r="B242" s="426">
        <v>7000026864</v>
      </c>
      <c r="C242" s="426">
        <v>590</v>
      </c>
      <c r="D242" s="426" t="s">
        <v>580</v>
      </c>
      <c r="E242" s="426">
        <v>1000062002</v>
      </c>
      <c r="F242" s="425" t="s">
        <v>710</v>
      </c>
      <c r="G242" s="426" t="s">
        <v>470</v>
      </c>
      <c r="H242" s="426">
        <v>1</v>
      </c>
      <c r="I242" s="427"/>
      <c r="J242" s="428" t="str">
        <f t="shared" si="1"/>
        <v>INCLUDED</v>
      </c>
    </row>
    <row r="243" spans="1:28" ht="31.5">
      <c r="A243" s="611">
        <v>50</v>
      </c>
      <c r="B243" s="426">
        <v>7000026864</v>
      </c>
      <c r="C243" s="426">
        <v>600</v>
      </c>
      <c r="D243" s="426" t="s">
        <v>580</v>
      </c>
      <c r="E243" s="426">
        <v>1000062004</v>
      </c>
      <c r="F243" s="425" t="s">
        <v>711</v>
      </c>
      <c r="G243" s="426" t="s">
        <v>470</v>
      </c>
      <c r="H243" s="426">
        <v>1</v>
      </c>
      <c r="I243" s="427"/>
      <c r="J243" s="428" t="str">
        <f t="shared" si="1"/>
        <v>INCLUDED</v>
      </c>
    </row>
    <row r="244" spans="1:28" ht="47.25">
      <c r="A244" s="611">
        <v>51</v>
      </c>
      <c r="B244" s="426">
        <v>7000026864</v>
      </c>
      <c r="C244" s="426">
        <v>610</v>
      </c>
      <c r="D244" s="426" t="s">
        <v>685</v>
      </c>
      <c r="E244" s="426">
        <v>1000010577</v>
      </c>
      <c r="F244" s="425" t="s">
        <v>712</v>
      </c>
      <c r="G244" s="426" t="s">
        <v>471</v>
      </c>
      <c r="H244" s="426">
        <v>1</v>
      </c>
      <c r="I244" s="427"/>
      <c r="J244" s="428" t="str">
        <f t="shared" si="1"/>
        <v>INCLUDED</v>
      </c>
    </row>
    <row r="245" spans="1:28" ht="31.5">
      <c r="A245" s="611">
        <v>52</v>
      </c>
      <c r="B245" s="426">
        <v>7000026864</v>
      </c>
      <c r="C245" s="426">
        <v>620</v>
      </c>
      <c r="D245" s="426" t="s">
        <v>686</v>
      </c>
      <c r="E245" s="426">
        <v>1000024186</v>
      </c>
      <c r="F245" s="425" t="s">
        <v>531</v>
      </c>
      <c r="G245" s="426" t="s">
        <v>506</v>
      </c>
      <c r="H245" s="426">
        <v>1</v>
      </c>
      <c r="I245" s="427"/>
      <c r="J245" s="428" t="str">
        <f t="shared" si="1"/>
        <v>INCLUDED</v>
      </c>
    </row>
    <row r="246" spans="1:28" ht="31.5">
      <c r="A246" s="611">
        <v>53</v>
      </c>
      <c r="B246" s="426">
        <v>7000026864</v>
      </c>
      <c r="C246" s="426">
        <v>630</v>
      </c>
      <c r="D246" s="426" t="s">
        <v>686</v>
      </c>
      <c r="E246" s="426">
        <v>1000025930</v>
      </c>
      <c r="F246" s="425" t="s">
        <v>551</v>
      </c>
      <c r="G246" s="426" t="s">
        <v>471</v>
      </c>
      <c r="H246" s="426">
        <v>1</v>
      </c>
      <c r="I246" s="427"/>
      <c r="J246" s="428" t="str">
        <f t="shared" si="1"/>
        <v>INCLUDED</v>
      </c>
    </row>
    <row r="247" spans="1:28" ht="31.5">
      <c r="A247" s="611">
        <v>54</v>
      </c>
      <c r="B247" s="426">
        <v>7000026864</v>
      </c>
      <c r="C247" s="426">
        <v>650</v>
      </c>
      <c r="D247" s="426" t="s">
        <v>687</v>
      </c>
      <c r="E247" s="426">
        <v>1000017518</v>
      </c>
      <c r="F247" s="425" t="s">
        <v>512</v>
      </c>
      <c r="G247" s="426" t="s">
        <v>470</v>
      </c>
      <c r="H247" s="426">
        <v>1</v>
      </c>
      <c r="I247" s="427"/>
      <c r="J247" s="428" t="str">
        <f t="shared" si="1"/>
        <v>INCLUDED</v>
      </c>
    </row>
    <row r="248" spans="1:28" ht="31.5">
      <c r="A248" s="611">
        <v>55</v>
      </c>
      <c r="B248" s="426">
        <v>7000026864</v>
      </c>
      <c r="C248" s="426">
        <v>660</v>
      </c>
      <c r="D248" s="426" t="s">
        <v>687</v>
      </c>
      <c r="E248" s="426">
        <v>1000022512</v>
      </c>
      <c r="F248" s="425" t="s">
        <v>513</v>
      </c>
      <c r="G248" s="426" t="s">
        <v>470</v>
      </c>
      <c r="H248" s="426">
        <v>1</v>
      </c>
      <c r="I248" s="427"/>
      <c r="J248" s="428" t="str">
        <f t="shared" si="1"/>
        <v>INCLUDED</v>
      </c>
    </row>
    <row r="249" spans="1:28" ht="31.5">
      <c r="A249" s="611">
        <v>56</v>
      </c>
      <c r="B249" s="426">
        <v>7000026864</v>
      </c>
      <c r="C249" s="426">
        <v>670</v>
      </c>
      <c r="D249" s="426" t="s">
        <v>687</v>
      </c>
      <c r="E249" s="426">
        <v>1000071061</v>
      </c>
      <c r="F249" s="425" t="s">
        <v>595</v>
      </c>
      <c r="G249" s="426" t="s">
        <v>470</v>
      </c>
      <c r="H249" s="426">
        <v>1</v>
      </c>
      <c r="I249" s="427"/>
      <c r="J249" s="428" t="str">
        <f t="shared" ref="J249:J250" si="5">IF(I249=0, "INCLUDED", IF(ISERROR(I249*H249), I249, I249*H249))</f>
        <v>INCLUDED</v>
      </c>
    </row>
    <row r="250" spans="1:28" ht="31.5">
      <c r="A250" s="611">
        <v>57</v>
      </c>
      <c r="B250" s="426">
        <v>7000026864</v>
      </c>
      <c r="C250" s="426">
        <v>680</v>
      </c>
      <c r="D250" s="426" t="s">
        <v>687</v>
      </c>
      <c r="E250" s="426">
        <v>1000071062</v>
      </c>
      <c r="F250" s="425" t="s">
        <v>596</v>
      </c>
      <c r="G250" s="426" t="s">
        <v>470</v>
      </c>
      <c r="H250" s="426">
        <v>1</v>
      </c>
      <c r="I250" s="427"/>
      <c r="J250" s="428" t="str">
        <f t="shared" si="5"/>
        <v>INCLUDED</v>
      </c>
    </row>
    <row r="251" spans="1:28" ht="31.5">
      <c r="A251" s="611">
        <v>58</v>
      </c>
      <c r="B251" s="426">
        <v>7000026864</v>
      </c>
      <c r="C251" s="426">
        <v>690</v>
      </c>
      <c r="D251" s="426" t="s">
        <v>687</v>
      </c>
      <c r="E251" s="426">
        <v>1000022487</v>
      </c>
      <c r="F251" s="425" t="s">
        <v>514</v>
      </c>
      <c r="G251" s="426" t="s">
        <v>470</v>
      </c>
      <c r="H251" s="426">
        <v>1</v>
      </c>
      <c r="I251" s="427"/>
      <c r="J251" s="428" t="str">
        <f t="shared" si="1"/>
        <v>INCLUDED</v>
      </c>
    </row>
    <row r="252" spans="1:28" ht="31.5">
      <c r="A252" s="611">
        <v>59</v>
      </c>
      <c r="B252" s="426">
        <v>7000026864</v>
      </c>
      <c r="C252" s="426">
        <v>700</v>
      </c>
      <c r="D252" s="426" t="s">
        <v>687</v>
      </c>
      <c r="E252" s="426">
        <v>1000030641</v>
      </c>
      <c r="F252" s="425" t="s">
        <v>597</v>
      </c>
      <c r="G252" s="426" t="s">
        <v>470</v>
      </c>
      <c r="H252" s="426">
        <v>2</v>
      </c>
      <c r="I252" s="427"/>
      <c r="J252" s="428" t="str">
        <f t="shared" si="1"/>
        <v>INCLUDED</v>
      </c>
    </row>
    <row r="253" spans="1:28" s="610" customFormat="1" ht="34.5" customHeight="1">
      <c r="A253" s="604" t="str">
        <f>'Sch-1'!A253</f>
        <v>IV</v>
      </c>
      <c r="B253" s="605" t="str">
        <f>'Sch-1'!B253</f>
        <v xml:space="preserve">Extension of 400kV Indore (PG) S/s </v>
      </c>
      <c r="C253" s="606"/>
      <c r="D253" s="607"/>
      <c r="E253" s="608"/>
      <c r="F253" s="608"/>
      <c r="G253" s="608"/>
      <c r="H253" s="608"/>
      <c r="I253" s="608"/>
      <c r="J253" s="608"/>
      <c r="K253" s="609"/>
      <c r="L253" s="609"/>
      <c r="M253" s="609"/>
      <c r="N253" s="609"/>
      <c r="O253" s="609"/>
      <c r="P253" s="609"/>
      <c r="Q253" s="609"/>
      <c r="R253" s="609"/>
      <c r="S253" s="609"/>
      <c r="T253" s="609"/>
      <c r="U253" s="609"/>
      <c r="V253" s="609"/>
      <c r="W253" s="609"/>
      <c r="X253" s="609"/>
      <c r="Y253" s="609"/>
      <c r="Z253" s="609"/>
      <c r="AA253" s="609"/>
      <c r="AB253" s="609"/>
    </row>
    <row r="254" spans="1:28" ht="31.5">
      <c r="A254" s="611">
        <v>1</v>
      </c>
      <c r="B254" s="426">
        <v>7000026863</v>
      </c>
      <c r="C254" s="426">
        <v>10</v>
      </c>
      <c r="D254" s="426" t="s">
        <v>565</v>
      </c>
      <c r="E254" s="426">
        <v>1000004498</v>
      </c>
      <c r="F254" s="425" t="s">
        <v>475</v>
      </c>
      <c r="G254" s="426" t="s">
        <v>470</v>
      </c>
      <c r="H254" s="426">
        <v>2</v>
      </c>
      <c r="I254" s="427"/>
      <c r="J254" s="428" t="str">
        <f t="shared" ref="J254:J316" si="6">IF(I254=0, "INCLUDED", IF(ISERROR(I254*H254), I254, I254*H254))</f>
        <v>INCLUDED</v>
      </c>
    </row>
    <row r="255" spans="1:28" ht="31.5">
      <c r="A255" s="611">
        <v>2</v>
      </c>
      <c r="B255" s="426">
        <v>7000026863</v>
      </c>
      <c r="C255" s="426">
        <v>20</v>
      </c>
      <c r="D255" s="426" t="s">
        <v>565</v>
      </c>
      <c r="E255" s="426">
        <v>1000004463</v>
      </c>
      <c r="F255" s="425" t="s">
        <v>474</v>
      </c>
      <c r="G255" s="426" t="s">
        <v>470</v>
      </c>
      <c r="H255" s="426">
        <v>3</v>
      </c>
      <c r="I255" s="427"/>
      <c r="J255" s="428" t="str">
        <f t="shared" si="6"/>
        <v>INCLUDED</v>
      </c>
    </row>
    <row r="256" spans="1:28" ht="31.5">
      <c r="A256" s="611">
        <v>3</v>
      </c>
      <c r="B256" s="426">
        <v>7000026863</v>
      </c>
      <c r="C256" s="426">
        <v>30</v>
      </c>
      <c r="D256" s="426" t="s">
        <v>565</v>
      </c>
      <c r="E256" s="426">
        <v>1000004535</v>
      </c>
      <c r="F256" s="425" t="s">
        <v>476</v>
      </c>
      <c r="G256" s="426" t="s">
        <v>470</v>
      </c>
      <c r="H256" s="426">
        <v>3</v>
      </c>
      <c r="I256" s="427"/>
      <c r="J256" s="428" t="str">
        <f t="shared" si="6"/>
        <v>INCLUDED</v>
      </c>
    </row>
    <row r="257" spans="1:10" ht="31.5">
      <c r="A257" s="611">
        <v>4</v>
      </c>
      <c r="B257" s="426">
        <v>7000026863</v>
      </c>
      <c r="C257" s="426">
        <v>40</v>
      </c>
      <c r="D257" s="426" t="s">
        <v>565</v>
      </c>
      <c r="E257" s="426">
        <v>1000020419</v>
      </c>
      <c r="F257" s="425" t="s">
        <v>477</v>
      </c>
      <c r="G257" s="426" t="s">
        <v>470</v>
      </c>
      <c r="H257" s="426">
        <v>3</v>
      </c>
      <c r="I257" s="427"/>
      <c r="J257" s="428" t="str">
        <f t="shared" si="6"/>
        <v>INCLUDED</v>
      </c>
    </row>
    <row r="258" spans="1:10" ht="31.5">
      <c r="A258" s="611">
        <v>5</v>
      </c>
      <c r="B258" s="426">
        <v>7000026863</v>
      </c>
      <c r="C258" s="426">
        <v>50</v>
      </c>
      <c r="D258" s="426" t="s">
        <v>565</v>
      </c>
      <c r="E258" s="426">
        <v>1000004401</v>
      </c>
      <c r="F258" s="425" t="s">
        <v>478</v>
      </c>
      <c r="G258" s="426" t="s">
        <v>470</v>
      </c>
      <c r="H258" s="426">
        <v>6</v>
      </c>
      <c r="I258" s="427"/>
      <c r="J258" s="428" t="str">
        <f t="shared" si="6"/>
        <v>INCLUDED</v>
      </c>
    </row>
    <row r="259" spans="1:10" ht="31.5">
      <c r="A259" s="611">
        <v>6</v>
      </c>
      <c r="B259" s="426">
        <v>7000026863</v>
      </c>
      <c r="C259" s="426">
        <v>60</v>
      </c>
      <c r="D259" s="426" t="s">
        <v>565</v>
      </c>
      <c r="E259" s="426">
        <v>1000004290</v>
      </c>
      <c r="F259" s="425" t="s">
        <v>489</v>
      </c>
      <c r="G259" s="426" t="s">
        <v>470</v>
      </c>
      <c r="H259" s="426">
        <v>2</v>
      </c>
      <c r="I259" s="427"/>
      <c r="J259" s="428" t="str">
        <f t="shared" si="6"/>
        <v>INCLUDED</v>
      </c>
    </row>
    <row r="260" spans="1:10" ht="31.5">
      <c r="A260" s="611">
        <v>7</v>
      </c>
      <c r="B260" s="426">
        <v>7000026863</v>
      </c>
      <c r="C260" s="426">
        <v>70</v>
      </c>
      <c r="D260" s="426" t="s">
        <v>565</v>
      </c>
      <c r="E260" s="426">
        <v>1000004400</v>
      </c>
      <c r="F260" s="425" t="s">
        <v>490</v>
      </c>
      <c r="G260" s="426" t="s">
        <v>470</v>
      </c>
      <c r="H260" s="426">
        <v>6</v>
      </c>
      <c r="I260" s="427"/>
      <c r="J260" s="428" t="str">
        <f t="shared" si="6"/>
        <v>INCLUDED</v>
      </c>
    </row>
    <row r="261" spans="1:10" ht="31.5">
      <c r="A261" s="611">
        <v>8</v>
      </c>
      <c r="B261" s="426">
        <v>7000026863</v>
      </c>
      <c r="C261" s="426">
        <v>80</v>
      </c>
      <c r="D261" s="426" t="s">
        <v>565</v>
      </c>
      <c r="E261" s="426">
        <v>1000004501</v>
      </c>
      <c r="F261" s="425" t="s">
        <v>472</v>
      </c>
      <c r="G261" s="426" t="s">
        <v>470</v>
      </c>
      <c r="H261" s="426">
        <v>1</v>
      </c>
      <c r="I261" s="427"/>
      <c r="J261" s="428" t="str">
        <f t="shared" si="6"/>
        <v>INCLUDED</v>
      </c>
    </row>
    <row r="262" spans="1:10" ht="31.5">
      <c r="A262" s="611">
        <v>9</v>
      </c>
      <c r="B262" s="426">
        <v>7000026863</v>
      </c>
      <c r="C262" s="426">
        <v>100</v>
      </c>
      <c r="D262" s="426" t="s">
        <v>566</v>
      </c>
      <c r="E262" s="426">
        <v>1000011322</v>
      </c>
      <c r="F262" s="425" t="s">
        <v>483</v>
      </c>
      <c r="G262" s="426" t="s">
        <v>471</v>
      </c>
      <c r="H262" s="426">
        <v>1</v>
      </c>
      <c r="I262" s="427"/>
      <c r="J262" s="428" t="str">
        <f t="shared" si="6"/>
        <v>INCLUDED</v>
      </c>
    </row>
    <row r="263" spans="1:10" ht="31.5">
      <c r="A263" s="611">
        <v>10</v>
      </c>
      <c r="B263" s="426">
        <v>7000026863</v>
      </c>
      <c r="C263" s="426">
        <v>110</v>
      </c>
      <c r="D263" s="426" t="s">
        <v>566</v>
      </c>
      <c r="E263" s="426">
        <v>1000055986</v>
      </c>
      <c r="F263" s="425" t="s">
        <v>484</v>
      </c>
      <c r="G263" s="426" t="s">
        <v>470</v>
      </c>
      <c r="H263" s="426">
        <v>6</v>
      </c>
      <c r="I263" s="427"/>
      <c r="J263" s="428" t="str">
        <f t="shared" si="6"/>
        <v>INCLUDED</v>
      </c>
    </row>
    <row r="264" spans="1:10" ht="31.5">
      <c r="A264" s="611">
        <v>11</v>
      </c>
      <c r="B264" s="426">
        <v>7000026863</v>
      </c>
      <c r="C264" s="426">
        <v>120</v>
      </c>
      <c r="D264" s="426" t="s">
        <v>566</v>
      </c>
      <c r="E264" s="426">
        <v>1000055991</v>
      </c>
      <c r="F264" s="425" t="s">
        <v>482</v>
      </c>
      <c r="G264" s="426" t="s">
        <v>470</v>
      </c>
      <c r="H264" s="426">
        <v>6</v>
      </c>
      <c r="I264" s="427"/>
      <c r="J264" s="428" t="str">
        <f t="shared" si="6"/>
        <v>INCLUDED</v>
      </c>
    </row>
    <row r="265" spans="1:10" ht="31.5">
      <c r="A265" s="611">
        <v>12</v>
      </c>
      <c r="B265" s="426">
        <v>7000026863</v>
      </c>
      <c r="C265" s="426">
        <v>130</v>
      </c>
      <c r="D265" s="426" t="s">
        <v>566</v>
      </c>
      <c r="E265" s="426">
        <v>1000055984</v>
      </c>
      <c r="F265" s="425" t="s">
        <v>481</v>
      </c>
      <c r="G265" s="426" t="s">
        <v>470</v>
      </c>
      <c r="H265" s="426">
        <v>3</v>
      </c>
      <c r="I265" s="427"/>
      <c r="J265" s="428" t="str">
        <f t="shared" si="6"/>
        <v>INCLUDED</v>
      </c>
    </row>
    <row r="266" spans="1:10">
      <c r="A266" s="611">
        <v>13</v>
      </c>
      <c r="B266" s="426">
        <v>7000026863</v>
      </c>
      <c r="C266" s="426">
        <v>150</v>
      </c>
      <c r="D266" s="426" t="s">
        <v>713</v>
      </c>
      <c r="E266" s="426">
        <v>1000003398</v>
      </c>
      <c r="F266" s="425" t="s">
        <v>487</v>
      </c>
      <c r="G266" s="426" t="s">
        <v>470</v>
      </c>
      <c r="H266" s="426">
        <v>1</v>
      </c>
      <c r="I266" s="427"/>
      <c r="J266" s="428" t="str">
        <f t="shared" si="6"/>
        <v>INCLUDED</v>
      </c>
    </row>
    <row r="267" spans="1:10">
      <c r="A267" s="611">
        <v>14</v>
      </c>
      <c r="B267" s="426">
        <v>7000026863</v>
      </c>
      <c r="C267" s="426">
        <v>160</v>
      </c>
      <c r="D267" s="426" t="s">
        <v>713</v>
      </c>
      <c r="E267" s="426">
        <v>1000055446</v>
      </c>
      <c r="F267" s="425" t="s">
        <v>547</v>
      </c>
      <c r="G267" s="426" t="s">
        <v>470</v>
      </c>
      <c r="H267" s="426">
        <v>1</v>
      </c>
      <c r="I267" s="427"/>
      <c r="J267" s="428" t="str">
        <f t="shared" si="6"/>
        <v>INCLUDED</v>
      </c>
    </row>
    <row r="268" spans="1:10" ht="31.5">
      <c r="A268" s="611">
        <v>15</v>
      </c>
      <c r="B268" s="426">
        <v>7000026863</v>
      </c>
      <c r="C268" s="426">
        <v>170</v>
      </c>
      <c r="D268" s="426" t="s">
        <v>713</v>
      </c>
      <c r="E268" s="426">
        <v>1000064768</v>
      </c>
      <c r="F268" s="425" t="s">
        <v>584</v>
      </c>
      <c r="G268" s="426" t="s">
        <v>470</v>
      </c>
      <c r="H268" s="426">
        <v>1</v>
      </c>
      <c r="I268" s="427"/>
      <c r="J268" s="428" t="str">
        <f t="shared" si="6"/>
        <v>INCLUDED</v>
      </c>
    </row>
    <row r="269" spans="1:10">
      <c r="A269" s="611">
        <v>16</v>
      </c>
      <c r="B269" s="426">
        <v>7000026863</v>
      </c>
      <c r="C269" s="426">
        <v>190</v>
      </c>
      <c r="D269" s="426" t="s">
        <v>542</v>
      </c>
      <c r="E269" s="426">
        <v>1000010014</v>
      </c>
      <c r="F269" s="425" t="s">
        <v>491</v>
      </c>
      <c r="G269" s="426" t="s">
        <v>471</v>
      </c>
      <c r="H269" s="426">
        <v>2</v>
      </c>
      <c r="I269" s="427"/>
      <c r="J269" s="428" t="str">
        <f t="shared" si="6"/>
        <v>INCLUDED</v>
      </c>
    </row>
    <row r="270" spans="1:10">
      <c r="A270" s="611">
        <v>17</v>
      </c>
      <c r="B270" s="426">
        <v>7000026863</v>
      </c>
      <c r="C270" s="426">
        <v>200</v>
      </c>
      <c r="D270" s="426" t="s">
        <v>542</v>
      </c>
      <c r="E270" s="426">
        <v>1000028380</v>
      </c>
      <c r="F270" s="425" t="s">
        <v>586</v>
      </c>
      <c r="G270" s="426" t="s">
        <v>470</v>
      </c>
      <c r="H270" s="426">
        <v>2</v>
      </c>
      <c r="I270" s="427"/>
      <c r="J270" s="428" t="str">
        <f t="shared" si="6"/>
        <v>INCLUDED</v>
      </c>
    </row>
    <row r="271" spans="1:10">
      <c r="A271" s="611">
        <v>18</v>
      </c>
      <c r="B271" s="426">
        <v>7000026863</v>
      </c>
      <c r="C271" s="426">
        <v>210</v>
      </c>
      <c r="D271" s="426" t="s">
        <v>542</v>
      </c>
      <c r="E271" s="426">
        <v>1000017887</v>
      </c>
      <c r="F271" s="425" t="s">
        <v>494</v>
      </c>
      <c r="G271" s="426" t="s">
        <v>470</v>
      </c>
      <c r="H271" s="426">
        <v>2</v>
      </c>
      <c r="I271" s="427"/>
      <c r="J271" s="428" t="str">
        <f t="shared" si="6"/>
        <v>INCLUDED</v>
      </c>
    </row>
    <row r="272" spans="1:10">
      <c r="A272" s="611">
        <v>19</v>
      </c>
      <c r="B272" s="426">
        <v>7000026863</v>
      </c>
      <c r="C272" s="426">
        <v>220</v>
      </c>
      <c r="D272" s="426" t="s">
        <v>542</v>
      </c>
      <c r="E272" s="426">
        <v>1000010638</v>
      </c>
      <c r="F272" s="425" t="s">
        <v>492</v>
      </c>
      <c r="G272" s="426" t="s">
        <v>470</v>
      </c>
      <c r="H272" s="426">
        <v>2</v>
      </c>
      <c r="I272" s="427"/>
      <c r="J272" s="428" t="str">
        <f t="shared" si="6"/>
        <v>INCLUDED</v>
      </c>
    </row>
    <row r="273" spans="1:10">
      <c r="A273" s="611">
        <v>20</v>
      </c>
      <c r="B273" s="426">
        <v>7000026863</v>
      </c>
      <c r="C273" s="426">
        <v>230</v>
      </c>
      <c r="D273" s="426" t="s">
        <v>542</v>
      </c>
      <c r="E273" s="426">
        <v>1000036908</v>
      </c>
      <c r="F273" s="425" t="s">
        <v>587</v>
      </c>
      <c r="G273" s="426" t="s">
        <v>493</v>
      </c>
      <c r="H273" s="426">
        <v>1</v>
      </c>
      <c r="I273" s="427"/>
      <c r="J273" s="428" t="str">
        <f t="shared" si="6"/>
        <v>INCLUDED</v>
      </c>
    </row>
    <row r="274" spans="1:10" ht="47.25">
      <c r="A274" s="611">
        <v>21</v>
      </c>
      <c r="B274" s="426">
        <v>7000026863</v>
      </c>
      <c r="C274" s="426">
        <v>250</v>
      </c>
      <c r="D274" s="426" t="s">
        <v>568</v>
      </c>
      <c r="E274" s="426">
        <v>1000006284</v>
      </c>
      <c r="F274" s="425" t="s">
        <v>502</v>
      </c>
      <c r="G274" s="426" t="s">
        <v>471</v>
      </c>
      <c r="H274" s="426">
        <v>1</v>
      </c>
      <c r="I274" s="427"/>
      <c r="J274" s="428" t="str">
        <f t="shared" si="6"/>
        <v>INCLUDED</v>
      </c>
    </row>
    <row r="275" spans="1:10" ht="47.25">
      <c r="A275" s="611">
        <v>22</v>
      </c>
      <c r="B275" s="426">
        <v>7000026863</v>
      </c>
      <c r="C275" s="426">
        <v>260</v>
      </c>
      <c r="D275" s="426" t="s">
        <v>568</v>
      </c>
      <c r="E275" s="426">
        <v>1000012022</v>
      </c>
      <c r="F275" s="425" t="s">
        <v>504</v>
      </c>
      <c r="G275" s="426" t="s">
        <v>470</v>
      </c>
      <c r="H275" s="426">
        <v>1</v>
      </c>
      <c r="I275" s="427"/>
      <c r="J275" s="428" t="str">
        <f t="shared" si="6"/>
        <v>INCLUDED</v>
      </c>
    </row>
    <row r="276" spans="1:10" ht="47.25">
      <c r="A276" s="611">
        <v>23</v>
      </c>
      <c r="B276" s="426">
        <v>7000026863</v>
      </c>
      <c r="C276" s="426">
        <v>270</v>
      </c>
      <c r="D276" s="426" t="s">
        <v>568</v>
      </c>
      <c r="E276" s="426">
        <v>1000012018</v>
      </c>
      <c r="F276" s="425" t="s">
        <v>503</v>
      </c>
      <c r="G276" s="426" t="s">
        <v>471</v>
      </c>
      <c r="H276" s="426">
        <v>1</v>
      </c>
      <c r="I276" s="427"/>
      <c r="J276" s="428" t="str">
        <f t="shared" si="6"/>
        <v>INCLUDED</v>
      </c>
    </row>
    <row r="277" spans="1:10" ht="47.25">
      <c r="A277" s="611">
        <v>24</v>
      </c>
      <c r="B277" s="426">
        <v>7000026863</v>
      </c>
      <c r="C277" s="426">
        <v>280</v>
      </c>
      <c r="D277" s="426" t="s">
        <v>568</v>
      </c>
      <c r="E277" s="426">
        <v>1000013795</v>
      </c>
      <c r="F277" s="425" t="s">
        <v>507</v>
      </c>
      <c r="G277" s="426" t="s">
        <v>506</v>
      </c>
      <c r="H277" s="426">
        <v>1</v>
      </c>
      <c r="I277" s="427"/>
      <c r="J277" s="428" t="str">
        <f t="shared" si="6"/>
        <v>INCLUDED</v>
      </c>
    </row>
    <row r="278" spans="1:10">
      <c r="A278" s="611">
        <v>25</v>
      </c>
      <c r="B278" s="426">
        <v>7000026863</v>
      </c>
      <c r="C278" s="426">
        <v>300</v>
      </c>
      <c r="D278" s="426" t="s">
        <v>570</v>
      </c>
      <c r="E278" s="426">
        <v>1000032055</v>
      </c>
      <c r="F278" s="425" t="s">
        <v>511</v>
      </c>
      <c r="G278" s="426" t="s">
        <v>493</v>
      </c>
      <c r="H278" s="426">
        <v>0.5</v>
      </c>
      <c r="I278" s="427"/>
      <c r="J278" s="428" t="str">
        <f t="shared" si="6"/>
        <v>INCLUDED</v>
      </c>
    </row>
    <row r="279" spans="1:10" ht="47.25">
      <c r="A279" s="611">
        <v>26</v>
      </c>
      <c r="B279" s="426">
        <v>7000026863</v>
      </c>
      <c r="C279" s="426">
        <v>320</v>
      </c>
      <c r="D279" s="426" t="s">
        <v>569</v>
      </c>
      <c r="E279" s="426">
        <v>1000038387</v>
      </c>
      <c r="F279" s="425" t="s">
        <v>550</v>
      </c>
      <c r="G279" s="426" t="s">
        <v>470</v>
      </c>
      <c r="H279" s="426">
        <v>5</v>
      </c>
      <c r="I279" s="427"/>
      <c r="J279" s="428" t="str">
        <f t="shared" si="6"/>
        <v>INCLUDED</v>
      </c>
    </row>
    <row r="280" spans="1:10" ht="47.25">
      <c r="A280" s="611">
        <v>27</v>
      </c>
      <c r="B280" s="426">
        <v>7000026863</v>
      </c>
      <c r="C280" s="426">
        <v>330</v>
      </c>
      <c r="D280" s="426" t="s">
        <v>569</v>
      </c>
      <c r="E280" s="426">
        <v>1000038325</v>
      </c>
      <c r="F280" s="425" t="s">
        <v>509</v>
      </c>
      <c r="G280" s="426" t="s">
        <v>470</v>
      </c>
      <c r="H280" s="426">
        <v>5</v>
      </c>
      <c r="I280" s="427"/>
      <c r="J280" s="428" t="str">
        <f t="shared" si="6"/>
        <v>INCLUDED</v>
      </c>
    </row>
    <row r="281" spans="1:10" ht="47.25">
      <c r="A281" s="611">
        <v>28</v>
      </c>
      <c r="B281" s="426">
        <v>7000026863</v>
      </c>
      <c r="C281" s="426">
        <v>340</v>
      </c>
      <c r="D281" s="426" t="s">
        <v>569</v>
      </c>
      <c r="E281" s="426">
        <v>1000020262</v>
      </c>
      <c r="F281" s="425" t="s">
        <v>588</v>
      </c>
      <c r="G281" s="426" t="s">
        <v>470</v>
      </c>
      <c r="H281" s="426">
        <v>2</v>
      </c>
      <c r="I281" s="427"/>
      <c r="J281" s="428" t="str">
        <f t="shared" si="6"/>
        <v>INCLUDED</v>
      </c>
    </row>
    <row r="282" spans="1:10" ht="47.25">
      <c r="A282" s="611">
        <v>29</v>
      </c>
      <c r="B282" s="426">
        <v>7000026863</v>
      </c>
      <c r="C282" s="426">
        <v>350</v>
      </c>
      <c r="D282" s="426" t="s">
        <v>569</v>
      </c>
      <c r="E282" s="426">
        <v>1000014547</v>
      </c>
      <c r="F282" s="425" t="s">
        <v>508</v>
      </c>
      <c r="G282" s="426" t="s">
        <v>470</v>
      </c>
      <c r="H282" s="426">
        <v>1</v>
      </c>
      <c r="I282" s="427"/>
      <c r="J282" s="428" t="str">
        <f t="shared" si="6"/>
        <v>INCLUDED</v>
      </c>
    </row>
    <row r="283" spans="1:10" ht="31.5">
      <c r="A283" s="611">
        <v>30</v>
      </c>
      <c r="B283" s="426">
        <v>7000026863</v>
      </c>
      <c r="C283" s="426">
        <v>370</v>
      </c>
      <c r="D283" s="426" t="s">
        <v>576</v>
      </c>
      <c r="E283" s="426">
        <v>1000031964</v>
      </c>
      <c r="F283" s="425" t="s">
        <v>515</v>
      </c>
      <c r="G283" s="426" t="s">
        <v>493</v>
      </c>
      <c r="H283" s="426">
        <v>1</v>
      </c>
      <c r="I283" s="427"/>
      <c r="J283" s="428" t="str">
        <f t="shared" si="6"/>
        <v>INCLUDED</v>
      </c>
    </row>
    <row r="284" spans="1:10" ht="31.5">
      <c r="A284" s="611">
        <v>31</v>
      </c>
      <c r="B284" s="426">
        <v>7000026863</v>
      </c>
      <c r="C284" s="426">
        <v>380</v>
      </c>
      <c r="D284" s="426" t="s">
        <v>576</v>
      </c>
      <c r="E284" s="426">
        <v>1000031987</v>
      </c>
      <c r="F284" s="425" t="s">
        <v>516</v>
      </c>
      <c r="G284" s="426" t="s">
        <v>493</v>
      </c>
      <c r="H284" s="426">
        <v>2</v>
      </c>
      <c r="I284" s="427"/>
      <c r="J284" s="428" t="str">
        <f t="shared" si="6"/>
        <v>INCLUDED</v>
      </c>
    </row>
    <row r="285" spans="1:10" ht="31.5">
      <c r="A285" s="611">
        <v>32</v>
      </c>
      <c r="B285" s="426">
        <v>7000026863</v>
      </c>
      <c r="C285" s="426">
        <v>390</v>
      </c>
      <c r="D285" s="426" t="s">
        <v>576</v>
      </c>
      <c r="E285" s="426">
        <v>1000031887</v>
      </c>
      <c r="F285" s="425" t="s">
        <v>517</v>
      </c>
      <c r="G285" s="426" t="s">
        <v>493</v>
      </c>
      <c r="H285" s="426">
        <v>1</v>
      </c>
      <c r="I285" s="427"/>
      <c r="J285" s="428" t="str">
        <f t="shared" si="6"/>
        <v>INCLUDED</v>
      </c>
    </row>
    <row r="286" spans="1:10" ht="31.5">
      <c r="A286" s="611">
        <v>33</v>
      </c>
      <c r="B286" s="426">
        <v>7000026863</v>
      </c>
      <c r="C286" s="426">
        <v>400</v>
      </c>
      <c r="D286" s="426" t="s">
        <v>576</v>
      </c>
      <c r="E286" s="426">
        <v>1000056264</v>
      </c>
      <c r="F286" s="425" t="s">
        <v>519</v>
      </c>
      <c r="G286" s="426" t="s">
        <v>493</v>
      </c>
      <c r="H286" s="426">
        <v>1</v>
      </c>
      <c r="I286" s="427"/>
      <c r="J286" s="428" t="str">
        <f t="shared" si="6"/>
        <v>INCLUDED</v>
      </c>
    </row>
    <row r="287" spans="1:10" ht="31.5">
      <c r="A287" s="611">
        <v>34</v>
      </c>
      <c r="B287" s="426">
        <v>7000026863</v>
      </c>
      <c r="C287" s="426">
        <v>410</v>
      </c>
      <c r="D287" s="426" t="s">
        <v>576</v>
      </c>
      <c r="E287" s="426">
        <v>1000056265</v>
      </c>
      <c r="F287" s="425" t="s">
        <v>520</v>
      </c>
      <c r="G287" s="426" t="s">
        <v>493</v>
      </c>
      <c r="H287" s="426">
        <v>1</v>
      </c>
      <c r="I287" s="427"/>
      <c r="J287" s="428" t="str">
        <f t="shared" si="6"/>
        <v>INCLUDED</v>
      </c>
    </row>
    <row r="288" spans="1:10" ht="31.5">
      <c r="A288" s="611">
        <v>35</v>
      </c>
      <c r="B288" s="426">
        <v>7000026863</v>
      </c>
      <c r="C288" s="426">
        <v>420</v>
      </c>
      <c r="D288" s="426" t="s">
        <v>576</v>
      </c>
      <c r="E288" s="426">
        <v>1000032049</v>
      </c>
      <c r="F288" s="425" t="s">
        <v>590</v>
      </c>
      <c r="G288" s="426" t="s">
        <v>493</v>
      </c>
      <c r="H288" s="426">
        <v>0.5</v>
      </c>
      <c r="I288" s="427"/>
      <c r="J288" s="428" t="str">
        <f t="shared" si="6"/>
        <v>INCLUDED</v>
      </c>
    </row>
    <row r="289" spans="1:10" ht="31.5">
      <c r="A289" s="611">
        <v>36</v>
      </c>
      <c r="B289" s="426">
        <v>7000026863</v>
      </c>
      <c r="C289" s="426">
        <v>430</v>
      </c>
      <c r="D289" s="426" t="s">
        <v>576</v>
      </c>
      <c r="E289" s="426">
        <v>1000031957</v>
      </c>
      <c r="F289" s="425" t="s">
        <v>522</v>
      </c>
      <c r="G289" s="426" t="s">
        <v>493</v>
      </c>
      <c r="H289" s="426">
        <v>1</v>
      </c>
      <c r="I289" s="427"/>
      <c r="J289" s="428" t="str">
        <f t="shared" ref="J289:J297" si="7">IF(I289=0, "INCLUDED", IF(ISERROR(I289*H289), I289, I289*H289))</f>
        <v>INCLUDED</v>
      </c>
    </row>
    <row r="290" spans="1:10" ht="31.5">
      <c r="A290" s="611">
        <v>37</v>
      </c>
      <c r="B290" s="426">
        <v>7000026863</v>
      </c>
      <c r="C290" s="426">
        <v>440</v>
      </c>
      <c r="D290" s="426" t="s">
        <v>576</v>
      </c>
      <c r="E290" s="426">
        <v>1000031985</v>
      </c>
      <c r="F290" s="425" t="s">
        <v>525</v>
      </c>
      <c r="G290" s="426" t="s">
        <v>493</v>
      </c>
      <c r="H290" s="426">
        <v>1</v>
      </c>
      <c r="I290" s="427"/>
      <c r="J290" s="428" t="str">
        <f t="shared" si="7"/>
        <v>INCLUDED</v>
      </c>
    </row>
    <row r="291" spans="1:10">
      <c r="A291" s="611">
        <v>38</v>
      </c>
      <c r="B291" s="426">
        <v>7000026863</v>
      </c>
      <c r="C291" s="426">
        <v>450</v>
      </c>
      <c r="D291" s="426" t="s">
        <v>572</v>
      </c>
      <c r="E291" s="426">
        <v>1000019918</v>
      </c>
      <c r="F291" s="425" t="s">
        <v>527</v>
      </c>
      <c r="G291" s="426" t="s">
        <v>506</v>
      </c>
      <c r="H291" s="426">
        <v>1</v>
      </c>
      <c r="I291" s="427"/>
      <c r="J291" s="428" t="str">
        <f t="shared" si="7"/>
        <v>INCLUDED</v>
      </c>
    </row>
    <row r="292" spans="1:10" ht="31.5">
      <c r="A292" s="611">
        <v>39</v>
      </c>
      <c r="B292" s="426">
        <v>7000026641</v>
      </c>
      <c r="C292" s="426">
        <v>10</v>
      </c>
      <c r="D292" s="426" t="s">
        <v>573</v>
      </c>
      <c r="E292" s="426">
        <v>1000019919</v>
      </c>
      <c r="F292" s="425" t="s">
        <v>528</v>
      </c>
      <c r="G292" s="426" t="s">
        <v>506</v>
      </c>
      <c r="H292" s="426">
        <v>1</v>
      </c>
      <c r="I292" s="427"/>
      <c r="J292" s="428" t="str">
        <f t="shared" si="7"/>
        <v>INCLUDED</v>
      </c>
    </row>
    <row r="293" spans="1:10">
      <c r="A293" s="611">
        <v>40</v>
      </c>
      <c r="B293" s="426">
        <v>7000026863</v>
      </c>
      <c r="C293" s="426">
        <v>460</v>
      </c>
      <c r="D293" s="426" t="s">
        <v>574</v>
      </c>
      <c r="E293" s="426">
        <v>1000025941</v>
      </c>
      <c r="F293" s="425" t="s">
        <v>529</v>
      </c>
      <c r="G293" s="426" t="s">
        <v>471</v>
      </c>
      <c r="H293" s="426">
        <v>1</v>
      </c>
      <c r="I293" s="427"/>
      <c r="J293" s="428" t="str">
        <f t="shared" si="7"/>
        <v>INCLUDED</v>
      </c>
    </row>
    <row r="294" spans="1:10">
      <c r="A294" s="611">
        <v>41</v>
      </c>
      <c r="B294" s="426">
        <v>7000026641</v>
      </c>
      <c r="C294" s="426">
        <v>20</v>
      </c>
      <c r="D294" s="426" t="s">
        <v>575</v>
      </c>
      <c r="E294" s="426">
        <v>1000024186</v>
      </c>
      <c r="F294" s="425" t="s">
        <v>531</v>
      </c>
      <c r="G294" s="426" t="s">
        <v>506</v>
      </c>
      <c r="H294" s="426">
        <v>1</v>
      </c>
      <c r="I294" s="427"/>
      <c r="J294" s="428" t="str">
        <f t="shared" si="7"/>
        <v>INCLUDED</v>
      </c>
    </row>
    <row r="295" spans="1:10" ht="47.25">
      <c r="A295" s="611">
        <v>42</v>
      </c>
      <c r="B295" s="426">
        <v>7000026863</v>
      </c>
      <c r="C295" s="426">
        <v>470</v>
      </c>
      <c r="D295" s="426" t="s">
        <v>714</v>
      </c>
      <c r="E295" s="426">
        <v>1000015954</v>
      </c>
      <c r="F295" s="425" t="s">
        <v>537</v>
      </c>
      <c r="G295" s="426" t="s">
        <v>536</v>
      </c>
      <c r="H295" s="426">
        <v>20</v>
      </c>
      <c r="I295" s="427"/>
      <c r="J295" s="428" t="str">
        <f t="shared" si="7"/>
        <v>INCLUDED</v>
      </c>
    </row>
    <row r="296" spans="1:10" ht="31.5">
      <c r="A296" s="611">
        <v>43</v>
      </c>
      <c r="B296" s="426">
        <v>7000026863</v>
      </c>
      <c r="C296" s="426">
        <v>480</v>
      </c>
      <c r="D296" s="426" t="s">
        <v>714</v>
      </c>
      <c r="E296" s="426">
        <v>1000011713</v>
      </c>
      <c r="F296" s="425" t="s">
        <v>538</v>
      </c>
      <c r="G296" s="426" t="s">
        <v>536</v>
      </c>
      <c r="H296" s="426">
        <v>2</v>
      </c>
      <c r="I296" s="427"/>
      <c r="J296" s="428" t="str">
        <f t="shared" si="7"/>
        <v>INCLUDED</v>
      </c>
    </row>
    <row r="297" spans="1:10" ht="31.5">
      <c r="A297" s="611">
        <v>44</v>
      </c>
      <c r="B297" s="426">
        <v>7000026863</v>
      </c>
      <c r="C297" s="426">
        <v>490</v>
      </c>
      <c r="D297" s="426" t="s">
        <v>714</v>
      </c>
      <c r="E297" s="426">
        <v>1000012373</v>
      </c>
      <c r="F297" s="425" t="s">
        <v>539</v>
      </c>
      <c r="G297" s="426" t="s">
        <v>536</v>
      </c>
      <c r="H297" s="426">
        <v>2</v>
      </c>
      <c r="I297" s="427"/>
      <c r="J297" s="428" t="str">
        <f t="shared" si="7"/>
        <v>INCLUDED</v>
      </c>
    </row>
    <row r="298" spans="1:10" ht="78.75">
      <c r="A298" s="611">
        <v>45</v>
      </c>
      <c r="B298" s="426">
        <v>7000026863</v>
      </c>
      <c r="C298" s="426">
        <v>520</v>
      </c>
      <c r="D298" s="426" t="s">
        <v>578</v>
      </c>
      <c r="E298" s="426">
        <v>1000031367</v>
      </c>
      <c r="F298" s="425" t="s">
        <v>495</v>
      </c>
      <c r="G298" s="426" t="s">
        <v>470</v>
      </c>
      <c r="H298" s="426">
        <v>1</v>
      </c>
      <c r="I298" s="427"/>
      <c r="J298" s="428" t="str">
        <f t="shared" si="6"/>
        <v>INCLUDED</v>
      </c>
    </row>
    <row r="299" spans="1:10" ht="31.5">
      <c r="A299" s="611">
        <v>46</v>
      </c>
      <c r="B299" s="426">
        <v>7000026863</v>
      </c>
      <c r="C299" s="426">
        <v>530</v>
      </c>
      <c r="D299" s="426" t="s">
        <v>578</v>
      </c>
      <c r="E299" s="426">
        <v>1000018706</v>
      </c>
      <c r="F299" s="425" t="s">
        <v>501</v>
      </c>
      <c r="G299" s="426" t="s">
        <v>470</v>
      </c>
      <c r="H299" s="426">
        <v>4</v>
      </c>
      <c r="I299" s="427"/>
      <c r="J299" s="428" t="str">
        <f t="shared" si="6"/>
        <v>INCLUDED</v>
      </c>
    </row>
    <row r="300" spans="1:10" ht="31.5">
      <c r="A300" s="611">
        <v>47</v>
      </c>
      <c r="B300" s="426">
        <v>7000026863</v>
      </c>
      <c r="C300" s="426">
        <v>540</v>
      </c>
      <c r="D300" s="426" t="s">
        <v>578</v>
      </c>
      <c r="E300" s="426">
        <v>1000031374</v>
      </c>
      <c r="F300" s="425" t="s">
        <v>496</v>
      </c>
      <c r="G300" s="426" t="s">
        <v>471</v>
      </c>
      <c r="H300" s="426">
        <v>2</v>
      </c>
      <c r="I300" s="427"/>
      <c r="J300" s="428" t="str">
        <f t="shared" si="6"/>
        <v>INCLUDED</v>
      </c>
    </row>
    <row r="301" spans="1:10" ht="31.5">
      <c r="A301" s="611">
        <v>48</v>
      </c>
      <c r="B301" s="426">
        <v>7000026863</v>
      </c>
      <c r="C301" s="426">
        <v>550</v>
      </c>
      <c r="D301" s="426" t="s">
        <v>578</v>
      </c>
      <c r="E301" s="426">
        <v>1000034950</v>
      </c>
      <c r="F301" s="425" t="s">
        <v>497</v>
      </c>
      <c r="G301" s="426" t="s">
        <v>470</v>
      </c>
      <c r="H301" s="426">
        <v>2</v>
      </c>
      <c r="I301" s="427"/>
      <c r="J301" s="428" t="str">
        <f t="shared" si="6"/>
        <v>INCLUDED</v>
      </c>
    </row>
    <row r="302" spans="1:10" ht="31.5">
      <c r="A302" s="611">
        <v>49</v>
      </c>
      <c r="B302" s="426">
        <v>7000026863</v>
      </c>
      <c r="C302" s="426">
        <v>560</v>
      </c>
      <c r="D302" s="426" t="s">
        <v>578</v>
      </c>
      <c r="E302" s="426">
        <v>1000031381</v>
      </c>
      <c r="F302" s="425" t="s">
        <v>498</v>
      </c>
      <c r="G302" s="426" t="s">
        <v>471</v>
      </c>
      <c r="H302" s="426">
        <v>1</v>
      </c>
      <c r="I302" s="427"/>
      <c r="J302" s="428" t="str">
        <f t="shared" si="6"/>
        <v>INCLUDED</v>
      </c>
    </row>
    <row r="303" spans="1:10" ht="31.5">
      <c r="A303" s="611">
        <v>50</v>
      </c>
      <c r="B303" s="426">
        <v>7000026863</v>
      </c>
      <c r="C303" s="426">
        <v>570</v>
      </c>
      <c r="D303" s="426" t="s">
        <v>578</v>
      </c>
      <c r="E303" s="426">
        <v>1000026228</v>
      </c>
      <c r="F303" s="425" t="s">
        <v>499</v>
      </c>
      <c r="G303" s="426" t="s">
        <v>470</v>
      </c>
      <c r="H303" s="426">
        <v>1</v>
      </c>
      <c r="I303" s="427"/>
      <c r="J303" s="428" t="str">
        <f t="shared" si="6"/>
        <v>INCLUDED</v>
      </c>
    </row>
    <row r="304" spans="1:10" ht="31.5">
      <c r="A304" s="611">
        <v>51</v>
      </c>
      <c r="B304" s="426">
        <v>7000026863</v>
      </c>
      <c r="C304" s="426">
        <v>580</v>
      </c>
      <c r="D304" s="426" t="s">
        <v>578</v>
      </c>
      <c r="E304" s="426">
        <v>1000037545</v>
      </c>
      <c r="F304" s="425" t="s">
        <v>591</v>
      </c>
      <c r="G304" s="426" t="s">
        <v>493</v>
      </c>
      <c r="H304" s="426">
        <v>1</v>
      </c>
      <c r="I304" s="427"/>
      <c r="J304" s="428" t="str">
        <f t="shared" si="6"/>
        <v>INCLUDED</v>
      </c>
    </row>
    <row r="305" spans="1:10" ht="31.5">
      <c r="A305" s="611">
        <v>52</v>
      </c>
      <c r="B305" s="426">
        <v>7000026863</v>
      </c>
      <c r="C305" s="426">
        <v>590</v>
      </c>
      <c r="D305" s="426" t="s">
        <v>578</v>
      </c>
      <c r="E305" s="426">
        <v>1000066614</v>
      </c>
      <c r="F305" s="425" t="s">
        <v>592</v>
      </c>
      <c r="G305" s="426" t="s">
        <v>493</v>
      </c>
      <c r="H305" s="426">
        <v>1</v>
      </c>
      <c r="I305" s="427"/>
      <c r="J305" s="428" t="str">
        <f t="shared" si="6"/>
        <v>INCLUDED</v>
      </c>
    </row>
    <row r="306" spans="1:10" ht="31.5">
      <c r="A306" s="611">
        <v>53</v>
      </c>
      <c r="B306" s="426">
        <v>7000026863</v>
      </c>
      <c r="C306" s="426">
        <v>600</v>
      </c>
      <c r="D306" s="426" t="s">
        <v>578</v>
      </c>
      <c r="E306" s="426">
        <v>1000066612</v>
      </c>
      <c r="F306" s="425" t="s">
        <v>593</v>
      </c>
      <c r="G306" s="426" t="s">
        <v>470</v>
      </c>
      <c r="H306" s="426">
        <v>100</v>
      </c>
      <c r="I306" s="427"/>
      <c r="J306" s="428" t="str">
        <f t="shared" si="6"/>
        <v>INCLUDED</v>
      </c>
    </row>
    <row r="307" spans="1:10" ht="31.5">
      <c r="A307" s="611">
        <v>54</v>
      </c>
      <c r="B307" s="426">
        <v>7000026863</v>
      </c>
      <c r="C307" s="426">
        <v>610</v>
      </c>
      <c r="D307" s="426" t="s">
        <v>578</v>
      </c>
      <c r="E307" s="426">
        <v>1000066613</v>
      </c>
      <c r="F307" s="425" t="s">
        <v>594</v>
      </c>
      <c r="G307" s="426" t="s">
        <v>470</v>
      </c>
      <c r="H307" s="426">
        <v>75</v>
      </c>
      <c r="I307" s="427"/>
      <c r="J307" s="428" t="str">
        <f t="shared" si="6"/>
        <v>INCLUDED</v>
      </c>
    </row>
    <row r="308" spans="1:10" ht="31.5">
      <c r="A308" s="611">
        <v>55</v>
      </c>
      <c r="B308" s="426">
        <v>7000026863</v>
      </c>
      <c r="C308" s="426">
        <v>620</v>
      </c>
      <c r="D308" s="426" t="s">
        <v>578</v>
      </c>
      <c r="E308" s="426">
        <v>1000023471</v>
      </c>
      <c r="F308" s="425" t="s">
        <v>500</v>
      </c>
      <c r="G308" s="426" t="s">
        <v>470</v>
      </c>
      <c r="H308" s="426">
        <v>1</v>
      </c>
      <c r="I308" s="427"/>
      <c r="J308" s="428" t="str">
        <f t="shared" si="6"/>
        <v>INCLUDED</v>
      </c>
    </row>
    <row r="309" spans="1:10" ht="31.5">
      <c r="A309" s="611">
        <v>56</v>
      </c>
      <c r="B309" s="426">
        <v>7000026863</v>
      </c>
      <c r="C309" s="426">
        <v>640</v>
      </c>
      <c r="D309" s="426" t="s">
        <v>715</v>
      </c>
      <c r="E309" s="426">
        <v>1000017518</v>
      </c>
      <c r="F309" s="425" t="s">
        <v>512</v>
      </c>
      <c r="G309" s="426" t="s">
        <v>470</v>
      </c>
      <c r="H309" s="426">
        <v>1</v>
      </c>
      <c r="I309" s="427"/>
      <c r="J309" s="428" t="str">
        <f t="shared" si="6"/>
        <v>INCLUDED</v>
      </c>
    </row>
    <row r="310" spans="1:10" ht="31.5">
      <c r="A310" s="611">
        <v>57</v>
      </c>
      <c r="B310" s="426">
        <v>7000026863</v>
      </c>
      <c r="C310" s="426">
        <v>650</v>
      </c>
      <c r="D310" s="426" t="s">
        <v>715</v>
      </c>
      <c r="E310" s="426">
        <v>1000022512</v>
      </c>
      <c r="F310" s="425" t="s">
        <v>513</v>
      </c>
      <c r="G310" s="426" t="s">
        <v>470</v>
      </c>
      <c r="H310" s="426">
        <v>1</v>
      </c>
      <c r="I310" s="427"/>
      <c r="J310" s="428" t="str">
        <f t="shared" si="6"/>
        <v>INCLUDED</v>
      </c>
    </row>
    <row r="311" spans="1:10" ht="31.5">
      <c r="A311" s="611">
        <v>58</v>
      </c>
      <c r="B311" s="426">
        <v>7000026863</v>
      </c>
      <c r="C311" s="426">
        <v>660</v>
      </c>
      <c r="D311" s="426" t="s">
        <v>715</v>
      </c>
      <c r="E311" s="426">
        <v>1000071061</v>
      </c>
      <c r="F311" s="425" t="s">
        <v>595</v>
      </c>
      <c r="G311" s="426" t="s">
        <v>470</v>
      </c>
      <c r="H311" s="426">
        <v>1</v>
      </c>
      <c r="I311" s="427"/>
      <c r="J311" s="428" t="str">
        <f t="shared" si="6"/>
        <v>INCLUDED</v>
      </c>
    </row>
    <row r="312" spans="1:10" ht="31.5">
      <c r="A312" s="611">
        <v>59</v>
      </c>
      <c r="B312" s="426">
        <v>7000026863</v>
      </c>
      <c r="C312" s="426">
        <v>670</v>
      </c>
      <c r="D312" s="426" t="s">
        <v>715</v>
      </c>
      <c r="E312" s="426">
        <v>1000071062</v>
      </c>
      <c r="F312" s="425" t="s">
        <v>596</v>
      </c>
      <c r="G312" s="426" t="s">
        <v>470</v>
      </c>
      <c r="H312" s="426">
        <v>1</v>
      </c>
      <c r="I312" s="427"/>
      <c r="J312" s="428" t="str">
        <f t="shared" si="6"/>
        <v>INCLUDED</v>
      </c>
    </row>
    <row r="313" spans="1:10" ht="31.5">
      <c r="A313" s="611">
        <v>60</v>
      </c>
      <c r="B313" s="426">
        <v>7000026863</v>
      </c>
      <c r="C313" s="426">
        <v>680</v>
      </c>
      <c r="D313" s="426" t="s">
        <v>715</v>
      </c>
      <c r="E313" s="426">
        <v>1000022487</v>
      </c>
      <c r="F313" s="425" t="s">
        <v>514</v>
      </c>
      <c r="G313" s="426" t="s">
        <v>470</v>
      </c>
      <c r="H313" s="426">
        <v>1</v>
      </c>
      <c r="I313" s="427"/>
      <c r="J313" s="428" t="str">
        <f t="shared" si="6"/>
        <v>INCLUDED</v>
      </c>
    </row>
    <row r="314" spans="1:10" ht="31.5">
      <c r="A314" s="611">
        <v>61</v>
      </c>
      <c r="B314" s="426">
        <v>7000026863</v>
      </c>
      <c r="C314" s="426">
        <v>690</v>
      </c>
      <c r="D314" s="426" t="s">
        <v>715</v>
      </c>
      <c r="E314" s="426">
        <v>1000030641</v>
      </c>
      <c r="F314" s="425" t="s">
        <v>597</v>
      </c>
      <c r="G314" s="426" t="s">
        <v>470</v>
      </c>
      <c r="H314" s="426">
        <v>2</v>
      </c>
      <c r="I314" s="427"/>
      <c r="J314" s="428" t="str">
        <f t="shared" si="6"/>
        <v>INCLUDED</v>
      </c>
    </row>
    <row r="315" spans="1:10" ht="31.5">
      <c r="A315" s="611">
        <v>62</v>
      </c>
      <c r="B315" s="426">
        <v>7000026863</v>
      </c>
      <c r="C315" s="426">
        <v>720</v>
      </c>
      <c r="D315" s="426" t="s">
        <v>581</v>
      </c>
      <c r="E315" s="426">
        <v>1000025943</v>
      </c>
      <c r="F315" s="425" t="s">
        <v>530</v>
      </c>
      <c r="G315" s="426" t="s">
        <v>471</v>
      </c>
      <c r="H315" s="426">
        <v>1</v>
      </c>
      <c r="I315" s="427"/>
      <c r="J315" s="428" t="str">
        <f t="shared" si="6"/>
        <v>INCLUDED</v>
      </c>
    </row>
    <row r="316" spans="1:10" ht="31.5">
      <c r="A316" s="611">
        <v>63</v>
      </c>
      <c r="B316" s="426">
        <v>7000026863</v>
      </c>
      <c r="C316" s="426">
        <v>730</v>
      </c>
      <c r="D316" s="426" t="s">
        <v>581</v>
      </c>
      <c r="E316" s="426">
        <v>1000004535</v>
      </c>
      <c r="F316" s="425" t="s">
        <v>476</v>
      </c>
      <c r="G316" s="426" t="s">
        <v>470</v>
      </c>
      <c r="H316" s="426">
        <v>1</v>
      </c>
      <c r="I316" s="427"/>
      <c r="J316" s="428" t="str">
        <f t="shared" si="6"/>
        <v>INCLUDED</v>
      </c>
    </row>
    <row r="317" spans="1:10" ht="31.5">
      <c r="A317" s="611">
        <v>64</v>
      </c>
      <c r="B317" s="426">
        <v>7000026863</v>
      </c>
      <c r="C317" s="426">
        <v>740</v>
      </c>
      <c r="D317" s="426" t="s">
        <v>580</v>
      </c>
      <c r="E317" s="426">
        <v>1000019912</v>
      </c>
      <c r="F317" s="425" t="s">
        <v>532</v>
      </c>
      <c r="G317" s="426" t="s">
        <v>506</v>
      </c>
      <c r="H317" s="426">
        <v>1</v>
      </c>
      <c r="I317" s="427"/>
      <c r="J317" s="428" t="str">
        <f t="shared" ref="J317:J318" si="8">IF(I317=0, "INCLUDED", IF(ISERROR(I317*H317), I317, I317*H317))</f>
        <v>INCLUDED</v>
      </c>
    </row>
    <row r="318" spans="1:10" ht="31.5">
      <c r="A318" s="611">
        <v>65</v>
      </c>
      <c r="B318" s="426">
        <v>7000026863</v>
      </c>
      <c r="C318" s="426">
        <v>750</v>
      </c>
      <c r="D318" s="426" t="s">
        <v>580</v>
      </c>
      <c r="E318" s="426">
        <v>1000019927</v>
      </c>
      <c r="F318" s="425" t="s">
        <v>533</v>
      </c>
      <c r="G318" s="426" t="s">
        <v>506</v>
      </c>
      <c r="H318" s="426">
        <v>1</v>
      </c>
      <c r="I318" s="427"/>
      <c r="J318" s="428" t="str">
        <f t="shared" si="8"/>
        <v>INCLUDED</v>
      </c>
    </row>
    <row r="319" spans="1:10" ht="31.5">
      <c r="A319" s="611">
        <v>66</v>
      </c>
      <c r="B319" s="426">
        <v>7000026863</v>
      </c>
      <c r="C319" s="426">
        <v>760</v>
      </c>
      <c r="D319" s="426" t="s">
        <v>582</v>
      </c>
      <c r="E319" s="426">
        <v>1000019213</v>
      </c>
      <c r="F319" s="425" t="s">
        <v>598</v>
      </c>
      <c r="G319" s="426" t="s">
        <v>506</v>
      </c>
      <c r="H319" s="426">
        <v>1</v>
      </c>
      <c r="I319" s="427"/>
      <c r="J319" s="428" t="str">
        <f t="shared" ref="J319" si="9">IF(I319=0, "INCLUDED", IF(ISERROR(I319*H319), I319, I319*H319))</f>
        <v>INCLUDED</v>
      </c>
    </row>
    <row r="320" spans="1:10" ht="22.5" customHeight="1">
      <c r="A320" s="827"/>
      <c r="B320" s="828"/>
      <c r="C320" s="828"/>
      <c r="D320" s="828"/>
      <c r="E320" s="828"/>
      <c r="F320" s="828"/>
      <c r="G320" s="828"/>
      <c r="H320" s="828"/>
      <c r="I320" s="828"/>
      <c r="J320" s="829"/>
    </row>
    <row r="321" spans="1:28" s="737" customFormat="1" ht="33" customHeight="1">
      <c r="A321" s="732"/>
      <c r="B321" s="819" t="s">
        <v>563</v>
      </c>
      <c r="C321" s="820"/>
      <c r="D321" s="820"/>
      <c r="E321" s="820"/>
      <c r="F321" s="820"/>
      <c r="G321" s="820"/>
      <c r="H321" s="821"/>
      <c r="I321" s="733"/>
      <c r="J321" s="734">
        <f>SUM(J18:J319)</f>
        <v>0</v>
      </c>
      <c r="K321" s="735"/>
      <c r="L321" s="736"/>
      <c r="M321" s="736"/>
      <c r="N321" s="736"/>
      <c r="O321" s="736"/>
      <c r="P321" s="736"/>
      <c r="Q321" s="736"/>
      <c r="R321" s="736"/>
      <c r="S321" s="736"/>
      <c r="T321" s="736"/>
      <c r="U321" s="736"/>
      <c r="V321" s="736"/>
      <c r="W321" s="736"/>
      <c r="X321" s="736"/>
      <c r="Y321" s="736"/>
      <c r="Z321" s="736"/>
      <c r="AA321" s="736"/>
      <c r="AB321" s="736"/>
    </row>
    <row r="322" spans="1:28" ht="57.75" customHeight="1">
      <c r="A322" s="613"/>
      <c r="B322" s="825" t="s">
        <v>333</v>
      </c>
      <c r="C322" s="825"/>
      <c r="D322" s="825"/>
      <c r="E322" s="825"/>
      <c r="F322" s="825"/>
      <c r="G322" s="825"/>
      <c r="H322" s="825"/>
      <c r="I322" s="825"/>
      <c r="J322" s="825"/>
      <c r="K322" s="612"/>
    </row>
    <row r="323" spans="1:28" ht="24.75" customHeight="1">
      <c r="B323" s="570"/>
      <c r="C323" s="570"/>
      <c r="D323" s="570"/>
      <c r="E323" s="570"/>
      <c r="F323" s="570"/>
      <c r="G323" s="570"/>
      <c r="H323" s="578"/>
      <c r="I323" s="570"/>
      <c r="J323" s="578"/>
      <c r="K323" s="612"/>
    </row>
    <row r="324" spans="1:28" s="614" customFormat="1" ht="16.5">
      <c r="B324" s="615" t="s">
        <v>302</v>
      </c>
      <c r="C324" s="803" t="str">
        <f>'Sch-1'!C326:D326</f>
        <v xml:space="preserve">  </v>
      </c>
      <c r="D324" s="800"/>
      <c r="G324" s="822" t="s">
        <v>304</v>
      </c>
      <c r="H324" s="822"/>
      <c r="I324" s="802" t="str">
        <f>'Sch-1'!K326</f>
        <v/>
      </c>
      <c r="J324" s="802"/>
    </row>
    <row r="325" spans="1:28" s="614" customFormat="1" ht="16.5">
      <c r="B325" s="615" t="s">
        <v>303</v>
      </c>
      <c r="C325" s="800" t="str">
        <f>'Sch-1'!C327:D327</f>
        <v/>
      </c>
      <c r="D325" s="800"/>
      <c r="G325" s="822" t="s">
        <v>119</v>
      </c>
      <c r="H325" s="822"/>
      <c r="I325" s="802" t="str">
        <f>'Sch-1'!K327</f>
        <v/>
      </c>
      <c r="J325" s="802"/>
    </row>
    <row r="326" spans="1:28" ht="16.5">
      <c r="B326" s="617"/>
      <c r="C326" s="618"/>
      <c r="D326" s="578"/>
      <c r="E326" s="619"/>
      <c r="F326" s="620"/>
      <c r="G326" s="578"/>
      <c r="H326" s="621"/>
      <c r="I326" s="612"/>
      <c r="J326" s="621"/>
      <c r="K326" s="612"/>
    </row>
    <row r="327" spans="1:28" ht="16.5">
      <c r="B327" s="580"/>
      <c r="C327" s="622"/>
      <c r="D327" s="580"/>
      <c r="E327" s="619"/>
      <c r="F327" s="620"/>
      <c r="G327" s="580"/>
      <c r="H327" s="621"/>
      <c r="I327" s="612"/>
      <c r="J327" s="621"/>
      <c r="K327" s="612"/>
    </row>
  </sheetData>
  <sheetProtection algorithmName="SHA-512" hashValue="/rBTj27rF9p2HBpkRDv9xRcl5bh1nuKzX5lX83HIgMF3KZeHbfCntwesxQSZMEtLg2Pmxbjt7swzlChgA6arLA==" saltValue="XUTmiCye8n5FemT4q1p7Ww==" spinCount="100000" sheet="1" formatColumns="0" formatRows="0" selectLockedCells="1"/>
  <customSheetViews>
    <customSheetView guid="{C497F4E0-7D3E-4065-935D-7086BE9276FE}" showPageBreaks="1" fitToPage="1" printArea="1" view="pageBreakPreview">
      <selection activeCell="I18" sqref="I18"/>
      <pageMargins left="0.45" right="0.45" top="0.75" bottom="0.5" header="0.3" footer="0.3"/>
      <printOptions horizontalCentered="1"/>
      <pageSetup paperSize="9" scale="55" fitToHeight="0" orientation="landscape" r:id="rId1"/>
      <headerFooter>
        <oddHeader>&amp;RSchedule-2Page &amp;P of &amp;N</oddHeader>
      </headerFooter>
    </customSheetView>
    <customSheetView guid="{889C3D82-0A24-4765-A688-A80A782F5056}" showPageBreaks="1" fitToPage="1" printArea="1" view="pageBreakPreview">
      <selection activeCell="I18" sqref="I18"/>
      <pageMargins left="0.45" right="0.45" top="0.75" bottom="0.5" header="0.3" footer="0.3"/>
      <printOptions horizontalCentered="1"/>
      <pageSetup paperSize="9" scale="55" fitToHeight="0" orientation="landscape" r:id="rId2"/>
      <headerFooter>
        <oddHeader>&amp;RSchedule-2Page &amp;P of &amp;N</oddHeader>
      </headerFooter>
    </customSheetView>
    <customSheetView guid="{89CB4E6A-722E-4E39-885D-E2A6D0D08321}" scale="70" showPageBreaks="1" fitToPage="1" printArea="1" view="pageBreakPreview">
      <selection activeCell="I119" sqref="I119"/>
      <pageMargins left="0.45" right="0.45" top="0.75" bottom="0.5" header="0.3" footer="0.3"/>
      <printOptions horizontalCentered="1"/>
      <pageSetup paperSize="9" scale="55" fitToHeight="0" orientation="landscape" r:id="rId3"/>
      <headerFooter>
        <oddHeader>&amp;RSchedule-2Page &amp;P of &amp;N</oddHeader>
      </headerFooter>
    </customSheetView>
    <customSheetView guid="{915C64AD-BD67-44F0-9117-5B9D998BA799}" scale="80" showPageBreaks="1" printArea="1" view="pageBreakPreview">
      <selection activeCell="I17" sqref="I17"/>
      <pageMargins left="0.45" right="0.45" top="0.75" bottom="0.5" header="0.3" footer="0.3"/>
      <printOptions horizontalCentered="1"/>
      <pageSetup paperSize="9" scale="62" orientation="landscape" r:id="rId4"/>
      <headerFooter>
        <oddHeader>&amp;RSchedule-2Page &amp;P of &amp;N</oddHeader>
      </headerFooter>
    </customSheetView>
    <customSheetView guid="{18EA11B4-BD82-47BF-99FA-7AB19BF74D0B}" scale="80" showPageBreaks="1" printArea="1" view="pageBreakPreview" topLeftCell="A4">
      <selection activeCell="I18" sqref="I18"/>
      <pageMargins left="0.45" right="0.45" top="0.75" bottom="0.5" header="0.3" footer="0.3"/>
      <printOptions horizontalCentered="1"/>
      <pageSetup paperSize="9" scale="62" orientation="landscape" r:id="rId5"/>
      <headerFooter>
        <oddHeader>&amp;RSchedule-2Page &amp;P of &amp;N</oddHeader>
      </headerFooter>
    </customSheetView>
    <customSheetView guid="{CCA37BAE-906F-43D5-9FD9-B13563E4B9D7}" showPageBreaks="1" printArea="1" view="pageBreakPreview" topLeftCell="A191">
      <selection activeCell="I201" sqref="I201:I202"/>
      <pageMargins left="0.45" right="0.45" top="0.75" bottom="0.5" header="0.3" footer="0.3"/>
      <printOptions horizontalCentered="1"/>
      <pageSetup paperSize="9" scale="62" orientation="landscape" r:id="rId6"/>
      <headerFooter>
        <oddHeader>&amp;RSchedule-2Page &amp;P of &amp;N</oddHeader>
      </headerFooter>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7"/>
      <headerFooter>
        <oddHeader>&amp;RSchedule-2Page &amp;P of &amp;N</oddHeader>
      </headerFooter>
    </customSheetView>
    <customSheetView guid="{63D51328-7CBC-4A1E-B96D-BAE91416501B}" scale="80" showPageBreaks="1" printArea="1" view="pageBreakPreview" topLeftCell="A105">
      <selection activeCell="D126" sqref="D126"/>
      <pageMargins left="0.45" right="0.45" top="0.75" bottom="0.5" header="0.3" footer="0.3"/>
      <printOptions horizontalCentered="1"/>
      <pageSetup paperSize="9" scale="62" orientation="landscape" r:id="rId8"/>
      <headerFooter>
        <oddHeader>&amp;RSchedule-2Page &amp;P of &amp;N</oddHeader>
      </headerFooter>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9"/>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10"/>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11"/>
      <headerFooter>
        <oddHeader>&amp;RSchedule-2Page &amp;P of &amp;N</oddHeader>
      </headerFooter>
    </customSheetView>
    <customSheetView guid="{A58DB4DF-40C7-4BEB-B85E-6BD6F54941CF}" scale="80" showPageBreaks="1" printArea="1" view="pageBreakPreview">
      <selection activeCell="I17" sqref="I17"/>
      <pageMargins left="0.45" right="0.45" top="0.75" bottom="0.5" header="0.3" footer="0.3"/>
      <printOptions horizontalCentered="1"/>
      <pageSetup paperSize="9" scale="62" orientation="landscape" r:id="rId12"/>
      <headerFooter>
        <oddHeader>&amp;RSchedule-2Page &amp;P of &amp;N</oddHeader>
      </headerFooter>
    </customSheetView>
    <customSheetView guid="{1211E1B9-FC37-4364-9CF0-0FFC01866726}" showPageBreaks="1" fitToPage="1" printArea="1" view="pageBreakPreview">
      <selection activeCell="I18" sqref="I18"/>
      <pageMargins left="0.45" right="0.45" top="0.75" bottom="0.5" header="0.3" footer="0.3"/>
      <printOptions horizontalCentered="1"/>
      <pageSetup paperSize="9" scale="55" fitToHeight="0" orientation="landscape" r:id="rId13"/>
      <headerFooter>
        <oddHeader>&amp;RSchedule-2Page &amp;P of &amp;N</oddHeader>
      </headerFooter>
    </customSheetView>
  </customSheetViews>
  <mergeCells count="21">
    <mergeCell ref="N3:O3"/>
    <mergeCell ref="A4:J4"/>
    <mergeCell ref="A3:J3"/>
    <mergeCell ref="C325:D325"/>
    <mergeCell ref="B322:J322"/>
    <mergeCell ref="C324:D324"/>
    <mergeCell ref="I324:J324"/>
    <mergeCell ref="A6:B6"/>
    <mergeCell ref="I14:J14"/>
    <mergeCell ref="A7:F7"/>
    <mergeCell ref="A8:G8"/>
    <mergeCell ref="C10:E10"/>
    <mergeCell ref="C9:E9"/>
    <mergeCell ref="A320:J320"/>
    <mergeCell ref="C12:E12"/>
    <mergeCell ref="C11:E11"/>
    <mergeCell ref="A13:J13"/>
    <mergeCell ref="B321:H321"/>
    <mergeCell ref="G325:H325"/>
    <mergeCell ref="G324:H324"/>
    <mergeCell ref="I325:J325"/>
  </mergeCells>
  <dataValidations count="2">
    <dataValidation type="decimal" operator="greaterThan" allowBlank="1" showInputMessage="1" showErrorMessage="1" error="Enter only Numeric value greater than zero or leave the cell blank !" sqref="I64904:I64905" xr:uid="{00000000-0002-0000-0500-000000000000}">
      <formula1>0</formula1>
    </dataValidation>
    <dataValidation type="decimal" operator="greaterThanOrEqual" allowBlank="1" showInputMessage="1" showErrorMessage="1" sqref="I194:I252 I18:I89 I91:I192 I254:I319" xr:uid="{00000000-0002-0000-0500-000001000000}">
      <formula1>0</formula1>
    </dataValidation>
  </dataValidations>
  <printOptions horizontalCentered="1"/>
  <pageMargins left="0.45" right="0.45" top="0.75" bottom="0.5" header="0.3" footer="0.3"/>
  <pageSetup paperSize="9" scale="55" fitToHeight="0" orientation="landscape" r:id="rId14"/>
  <headerFooter>
    <oddHeader>&amp;RSchedule-2Page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315"/>
  <sheetViews>
    <sheetView view="pageBreakPreview" zoomScale="85" zoomScaleNormal="80" zoomScaleSheetLayoutView="85" workbookViewId="0">
      <selection activeCell="I18" sqref="I18"/>
    </sheetView>
  </sheetViews>
  <sheetFormatPr defaultColWidth="38.5703125" defaultRowHeight="15.75"/>
  <cols>
    <col min="1" max="1" width="5.5703125" style="693" customWidth="1"/>
    <col min="2" max="2" width="14.5703125" style="693" customWidth="1"/>
    <col min="3" max="3" width="9.7109375" style="693" customWidth="1"/>
    <col min="4" max="4" width="9.140625" style="693" customWidth="1"/>
    <col min="5" max="5" width="9.28515625" style="693" customWidth="1"/>
    <col min="6" max="6" width="26.42578125" style="664" customWidth="1"/>
    <col min="7" max="7" width="18.5703125" style="664" customWidth="1"/>
    <col min="8" max="8" width="13.85546875" style="664" customWidth="1"/>
    <col min="9" max="9" width="15.7109375" style="664" customWidth="1"/>
    <col min="10" max="10" width="13.85546875" style="664" customWidth="1"/>
    <col min="11" max="11" width="17" style="664" customWidth="1"/>
    <col min="12" max="12" width="108.42578125" style="583" customWidth="1"/>
    <col min="13" max="13" width="8.7109375" style="665" customWidth="1"/>
    <col min="14" max="14" width="10.5703125" style="666" customWidth="1"/>
    <col min="15" max="15" width="16.140625" style="665" customWidth="1"/>
    <col min="16" max="16" width="24" style="665" customWidth="1"/>
    <col min="17" max="17" width="9.140625" style="318" hidden="1" customWidth="1"/>
    <col min="18" max="18" width="16.42578125" style="314" hidden="1" customWidth="1"/>
    <col min="19" max="19" width="15.85546875" style="314" hidden="1" customWidth="1"/>
    <col min="20" max="20" width="16.42578125" style="584" hidden="1" customWidth="1"/>
    <col min="21" max="21" width="16.85546875" style="314" hidden="1" customWidth="1"/>
    <col min="22" max="22" width="14.5703125" style="318" hidden="1" customWidth="1"/>
    <col min="23" max="28" width="9.140625" style="318" hidden="1" customWidth="1"/>
    <col min="29" max="31" width="9.140625" style="318" customWidth="1"/>
    <col min="32" max="243" width="9.140625" style="314" customWidth="1"/>
    <col min="244" max="244" width="12.5703125" style="314" customWidth="1"/>
    <col min="245" max="245" width="73.42578125" style="314" customWidth="1"/>
    <col min="246" max="246" width="8.7109375" style="314" customWidth="1"/>
    <col min="247" max="247" width="10.5703125" style="314" customWidth="1"/>
    <col min="248" max="248" width="14.5703125" style="314" customWidth="1"/>
    <col min="249" max="16384" width="38.5703125" style="314"/>
  </cols>
  <sheetData>
    <row r="1" spans="1:31" ht="24.75" customHeight="1">
      <c r="A1" s="657" t="str">
        <f>Cover!B3</f>
        <v>Spec No: CC/NT/W-AIS/DOM/A10/24/03802</v>
      </c>
      <c r="B1" s="657"/>
      <c r="C1" s="657"/>
      <c r="D1" s="657"/>
      <c r="E1" s="657"/>
      <c r="F1" s="658"/>
      <c r="G1" s="658"/>
      <c r="H1" s="658"/>
      <c r="I1" s="658"/>
      <c r="J1" s="658"/>
      <c r="K1" s="658"/>
      <c r="L1" s="659"/>
      <c r="M1" s="624"/>
      <c r="N1" s="624"/>
      <c r="O1" s="571"/>
      <c r="P1" s="660" t="s">
        <v>17</v>
      </c>
    </row>
    <row r="2" spans="1:31">
      <c r="A2" s="661"/>
      <c r="B2" s="661"/>
      <c r="C2" s="661"/>
      <c r="D2" s="661"/>
      <c r="E2" s="661"/>
      <c r="F2" s="662"/>
      <c r="G2" s="662"/>
      <c r="H2" s="662"/>
      <c r="I2" s="662"/>
      <c r="J2" s="662"/>
      <c r="K2" s="662"/>
      <c r="L2" s="663"/>
      <c r="M2" s="584"/>
      <c r="N2" s="584"/>
      <c r="O2" s="314"/>
      <c r="P2" s="314"/>
    </row>
    <row r="3" spans="1:31" ht="80.25" customHeight="1">
      <c r="A3" s="810" t="str">
        <f>Cover!$B$2</f>
        <v>765kV AIS Substation Extension Package SS-124 (including 765/400kV GIS Bus Duct) for (i) Extension of 765/400kV Indore Substation under Augmentation of transformation capacity at 765/400kV Indore S/S in Madhya Pradesh; (ii) Extension of 400kV Indore (PG) S/s under Implementation of 400kV line bay at 765/400/220kV Indore (PG) S/s in MP for RE interconnection; (iii) Extension of 400kV Parli (New) S/s under Implementation of 400kV line bay at 765/400kV Parli (New) S/s for interconnection of RE project and (iv) Extension of 400/220kV Bhuj GIS PS under Augmentation of transformation capacity at 400/220kV Bhuj PS in Gujarat by 1x500MVA, 400/220kV ICT (9th)</v>
      </c>
      <c r="B3" s="810"/>
      <c r="C3" s="810"/>
      <c r="D3" s="810"/>
      <c r="E3" s="810"/>
      <c r="F3" s="810"/>
      <c r="G3" s="810"/>
      <c r="H3" s="810"/>
      <c r="I3" s="810"/>
      <c r="J3" s="810"/>
      <c r="K3" s="810"/>
      <c r="L3" s="810"/>
      <c r="M3" s="810"/>
      <c r="N3" s="810"/>
      <c r="O3" s="810"/>
      <c r="P3" s="810"/>
    </row>
    <row r="4" spans="1:31" ht="16.5">
      <c r="A4" s="811" t="s">
        <v>19</v>
      </c>
      <c r="B4" s="811"/>
      <c r="C4" s="811"/>
      <c r="D4" s="811"/>
      <c r="E4" s="811"/>
      <c r="F4" s="811"/>
      <c r="G4" s="811"/>
      <c r="H4" s="811"/>
      <c r="I4" s="811"/>
      <c r="J4" s="811"/>
      <c r="K4" s="811"/>
      <c r="L4" s="811"/>
      <c r="M4" s="811"/>
      <c r="N4" s="811"/>
      <c r="O4" s="811"/>
      <c r="P4" s="811"/>
    </row>
    <row r="6" spans="1:31" ht="21.75" customHeight="1">
      <c r="A6" s="812" t="s">
        <v>334</v>
      </c>
      <c r="B6" s="812"/>
      <c r="C6" s="584"/>
      <c r="D6" s="578"/>
      <c r="E6" s="584"/>
      <c r="F6" s="584"/>
      <c r="G6" s="584"/>
      <c r="H6" s="584"/>
      <c r="I6" s="584"/>
    </row>
    <row r="7" spans="1:31" ht="21" customHeight="1">
      <c r="A7" s="816">
        <f>'Sch-1'!A7</f>
        <v>0</v>
      </c>
      <c r="B7" s="816"/>
      <c r="C7" s="816"/>
      <c r="D7" s="816"/>
      <c r="E7" s="816"/>
      <c r="F7" s="816"/>
      <c r="G7" s="816"/>
      <c r="H7" s="816"/>
      <c r="I7" s="816"/>
      <c r="J7" s="667"/>
      <c r="K7" s="667"/>
      <c r="L7" s="594"/>
      <c r="M7" s="668" t="s">
        <v>1</v>
      </c>
      <c r="N7" s="669"/>
      <c r="O7" s="314"/>
      <c r="P7" s="314"/>
    </row>
    <row r="8" spans="1:31" ht="22.5" customHeight="1">
      <c r="A8" s="813" t="str">
        <f>"Bidder’s Name and Address  (" &amp; MID('Names of Bidder'!A9,9, 20) &amp; ") :"</f>
        <v>Bidder’s Name and Address  (Sole Bidder) :</v>
      </c>
      <c r="B8" s="813"/>
      <c r="C8" s="813"/>
      <c r="D8" s="813"/>
      <c r="E8" s="813"/>
      <c r="F8" s="813"/>
      <c r="G8" s="813"/>
      <c r="H8" s="589"/>
      <c r="I8" s="589"/>
      <c r="J8" s="670"/>
      <c r="K8" s="670"/>
      <c r="L8" s="670"/>
      <c r="M8" s="671" t="str">
        <f>'Sch-1'!K8</f>
        <v>Contract Services</v>
      </c>
      <c r="N8" s="670"/>
      <c r="O8" s="314"/>
      <c r="P8" s="314"/>
    </row>
    <row r="9" spans="1:31" ht="24.75" customHeight="1">
      <c r="A9" s="585" t="s">
        <v>12</v>
      </c>
      <c r="B9" s="590"/>
      <c r="C9" s="816" t="str">
        <f>IF('Names of Bidder'!C9=0, "", 'Names of Bidder'!C9)</f>
        <v/>
      </c>
      <c r="D9" s="816"/>
      <c r="E9" s="816"/>
      <c r="F9" s="816"/>
      <c r="G9" s="816"/>
      <c r="H9" s="592"/>
      <c r="I9" s="592"/>
      <c r="J9" s="672"/>
      <c r="K9" s="672"/>
      <c r="L9" s="672"/>
      <c r="M9" s="671" t="str">
        <f>'Sch-1'!K9</f>
        <v>Power Grid Corporation of India Ltd.,</v>
      </c>
      <c r="N9" s="584"/>
      <c r="O9" s="314"/>
      <c r="P9" s="314"/>
    </row>
    <row r="10" spans="1:31" ht="21" customHeight="1">
      <c r="A10" s="585" t="s">
        <v>11</v>
      </c>
      <c r="B10" s="590"/>
      <c r="C10" s="815" t="str">
        <f>IF('Names of Bidder'!C10=0, "", 'Names of Bidder'!C10)</f>
        <v/>
      </c>
      <c r="D10" s="815"/>
      <c r="E10" s="815"/>
      <c r="F10" s="815"/>
      <c r="G10" s="815"/>
      <c r="H10" s="592"/>
      <c r="I10" s="592"/>
      <c r="J10" s="672"/>
      <c r="K10" s="672"/>
      <c r="L10" s="672"/>
      <c r="M10" s="671" t="str">
        <f>'Sch-1'!K10</f>
        <v>"Saudamini", Plot No.-2</v>
      </c>
      <c r="N10" s="584"/>
      <c r="O10" s="314"/>
      <c r="P10" s="314"/>
    </row>
    <row r="11" spans="1:31" ht="20.25" customHeight="1">
      <c r="A11" s="592"/>
      <c r="B11" s="592"/>
      <c r="C11" s="815" t="str">
        <f>IF('Names of Bidder'!C11=0, "", 'Names of Bidder'!C11)</f>
        <v/>
      </c>
      <c r="D11" s="815"/>
      <c r="E11" s="815"/>
      <c r="F11" s="815"/>
      <c r="G11" s="815"/>
      <c r="H11" s="592"/>
      <c r="I11" s="592"/>
      <c r="J11" s="672"/>
      <c r="K11" s="672"/>
      <c r="L11" s="672"/>
      <c r="M11" s="671" t="str">
        <f>'Sch-1'!K11</f>
        <v xml:space="preserve">Sector-29, </v>
      </c>
      <c r="N11" s="584"/>
      <c r="O11" s="314"/>
      <c r="P11" s="314"/>
    </row>
    <row r="12" spans="1:31" ht="21" customHeight="1">
      <c r="A12" s="592"/>
      <c r="B12" s="592"/>
      <c r="C12" s="815" t="str">
        <f>IF('Names of Bidder'!C12=0, "", 'Names of Bidder'!C12)</f>
        <v/>
      </c>
      <c r="D12" s="815"/>
      <c r="E12" s="815"/>
      <c r="F12" s="815"/>
      <c r="G12" s="815"/>
      <c r="H12" s="592"/>
      <c r="I12" s="592"/>
      <c r="J12" s="672"/>
      <c r="K12" s="672"/>
      <c r="L12" s="672"/>
      <c r="M12" s="671" t="str">
        <f>'Sch-1'!K12</f>
        <v>Gurugram (Haryana) - 122001</v>
      </c>
      <c r="N12" s="584"/>
      <c r="O12" s="314"/>
      <c r="P12" s="314"/>
    </row>
    <row r="13" spans="1:31">
      <c r="A13" s="673"/>
      <c r="B13" s="673"/>
      <c r="C13" s="673"/>
      <c r="D13" s="673"/>
      <c r="E13" s="673"/>
      <c r="F13" s="674"/>
      <c r="G13" s="674"/>
      <c r="H13" s="674"/>
      <c r="I13" s="674"/>
      <c r="J13" s="674"/>
      <c r="K13" s="674"/>
      <c r="L13" s="672"/>
      <c r="M13" s="588"/>
      <c r="N13" s="592"/>
      <c r="O13" s="671"/>
      <c r="P13" s="314"/>
    </row>
    <row r="14" spans="1:31" ht="24.75" customHeight="1" thickBot="1">
      <c r="A14" s="837" t="s">
        <v>21</v>
      </c>
      <c r="B14" s="837"/>
      <c r="C14" s="837"/>
      <c r="D14" s="837"/>
      <c r="E14" s="837"/>
      <c r="F14" s="837"/>
      <c r="G14" s="837"/>
      <c r="H14" s="837"/>
      <c r="I14" s="837"/>
      <c r="J14" s="837"/>
      <c r="K14" s="837"/>
      <c r="L14" s="837"/>
      <c r="M14" s="731"/>
      <c r="N14" s="675"/>
      <c r="O14" s="836" t="s">
        <v>339</v>
      </c>
      <c r="P14" s="836"/>
    </row>
    <row r="15" spans="1:31" s="683" customFormat="1" ht="125.25" customHeight="1">
      <c r="A15" s="676" t="s">
        <v>7</v>
      </c>
      <c r="B15" s="677" t="s">
        <v>255</v>
      </c>
      <c r="C15" s="677" t="s">
        <v>267</v>
      </c>
      <c r="D15" s="677" t="s">
        <v>266</v>
      </c>
      <c r="E15" s="677" t="s">
        <v>268</v>
      </c>
      <c r="F15" s="677" t="s">
        <v>269</v>
      </c>
      <c r="G15" s="676" t="s">
        <v>25</v>
      </c>
      <c r="H15" s="413" t="s">
        <v>306</v>
      </c>
      <c r="I15" s="414" t="s">
        <v>461</v>
      </c>
      <c r="J15" s="414" t="s">
        <v>296</v>
      </c>
      <c r="K15" s="414" t="s">
        <v>460</v>
      </c>
      <c r="L15" s="678" t="s">
        <v>15</v>
      </c>
      <c r="M15" s="679" t="s">
        <v>9</v>
      </c>
      <c r="N15" s="679" t="s">
        <v>16</v>
      </c>
      <c r="O15" s="678" t="s">
        <v>23</v>
      </c>
      <c r="P15" s="678" t="s">
        <v>24</v>
      </c>
      <c r="Q15" s="680"/>
      <c r="R15" s="681" t="s">
        <v>329</v>
      </c>
      <c r="S15" s="682" t="s">
        <v>330</v>
      </c>
      <c r="T15" s="681" t="s">
        <v>327</v>
      </c>
      <c r="U15" s="681" t="s">
        <v>328</v>
      </c>
      <c r="V15" s="680"/>
      <c r="W15" s="680"/>
      <c r="X15" s="680"/>
      <c r="Y15" s="680"/>
      <c r="Z15" s="680"/>
      <c r="AA15" s="680"/>
      <c r="AB15" s="680"/>
      <c r="AC15" s="680"/>
      <c r="AD15" s="680"/>
      <c r="AE15" s="680"/>
    </row>
    <row r="16" spans="1:31" s="683" customFormat="1" ht="16.5">
      <c r="A16" s="634">
        <v>1</v>
      </c>
      <c r="B16" s="634">
        <v>2</v>
      </c>
      <c r="C16" s="634">
        <v>3</v>
      </c>
      <c r="D16" s="634">
        <v>4</v>
      </c>
      <c r="E16" s="634">
        <v>5</v>
      </c>
      <c r="F16" s="631">
        <v>6</v>
      </c>
      <c r="G16" s="631">
        <v>7</v>
      </c>
      <c r="H16" s="413">
        <v>8</v>
      </c>
      <c r="I16" s="413">
        <v>9</v>
      </c>
      <c r="J16" s="413">
        <v>10</v>
      </c>
      <c r="K16" s="413">
        <v>11</v>
      </c>
      <c r="L16" s="631">
        <v>12</v>
      </c>
      <c r="M16" s="634">
        <v>13</v>
      </c>
      <c r="N16" s="634">
        <v>14</v>
      </c>
      <c r="O16" s="634">
        <v>15</v>
      </c>
      <c r="P16" s="634" t="s">
        <v>307</v>
      </c>
      <c r="Q16" s="680"/>
      <c r="V16" s="680"/>
      <c r="W16" s="680"/>
      <c r="X16" s="680"/>
      <c r="Y16" s="680"/>
      <c r="Z16" s="680"/>
      <c r="AA16" s="680"/>
      <c r="AB16" s="680"/>
      <c r="AC16" s="680"/>
      <c r="AD16" s="680"/>
      <c r="AE16" s="680"/>
    </row>
    <row r="17" spans="1:31" s="683" customFormat="1" ht="34.5" customHeight="1">
      <c r="A17" s="684" t="str">
        <f>'Sch-1'!A17</f>
        <v>I</v>
      </c>
      <c r="B17" s="605" t="str">
        <f>'Sch-1'!B90</f>
        <v xml:space="preserve">Extension of 765/400kV Indore Substation </v>
      </c>
      <c r="C17" s="606"/>
      <c r="D17" s="606"/>
      <c r="E17" s="606"/>
      <c r="F17" s="607"/>
      <c r="G17" s="685"/>
      <c r="H17" s="685"/>
      <c r="I17" s="685"/>
      <c r="J17" s="685"/>
      <c r="K17" s="685"/>
      <c r="L17" s="685"/>
      <c r="M17" s="685"/>
      <c r="N17" s="685"/>
      <c r="O17" s="685"/>
      <c r="P17" s="685"/>
      <c r="Q17" s="680"/>
      <c r="V17" s="680"/>
      <c r="W17" s="680"/>
      <c r="X17" s="680"/>
      <c r="Y17" s="680"/>
      <c r="Z17" s="680"/>
      <c r="AA17" s="680"/>
      <c r="AB17" s="680"/>
      <c r="AC17" s="680"/>
      <c r="AD17" s="680"/>
      <c r="AE17" s="680"/>
    </row>
    <row r="18" spans="1:31" ht="31.5">
      <c r="A18" s="563">
        <v>1</v>
      </c>
      <c r="B18" s="568">
        <v>7000026861</v>
      </c>
      <c r="C18" s="568">
        <v>240</v>
      </c>
      <c r="D18" s="568">
        <v>60</v>
      </c>
      <c r="E18" s="568">
        <v>10</v>
      </c>
      <c r="F18" s="568" t="s">
        <v>599</v>
      </c>
      <c r="G18" s="568">
        <v>100000134</v>
      </c>
      <c r="H18" s="568">
        <v>998736</v>
      </c>
      <c r="I18" s="431"/>
      <c r="J18" s="426">
        <v>18</v>
      </c>
      <c r="K18" s="430"/>
      <c r="L18" s="425" t="s">
        <v>616</v>
      </c>
      <c r="M18" s="425" t="s">
        <v>470</v>
      </c>
      <c r="N18" s="425">
        <v>1</v>
      </c>
      <c r="O18" s="427"/>
      <c r="P18" s="429" t="str">
        <f t="shared" ref="P18:P39" si="0">IF(O18=0, "INCLUDED", IF(ISERROR(N18*O18), O18, N18*O18))</f>
        <v>INCLUDED</v>
      </c>
      <c r="Q18" s="655">
        <f t="shared" ref="Q18:Q39" si="1">IF(P18="Included",0,P18)</f>
        <v>0</v>
      </c>
      <c r="R18" s="686">
        <f>IF( K18="",J18*(IF(P18="Included",0,P18))/100,K18*(IF(P18="Included",0,P18)))</f>
        <v>0</v>
      </c>
      <c r="S18" s="687">
        <f>Discount!$J$36</f>
        <v>0</v>
      </c>
      <c r="T18" s="686">
        <f>S18*Q18</f>
        <v>0</v>
      </c>
      <c r="U18" s="688">
        <f>IF(K18="",J18*T18/100,K18*T18)</f>
        <v>0</v>
      </c>
      <c r="V18" s="689">
        <f>O18*N18</f>
        <v>0</v>
      </c>
      <c r="W18" s="690"/>
      <c r="X18" s="690"/>
      <c r="Y18" s="690"/>
      <c r="Z18" s="690"/>
      <c r="AA18" s="690"/>
    </row>
    <row r="19" spans="1:31" ht="31.5">
      <c r="A19" s="563">
        <v>2</v>
      </c>
      <c r="B19" s="568">
        <v>7000026861</v>
      </c>
      <c r="C19" s="568">
        <v>240</v>
      </c>
      <c r="D19" s="568">
        <v>60</v>
      </c>
      <c r="E19" s="568">
        <v>20</v>
      </c>
      <c r="F19" s="568" t="s">
        <v>599</v>
      </c>
      <c r="G19" s="568">
        <v>100000136</v>
      </c>
      <c r="H19" s="568">
        <v>998736</v>
      </c>
      <c r="I19" s="431"/>
      <c r="J19" s="426">
        <v>18</v>
      </c>
      <c r="K19" s="430"/>
      <c r="L19" s="425" t="s">
        <v>623</v>
      </c>
      <c r="M19" s="425" t="s">
        <v>470</v>
      </c>
      <c r="N19" s="425">
        <v>2</v>
      </c>
      <c r="O19" s="427"/>
      <c r="P19" s="429" t="str">
        <f t="shared" si="0"/>
        <v>INCLUDED</v>
      </c>
      <c r="Q19" s="655">
        <f t="shared" si="1"/>
        <v>0</v>
      </c>
      <c r="R19" s="686">
        <f t="shared" ref="R19:R38" si="2">IF( K19="",J19*(IF(P19="Included",0,P19))/100,K19*(IF(P19="Included",0,P19)))</f>
        <v>0</v>
      </c>
      <c r="S19" s="687">
        <f>Discount!$J$36</f>
        <v>0</v>
      </c>
      <c r="T19" s="686">
        <f t="shared" ref="T19:T38" si="3">S19*Q19</f>
        <v>0</v>
      </c>
      <c r="U19" s="688">
        <f t="shared" ref="U19:U38" si="4">IF(K19="",J19*T19/100,K19*T19)</f>
        <v>0</v>
      </c>
      <c r="V19" s="689">
        <f t="shared" ref="V19:V62" si="5">O19*N19</f>
        <v>0</v>
      </c>
      <c r="W19" s="690"/>
      <c r="X19" s="690"/>
      <c r="Y19" s="690"/>
      <c r="Z19" s="690"/>
      <c r="AA19" s="690"/>
    </row>
    <row r="20" spans="1:31" ht="31.5">
      <c r="A20" s="563">
        <v>3</v>
      </c>
      <c r="B20" s="568">
        <v>7000026861</v>
      </c>
      <c r="C20" s="568">
        <v>240</v>
      </c>
      <c r="D20" s="568">
        <v>60</v>
      </c>
      <c r="E20" s="568">
        <v>30</v>
      </c>
      <c r="F20" s="568" t="s">
        <v>599</v>
      </c>
      <c r="G20" s="568">
        <v>100000171</v>
      </c>
      <c r="H20" s="568">
        <v>998736</v>
      </c>
      <c r="I20" s="431"/>
      <c r="J20" s="426">
        <v>18</v>
      </c>
      <c r="K20" s="430"/>
      <c r="L20" s="425" t="s">
        <v>718</v>
      </c>
      <c r="M20" s="425" t="s">
        <v>470</v>
      </c>
      <c r="N20" s="425">
        <v>1</v>
      </c>
      <c r="O20" s="427"/>
      <c r="P20" s="429" t="str">
        <f t="shared" si="0"/>
        <v>INCLUDED</v>
      </c>
      <c r="Q20" s="655">
        <f t="shared" si="1"/>
        <v>0</v>
      </c>
      <c r="R20" s="686">
        <f t="shared" si="2"/>
        <v>0</v>
      </c>
      <c r="S20" s="687">
        <f>Discount!$J$36</f>
        <v>0</v>
      </c>
      <c r="T20" s="686">
        <f t="shared" si="3"/>
        <v>0</v>
      </c>
      <c r="U20" s="688">
        <f t="shared" si="4"/>
        <v>0</v>
      </c>
      <c r="V20" s="689">
        <f t="shared" si="5"/>
        <v>0</v>
      </c>
      <c r="W20" s="690"/>
      <c r="X20" s="690"/>
      <c r="Y20" s="690"/>
      <c r="Z20" s="690"/>
      <c r="AA20" s="690"/>
    </row>
    <row r="21" spans="1:31" ht="31.5">
      <c r="A21" s="563">
        <v>4</v>
      </c>
      <c r="B21" s="568">
        <v>7000026861</v>
      </c>
      <c r="C21" s="568">
        <v>240</v>
      </c>
      <c r="D21" s="568">
        <v>60</v>
      </c>
      <c r="E21" s="568">
        <v>40</v>
      </c>
      <c r="F21" s="568" t="s">
        <v>599</v>
      </c>
      <c r="G21" s="568">
        <v>100000181</v>
      </c>
      <c r="H21" s="568">
        <v>998736</v>
      </c>
      <c r="I21" s="431"/>
      <c r="J21" s="426">
        <v>18</v>
      </c>
      <c r="K21" s="430"/>
      <c r="L21" s="425" t="s">
        <v>618</v>
      </c>
      <c r="M21" s="425" t="s">
        <v>470</v>
      </c>
      <c r="N21" s="425">
        <v>3</v>
      </c>
      <c r="O21" s="427"/>
      <c r="P21" s="429" t="str">
        <f t="shared" si="0"/>
        <v>INCLUDED</v>
      </c>
      <c r="Q21" s="655">
        <f t="shared" si="1"/>
        <v>0</v>
      </c>
      <c r="R21" s="686">
        <f t="shared" si="2"/>
        <v>0</v>
      </c>
      <c r="S21" s="687">
        <f>Discount!$J$36</f>
        <v>0</v>
      </c>
      <c r="T21" s="686">
        <f t="shared" si="3"/>
        <v>0</v>
      </c>
      <c r="U21" s="688">
        <f t="shared" si="4"/>
        <v>0</v>
      </c>
      <c r="V21" s="689">
        <f t="shared" si="5"/>
        <v>0</v>
      </c>
      <c r="W21" s="690"/>
      <c r="X21" s="690"/>
      <c r="Y21" s="690"/>
      <c r="Z21" s="690"/>
      <c r="AA21" s="690"/>
    </row>
    <row r="22" spans="1:31" ht="31.5">
      <c r="A22" s="563">
        <v>5</v>
      </c>
      <c r="B22" s="568">
        <v>7000026861</v>
      </c>
      <c r="C22" s="568">
        <v>240</v>
      </c>
      <c r="D22" s="568">
        <v>60</v>
      </c>
      <c r="E22" s="568">
        <v>50</v>
      </c>
      <c r="F22" s="568" t="s">
        <v>599</v>
      </c>
      <c r="G22" s="568">
        <v>100000182</v>
      </c>
      <c r="H22" s="568">
        <v>998736</v>
      </c>
      <c r="I22" s="431"/>
      <c r="J22" s="426">
        <v>18</v>
      </c>
      <c r="K22" s="430"/>
      <c r="L22" s="425" t="s">
        <v>619</v>
      </c>
      <c r="M22" s="425" t="s">
        <v>470</v>
      </c>
      <c r="N22" s="425">
        <v>6</v>
      </c>
      <c r="O22" s="427"/>
      <c r="P22" s="429" t="str">
        <f t="shared" si="0"/>
        <v>INCLUDED</v>
      </c>
      <c r="Q22" s="655">
        <f t="shared" si="1"/>
        <v>0</v>
      </c>
      <c r="R22" s="686">
        <f t="shared" si="2"/>
        <v>0</v>
      </c>
      <c r="S22" s="687">
        <f>Discount!$J$36</f>
        <v>0</v>
      </c>
      <c r="T22" s="686">
        <f t="shared" si="3"/>
        <v>0</v>
      </c>
      <c r="U22" s="688">
        <f t="shared" si="4"/>
        <v>0</v>
      </c>
      <c r="V22" s="689">
        <f t="shared" si="5"/>
        <v>0</v>
      </c>
      <c r="W22" s="690"/>
      <c r="X22" s="690"/>
      <c r="Y22" s="690"/>
      <c r="Z22" s="690"/>
      <c r="AA22" s="690"/>
    </row>
    <row r="23" spans="1:31" ht="31.5">
      <c r="A23" s="563">
        <v>6</v>
      </c>
      <c r="B23" s="568">
        <v>7000026861</v>
      </c>
      <c r="C23" s="568">
        <v>240</v>
      </c>
      <c r="D23" s="568">
        <v>60</v>
      </c>
      <c r="E23" s="568">
        <v>60</v>
      </c>
      <c r="F23" s="568" t="s">
        <v>599</v>
      </c>
      <c r="G23" s="568">
        <v>100000143</v>
      </c>
      <c r="H23" s="568">
        <v>998736</v>
      </c>
      <c r="I23" s="431"/>
      <c r="J23" s="426">
        <v>18</v>
      </c>
      <c r="K23" s="430"/>
      <c r="L23" s="425" t="s">
        <v>620</v>
      </c>
      <c r="M23" s="425" t="s">
        <v>470</v>
      </c>
      <c r="N23" s="425">
        <v>3</v>
      </c>
      <c r="O23" s="427"/>
      <c r="P23" s="429" t="str">
        <f t="shared" si="0"/>
        <v>INCLUDED</v>
      </c>
      <c r="Q23" s="655">
        <f t="shared" si="1"/>
        <v>0</v>
      </c>
      <c r="R23" s="686">
        <f t="shared" si="2"/>
        <v>0</v>
      </c>
      <c r="S23" s="687">
        <f>Discount!$J$36</f>
        <v>0</v>
      </c>
      <c r="T23" s="686">
        <f t="shared" si="3"/>
        <v>0</v>
      </c>
      <c r="U23" s="688">
        <f t="shared" si="4"/>
        <v>0</v>
      </c>
      <c r="V23" s="689">
        <f t="shared" si="5"/>
        <v>0</v>
      </c>
      <c r="W23" s="690"/>
      <c r="X23" s="690"/>
      <c r="Y23" s="690"/>
      <c r="Z23" s="690"/>
      <c r="AA23" s="690"/>
    </row>
    <row r="24" spans="1:31" ht="31.5">
      <c r="A24" s="563">
        <v>7</v>
      </c>
      <c r="B24" s="568">
        <v>7000026861</v>
      </c>
      <c r="C24" s="568">
        <v>240</v>
      </c>
      <c r="D24" s="568">
        <v>60</v>
      </c>
      <c r="E24" s="568">
        <v>70</v>
      </c>
      <c r="F24" s="568" t="s">
        <v>599</v>
      </c>
      <c r="G24" s="568">
        <v>100000183</v>
      </c>
      <c r="H24" s="568">
        <v>998736</v>
      </c>
      <c r="I24" s="431"/>
      <c r="J24" s="426">
        <v>18</v>
      </c>
      <c r="K24" s="430"/>
      <c r="L24" s="425" t="s">
        <v>621</v>
      </c>
      <c r="M24" s="425" t="s">
        <v>470</v>
      </c>
      <c r="N24" s="425">
        <v>3</v>
      </c>
      <c r="O24" s="427"/>
      <c r="P24" s="429" t="str">
        <f t="shared" si="0"/>
        <v>INCLUDED</v>
      </c>
      <c r="Q24" s="655">
        <f t="shared" si="1"/>
        <v>0</v>
      </c>
      <c r="R24" s="686">
        <f t="shared" si="2"/>
        <v>0</v>
      </c>
      <c r="S24" s="687">
        <f>Discount!$J$36</f>
        <v>0</v>
      </c>
      <c r="T24" s="686">
        <f t="shared" si="3"/>
        <v>0</v>
      </c>
      <c r="U24" s="688">
        <f t="shared" si="4"/>
        <v>0</v>
      </c>
      <c r="V24" s="689">
        <f t="shared" si="5"/>
        <v>0</v>
      </c>
      <c r="W24" s="690"/>
      <c r="X24" s="690"/>
      <c r="Y24" s="690"/>
      <c r="Z24" s="690"/>
      <c r="AA24" s="690"/>
    </row>
    <row r="25" spans="1:31" ht="31.5">
      <c r="A25" s="563">
        <v>8</v>
      </c>
      <c r="B25" s="568">
        <v>7000026861</v>
      </c>
      <c r="C25" s="568">
        <v>240</v>
      </c>
      <c r="D25" s="568">
        <v>60</v>
      </c>
      <c r="E25" s="568">
        <v>80</v>
      </c>
      <c r="F25" s="568" t="s">
        <v>599</v>
      </c>
      <c r="G25" s="568">
        <v>100000194</v>
      </c>
      <c r="H25" s="568">
        <v>998736</v>
      </c>
      <c r="I25" s="431"/>
      <c r="J25" s="426">
        <v>18</v>
      </c>
      <c r="K25" s="430"/>
      <c r="L25" s="425" t="s">
        <v>719</v>
      </c>
      <c r="M25" s="425" t="s">
        <v>471</v>
      </c>
      <c r="N25" s="425">
        <v>6</v>
      </c>
      <c r="O25" s="427"/>
      <c r="P25" s="429" t="str">
        <f t="shared" si="0"/>
        <v>INCLUDED</v>
      </c>
      <c r="Q25" s="655">
        <f t="shared" si="1"/>
        <v>0</v>
      </c>
      <c r="R25" s="686">
        <f t="shared" si="2"/>
        <v>0</v>
      </c>
      <c r="S25" s="687">
        <f>Discount!$J$36</f>
        <v>0</v>
      </c>
      <c r="T25" s="686">
        <f t="shared" si="3"/>
        <v>0</v>
      </c>
      <c r="U25" s="688">
        <f t="shared" si="4"/>
        <v>0</v>
      </c>
      <c r="V25" s="689">
        <f t="shared" si="5"/>
        <v>0</v>
      </c>
      <c r="W25" s="690"/>
      <c r="X25" s="690"/>
      <c r="Y25" s="690"/>
      <c r="Z25" s="690"/>
      <c r="AA25" s="690"/>
    </row>
    <row r="26" spans="1:31" ht="31.5">
      <c r="A26" s="563">
        <v>9</v>
      </c>
      <c r="B26" s="568">
        <v>7000026861</v>
      </c>
      <c r="C26" s="568">
        <v>250</v>
      </c>
      <c r="D26" s="568">
        <v>70</v>
      </c>
      <c r="E26" s="568">
        <v>10</v>
      </c>
      <c r="F26" s="568" t="s">
        <v>600</v>
      </c>
      <c r="G26" s="568">
        <v>100000267</v>
      </c>
      <c r="H26" s="568">
        <v>998736</v>
      </c>
      <c r="I26" s="431"/>
      <c r="J26" s="426">
        <v>18</v>
      </c>
      <c r="K26" s="430"/>
      <c r="L26" s="425" t="s">
        <v>720</v>
      </c>
      <c r="M26" s="425" t="s">
        <v>470</v>
      </c>
      <c r="N26" s="425">
        <v>1</v>
      </c>
      <c r="O26" s="427"/>
      <c r="P26" s="429" t="str">
        <f t="shared" si="0"/>
        <v>INCLUDED</v>
      </c>
      <c r="Q26" s="655">
        <f t="shared" si="1"/>
        <v>0</v>
      </c>
      <c r="R26" s="686">
        <f t="shared" si="2"/>
        <v>0</v>
      </c>
      <c r="S26" s="687">
        <f>Discount!$J$36</f>
        <v>0</v>
      </c>
      <c r="T26" s="686">
        <f t="shared" si="3"/>
        <v>0</v>
      </c>
      <c r="U26" s="688">
        <f t="shared" si="4"/>
        <v>0</v>
      </c>
      <c r="V26" s="689">
        <f t="shared" si="5"/>
        <v>0</v>
      </c>
      <c r="W26" s="690"/>
      <c r="X26" s="690"/>
      <c r="Y26" s="690"/>
      <c r="Z26" s="690"/>
      <c r="AA26" s="690"/>
    </row>
    <row r="27" spans="1:31" ht="31.5">
      <c r="A27" s="563">
        <v>10</v>
      </c>
      <c r="B27" s="568">
        <v>7000026861</v>
      </c>
      <c r="C27" s="568">
        <v>250</v>
      </c>
      <c r="D27" s="568">
        <v>70</v>
      </c>
      <c r="E27" s="568">
        <v>20</v>
      </c>
      <c r="F27" s="568" t="s">
        <v>600</v>
      </c>
      <c r="G27" s="568">
        <v>100000287</v>
      </c>
      <c r="H27" s="568">
        <v>998736</v>
      </c>
      <c r="I27" s="431"/>
      <c r="J27" s="426">
        <v>18</v>
      </c>
      <c r="K27" s="430"/>
      <c r="L27" s="425" t="s">
        <v>475</v>
      </c>
      <c r="M27" s="425" t="s">
        <v>470</v>
      </c>
      <c r="N27" s="425">
        <v>1</v>
      </c>
      <c r="O27" s="427"/>
      <c r="P27" s="429" t="str">
        <f t="shared" si="0"/>
        <v>INCLUDED</v>
      </c>
      <c r="Q27" s="655">
        <f t="shared" si="1"/>
        <v>0</v>
      </c>
      <c r="R27" s="686">
        <f t="shared" si="2"/>
        <v>0</v>
      </c>
      <c r="S27" s="687">
        <f>Discount!$J$36</f>
        <v>0</v>
      </c>
      <c r="T27" s="686">
        <f t="shared" si="3"/>
        <v>0</v>
      </c>
      <c r="U27" s="688">
        <f t="shared" si="4"/>
        <v>0</v>
      </c>
      <c r="V27" s="689">
        <f t="shared" si="5"/>
        <v>0</v>
      </c>
      <c r="W27" s="690"/>
      <c r="X27" s="690"/>
      <c r="Y27" s="690"/>
      <c r="Z27" s="690"/>
      <c r="AA27" s="690"/>
    </row>
    <row r="28" spans="1:31" ht="31.5">
      <c r="A28" s="563">
        <v>11</v>
      </c>
      <c r="B28" s="568">
        <v>7000026861</v>
      </c>
      <c r="C28" s="568">
        <v>250</v>
      </c>
      <c r="D28" s="568">
        <v>70</v>
      </c>
      <c r="E28" s="568">
        <v>30</v>
      </c>
      <c r="F28" s="568" t="s">
        <v>600</v>
      </c>
      <c r="G28" s="568">
        <v>100000326</v>
      </c>
      <c r="H28" s="568">
        <v>998736</v>
      </c>
      <c r="I28" s="431"/>
      <c r="J28" s="426">
        <v>18</v>
      </c>
      <c r="K28" s="430"/>
      <c r="L28" s="425" t="s">
        <v>624</v>
      </c>
      <c r="M28" s="425" t="s">
        <v>470</v>
      </c>
      <c r="N28" s="425">
        <v>3</v>
      </c>
      <c r="O28" s="427"/>
      <c r="P28" s="429" t="str">
        <f t="shared" si="0"/>
        <v>INCLUDED</v>
      </c>
      <c r="Q28" s="655">
        <f t="shared" si="1"/>
        <v>0</v>
      </c>
      <c r="R28" s="686">
        <f t="shared" si="2"/>
        <v>0</v>
      </c>
      <c r="S28" s="687">
        <f>Discount!$J$36</f>
        <v>0</v>
      </c>
      <c r="T28" s="686">
        <f t="shared" si="3"/>
        <v>0</v>
      </c>
      <c r="U28" s="688">
        <f t="shared" si="4"/>
        <v>0</v>
      </c>
      <c r="V28" s="689">
        <f t="shared" si="5"/>
        <v>0</v>
      </c>
      <c r="W28" s="690"/>
      <c r="X28" s="690"/>
      <c r="Y28" s="690"/>
      <c r="Z28" s="690"/>
      <c r="AA28" s="690"/>
    </row>
    <row r="29" spans="1:31" ht="31.5">
      <c r="A29" s="563">
        <v>12</v>
      </c>
      <c r="B29" s="568">
        <v>7000026861</v>
      </c>
      <c r="C29" s="568">
        <v>250</v>
      </c>
      <c r="D29" s="568">
        <v>70</v>
      </c>
      <c r="E29" s="568">
        <v>40</v>
      </c>
      <c r="F29" s="568" t="s">
        <v>600</v>
      </c>
      <c r="G29" s="568">
        <v>100000327</v>
      </c>
      <c r="H29" s="568">
        <v>998736</v>
      </c>
      <c r="I29" s="431"/>
      <c r="J29" s="426">
        <v>18</v>
      </c>
      <c r="K29" s="430"/>
      <c r="L29" s="425" t="s">
        <v>625</v>
      </c>
      <c r="M29" s="425" t="s">
        <v>470</v>
      </c>
      <c r="N29" s="425">
        <v>3</v>
      </c>
      <c r="O29" s="427"/>
      <c r="P29" s="429" t="str">
        <f t="shared" si="0"/>
        <v>INCLUDED</v>
      </c>
      <c r="Q29" s="655">
        <f t="shared" si="1"/>
        <v>0</v>
      </c>
      <c r="R29" s="686">
        <f t="shared" si="2"/>
        <v>0</v>
      </c>
      <c r="S29" s="687">
        <f>Discount!$J$36</f>
        <v>0</v>
      </c>
      <c r="T29" s="686">
        <f t="shared" si="3"/>
        <v>0</v>
      </c>
      <c r="U29" s="688">
        <f t="shared" si="4"/>
        <v>0</v>
      </c>
      <c r="V29" s="689">
        <f t="shared" si="5"/>
        <v>0</v>
      </c>
      <c r="W29" s="690"/>
      <c r="X29" s="690"/>
      <c r="Y29" s="690"/>
      <c r="Z29" s="690"/>
      <c r="AA29" s="690"/>
    </row>
    <row r="30" spans="1:31" ht="31.5">
      <c r="A30" s="563">
        <v>13</v>
      </c>
      <c r="B30" s="568">
        <v>7000026861</v>
      </c>
      <c r="C30" s="568">
        <v>250</v>
      </c>
      <c r="D30" s="568">
        <v>70</v>
      </c>
      <c r="E30" s="568">
        <v>50</v>
      </c>
      <c r="F30" s="568" t="s">
        <v>600</v>
      </c>
      <c r="G30" s="568">
        <v>100000274</v>
      </c>
      <c r="H30" s="568">
        <v>998736</v>
      </c>
      <c r="I30" s="431"/>
      <c r="J30" s="426">
        <v>18</v>
      </c>
      <c r="K30" s="430"/>
      <c r="L30" s="425" t="s">
        <v>474</v>
      </c>
      <c r="M30" s="425" t="s">
        <v>470</v>
      </c>
      <c r="N30" s="425">
        <v>3</v>
      </c>
      <c r="O30" s="427"/>
      <c r="P30" s="429" t="str">
        <f t="shared" si="0"/>
        <v>INCLUDED</v>
      </c>
      <c r="Q30" s="655">
        <f t="shared" si="1"/>
        <v>0</v>
      </c>
      <c r="R30" s="686">
        <f t="shared" si="2"/>
        <v>0</v>
      </c>
      <c r="S30" s="687">
        <f>Discount!$J$36</f>
        <v>0</v>
      </c>
      <c r="T30" s="686">
        <f t="shared" si="3"/>
        <v>0</v>
      </c>
      <c r="U30" s="688">
        <f t="shared" si="4"/>
        <v>0</v>
      </c>
      <c r="V30" s="689">
        <f t="shared" si="5"/>
        <v>0</v>
      </c>
      <c r="W30" s="690"/>
      <c r="X30" s="690"/>
      <c r="Y30" s="690"/>
      <c r="Z30" s="690"/>
      <c r="AA30" s="690"/>
    </row>
    <row r="31" spans="1:31" ht="31.5">
      <c r="A31" s="563">
        <v>14</v>
      </c>
      <c r="B31" s="568">
        <v>7000026861</v>
      </c>
      <c r="C31" s="568">
        <v>250</v>
      </c>
      <c r="D31" s="568">
        <v>70</v>
      </c>
      <c r="E31" s="568">
        <v>60</v>
      </c>
      <c r="F31" s="568" t="s">
        <v>600</v>
      </c>
      <c r="G31" s="568">
        <v>100000328</v>
      </c>
      <c r="H31" s="568">
        <v>998736</v>
      </c>
      <c r="I31" s="431"/>
      <c r="J31" s="426">
        <v>18</v>
      </c>
      <c r="K31" s="430"/>
      <c r="L31" s="425" t="s">
        <v>477</v>
      </c>
      <c r="M31" s="425" t="s">
        <v>470</v>
      </c>
      <c r="N31" s="425">
        <v>3</v>
      </c>
      <c r="O31" s="427"/>
      <c r="P31" s="429" t="str">
        <f t="shared" si="0"/>
        <v>INCLUDED</v>
      </c>
      <c r="Q31" s="655">
        <f t="shared" si="1"/>
        <v>0</v>
      </c>
      <c r="R31" s="686">
        <f t="shared" si="2"/>
        <v>0</v>
      </c>
      <c r="S31" s="687">
        <f>Discount!$J$36</f>
        <v>0</v>
      </c>
      <c r="T31" s="686">
        <f t="shared" si="3"/>
        <v>0</v>
      </c>
      <c r="U31" s="688">
        <f t="shared" si="4"/>
        <v>0</v>
      </c>
      <c r="V31" s="689">
        <f t="shared" si="5"/>
        <v>0</v>
      </c>
      <c r="W31" s="690"/>
      <c r="X31" s="690"/>
      <c r="Y31" s="690"/>
      <c r="Z31" s="690"/>
      <c r="AA31" s="690"/>
    </row>
    <row r="32" spans="1:31" ht="31.5">
      <c r="A32" s="563">
        <v>15</v>
      </c>
      <c r="B32" s="568">
        <v>7000026861</v>
      </c>
      <c r="C32" s="568">
        <v>250</v>
      </c>
      <c r="D32" s="568">
        <v>70</v>
      </c>
      <c r="E32" s="568">
        <v>70</v>
      </c>
      <c r="F32" s="568" t="s">
        <v>600</v>
      </c>
      <c r="G32" s="568">
        <v>100000340</v>
      </c>
      <c r="H32" s="568">
        <v>998736</v>
      </c>
      <c r="I32" s="431"/>
      <c r="J32" s="426">
        <v>18</v>
      </c>
      <c r="K32" s="430"/>
      <c r="L32" s="425" t="s">
        <v>721</v>
      </c>
      <c r="M32" s="425" t="s">
        <v>470</v>
      </c>
      <c r="N32" s="425">
        <v>12</v>
      </c>
      <c r="O32" s="427"/>
      <c r="P32" s="429" t="str">
        <f t="shared" si="0"/>
        <v>INCLUDED</v>
      </c>
      <c r="Q32" s="655">
        <f t="shared" si="1"/>
        <v>0</v>
      </c>
      <c r="R32" s="686">
        <f t="shared" si="2"/>
        <v>0</v>
      </c>
      <c r="S32" s="687">
        <f>Discount!$J$36</f>
        <v>0</v>
      </c>
      <c r="T32" s="686">
        <f t="shared" si="3"/>
        <v>0</v>
      </c>
      <c r="U32" s="688">
        <f t="shared" si="4"/>
        <v>0</v>
      </c>
      <c r="V32" s="689">
        <f t="shared" si="5"/>
        <v>0</v>
      </c>
      <c r="W32" s="690"/>
      <c r="X32" s="690"/>
      <c r="Y32" s="690"/>
      <c r="Z32" s="690"/>
      <c r="AA32" s="690"/>
    </row>
    <row r="33" spans="1:27" ht="31.5">
      <c r="A33" s="563">
        <v>16</v>
      </c>
      <c r="B33" s="568">
        <v>7000026861</v>
      </c>
      <c r="C33" s="568">
        <v>250</v>
      </c>
      <c r="D33" s="568">
        <v>70</v>
      </c>
      <c r="E33" s="568">
        <v>80</v>
      </c>
      <c r="F33" s="568" t="s">
        <v>600</v>
      </c>
      <c r="G33" s="568">
        <v>100000268</v>
      </c>
      <c r="H33" s="568">
        <v>998736</v>
      </c>
      <c r="I33" s="431"/>
      <c r="J33" s="426">
        <v>18</v>
      </c>
      <c r="K33" s="430"/>
      <c r="L33" s="425" t="s">
        <v>473</v>
      </c>
      <c r="M33" s="425" t="s">
        <v>470</v>
      </c>
      <c r="N33" s="425">
        <v>2</v>
      </c>
      <c r="O33" s="427"/>
      <c r="P33" s="429" t="str">
        <f t="shared" si="0"/>
        <v>INCLUDED</v>
      </c>
      <c r="Q33" s="655">
        <f t="shared" si="1"/>
        <v>0</v>
      </c>
      <c r="R33" s="686">
        <f t="shared" si="2"/>
        <v>0</v>
      </c>
      <c r="S33" s="687">
        <f>Discount!$J$36</f>
        <v>0</v>
      </c>
      <c r="T33" s="686">
        <f t="shared" si="3"/>
        <v>0</v>
      </c>
      <c r="U33" s="688">
        <f t="shared" si="4"/>
        <v>0</v>
      </c>
      <c r="V33" s="689">
        <f t="shared" si="5"/>
        <v>0</v>
      </c>
      <c r="W33" s="690"/>
      <c r="X33" s="690"/>
      <c r="Y33" s="690"/>
      <c r="Z33" s="690"/>
      <c r="AA33" s="690"/>
    </row>
    <row r="34" spans="1:27" ht="31.5">
      <c r="A34" s="563">
        <v>17</v>
      </c>
      <c r="B34" s="568">
        <v>7000026861</v>
      </c>
      <c r="C34" s="568">
        <v>250</v>
      </c>
      <c r="D34" s="568">
        <v>70</v>
      </c>
      <c r="E34" s="568">
        <v>90</v>
      </c>
      <c r="F34" s="568" t="s">
        <v>600</v>
      </c>
      <c r="G34" s="568">
        <v>100000011</v>
      </c>
      <c r="H34" s="568">
        <v>998736</v>
      </c>
      <c r="I34" s="431"/>
      <c r="J34" s="426">
        <v>18</v>
      </c>
      <c r="K34" s="430"/>
      <c r="L34" s="425" t="s">
        <v>722</v>
      </c>
      <c r="M34" s="425" t="s">
        <v>471</v>
      </c>
      <c r="N34" s="425">
        <v>1</v>
      </c>
      <c r="O34" s="427"/>
      <c r="P34" s="429" t="str">
        <f t="shared" si="0"/>
        <v>INCLUDED</v>
      </c>
      <c r="Q34" s="655">
        <f t="shared" si="1"/>
        <v>0</v>
      </c>
      <c r="R34" s="686">
        <f t="shared" si="2"/>
        <v>0</v>
      </c>
      <c r="S34" s="687">
        <f>Discount!$J$36</f>
        <v>0</v>
      </c>
      <c r="T34" s="686">
        <f t="shared" si="3"/>
        <v>0</v>
      </c>
      <c r="U34" s="688">
        <f t="shared" si="4"/>
        <v>0</v>
      </c>
      <c r="V34" s="689">
        <f t="shared" si="5"/>
        <v>0</v>
      </c>
      <c r="W34" s="690"/>
      <c r="X34" s="690"/>
      <c r="Y34" s="690"/>
      <c r="Z34" s="690"/>
      <c r="AA34" s="690"/>
    </row>
    <row r="35" spans="1:27" ht="31.5">
      <c r="A35" s="563">
        <v>18</v>
      </c>
      <c r="B35" s="568">
        <v>7000026861</v>
      </c>
      <c r="C35" s="568">
        <v>260</v>
      </c>
      <c r="D35" s="568">
        <v>80</v>
      </c>
      <c r="E35" s="568">
        <v>10</v>
      </c>
      <c r="F35" s="568" t="s">
        <v>601</v>
      </c>
      <c r="G35" s="568">
        <v>100003674</v>
      </c>
      <c r="H35" s="568">
        <v>998736</v>
      </c>
      <c r="I35" s="431"/>
      <c r="J35" s="426">
        <v>18</v>
      </c>
      <c r="K35" s="430"/>
      <c r="L35" s="425" t="s">
        <v>723</v>
      </c>
      <c r="M35" s="425" t="s">
        <v>470</v>
      </c>
      <c r="N35" s="425">
        <v>2</v>
      </c>
      <c r="O35" s="427"/>
      <c r="P35" s="429" t="str">
        <f t="shared" si="0"/>
        <v>INCLUDED</v>
      </c>
      <c r="Q35" s="655">
        <f t="shared" si="1"/>
        <v>0</v>
      </c>
      <c r="R35" s="686">
        <f t="shared" si="2"/>
        <v>0</v>
      </c>
      <c r="S35" s="687">
        <f>Discount!$J$36</f>
        <v>0</v>
      </c>
      <c r="T35" s="686">
        <f t="shared" si="3"/>
        <v>0</v>
      </c>
      <c r="U35" s="688">
        <f t="shared" si="4"/>
        <v>0</v>
      </c>
      <c r="V35" s="689">
        <f t="shared" si="5"/>
        <v>0</v>
      </c>
      <c r="W35" s="690"/>
      <c r="X35" s="690"/>
      <c r="Y35" s="690"/>
      <c r="Z35" s="690"/>
      <c r="AA35" s="690"/>
    </row>
    <row r="36" spans="1:27" ht="31.5">
      <c r="A36" s="563">
        <v>19</v>
      </c>
      <c r="B36" s="568">
        <v>7000026861</v>
      </c>
      <c r="C36" s="568">
        <v>260</v>
      </c>
      <c r="D36" s="568">
        <v>80</v>
      </c>
      <c r="E36" s="568">
        <v>20</v>
      </c>
      <c r="F36" s="568" t="s">
        <v>601</v>
      </c>
      <c r="G36" s="568">
        <v>100002094</v>
      </c>
      <c r="H36" s="568">
        <v>998736</v>
      </c>
      <c r="I36" s="431"/>
      <c r="J36" s="426">
        <v>18</v>
      </c>
      <c r="K36" s="430"/>
      <c r="L36" s="425" t="s">
        <v>628</v>
      </c>
      <c r="M36" s="425" t="s">
        <v>518</v>
      </c>
      <c r="N36" s="425">
        <v>150</v>
      </c>
      <c r="O36" s="427"/>
      <c r="P36" s="429" t="str">
        <f t="shared" si="0"/>
        <v>INCLUDED</v>
      </c>
      <c r="Q36" s="655">
        <f t="shared" si="1"/>
        <v>0</v>
      </c>
      <c r="R36" s="686">
        <f t="shared" si="2"/>
        <v>0</v>
      </c>
      <c r="S36" s="687">
        <f>Discount!$J$36</f>
        <v>0</v>
      </c>
      <c r="T36" s="686">
        <f t="shared" si="3"/>
        <v>0</v>
      </c>
      <c r="U36" s="688">
        <f t="shared" si="4"/>
        <v>0</v>
      </c>
      <c r="V36" s="689">
        <f t="shared" si="5"/>
        <v>0</v>
      </c>
      <c r="W36" s="690"/>
      <c r="X36" s="690"/>
      <c r="Y36" s="690"/>
      <c r="Z36" s="690"/>
      <c r="AA36" s="690"/>
    </row>
    <row r="37" spans="1:27" ht="31.5">
      <c r="A37" s="563">
        <v>20</v>
      </c>
      <c r="B37" s="568">
        <v>7000026861</v>
      </c>
      <c r="C37" s="568">
        <v>270</v>
      </c>
      <c r="D37" s="568">
        <v>90</v>
      </c>
      <c r="E37" s="568">
        <v>10</v>
      </c>
      <c r="F37" s="568" t="s">
        <v>602</v>
      </c>
      <c r="G37" s="568">
        <v>100002392</v>
      </c>
      <c r="H37" s="568">
        <v>998736</v>
      </c>
      <c r="I37" s="431"/>
      <c r="J37" s="426">
        <v>18</v>
      </c>
      <c r="K37" s="430"/>
      <c r="L37" s="425" t="s">
        <v>724</v>
      </c>
      <c r="M37" s="425" t="s">
        <v>470</v>
      </c>
      <c r="N37" s="425">
        <v>8</v>
      </c>
      <c r="O37" s="427"/>
      <c r="P37" s="429" t="str">
        <f t="shared" si="0"/>
        <v>INCLUDED</v>
      </c>
      <c r="Q37" s="655">
        <f t="shared" si="1"/>
        <v>0</v>
      </c>
      <c r="R37" s="686">
        <f t="shared" si="2"/>
        <v>0</v>
      </c>
      <c r="S37" s="687">
        <f>Discount!$J$36</f>
        <v>0</v>
      </c>
      <c r="T37" s="686">
        <f t="shared" si="3"/>
        <v>0</v>
      </c>
      <c r="U37" s="688">
        <f t="shared" si="4"/>
        <v>0</v>
      </c>
      <c r="V37" s="689">
        <f t="shared" si="5"/>
        <v>0</v>
      </c>
      <c r="W37" s="690"/>
      <c r="X37" s="690"/>
      <c r="Y37" s="690"/>
      <c r="Z37" s="690"/>
      <c r="AA37" s="690"/>
    </row>
    <row r="38" spans="1:27" ht="31.5">
      <c r="A38" s="563">
        <v>21</v>
      </c>
      <c r="B38" s="568">
        <v>7000026861</v>
      </c>
      <c r="C38" s="568">
        <v>270</v>
      </c>
      <c r="D38" s="568">
        <v>90</v>
      </c>
      <c r="E38" s="568">
        <v>20</v>
      </c>
      <c r="F38" s="568" t="s">
        <v>602</v>
      </c>
      <c r="G38" s="568">
        <v>100023509</v>
      </c>
      <c r="H38" s="568">
        <v>998736</v>
      </c>
      <c r="I38" s="431"/>
      <c r="J38" s="426">
        <v>18</v>
      </c>
      <c r="K38" s="430"/>
      <c r="L38" s="425" t="s">
        <v>725</v>
      </c>
      <c r="M38" s="425" t="s">
        <v>518</v>
      </c>
      <c r="N38" s="425">
        <v>750</v>
      </c>
      <c r="O38" s="427"/>
      <c r="P38" s="429" t="str">
        <f t="shared" si="0"/>
        <v>INCLUDED</v>
      </c>
      <c r="Q38" s="655">
        <f t="shared" si="1"/>
        <v>0</v>
      </c>
      <c r="R38" s="686">
        <f t="shared" si="2"/>
        <v>0</v>
      </c>
      <c r="S38" s="687">
        <f>Discount!$J$36</f>
        <v>0</v>
      </c>
      <c r="T38" s="686">
        <f t="shared" si="3"/>
        <v>0</v>
      </c>
      <c r="U38" s="688">
        <f t="shared" si="4"/>
        <v>0</v>
      </c>
      <c r="V38" s="689">
        <f t="shared" si="5"/>
        <v>0</v>
      </c>
      <c r="W38" s="690"/>
      <c r="X38" s="690"/>
      <c r="Y38" s="690"/>
      <c r="Z38" s="690"/>
      <c r="AA38" s="690"/>
    </row>
    <row r="39" spans="1:27">
      <c r="A39" s="563">
        <v>22</v>
      </c>
      <c r="B39" s="568">
        <v>7000026861</v>
      </c>
      <c r="C39" s="568">
        <v>280</v>
      </c>
      <c r="D39" s="568">
        <v>100</v>
      </c>
      <c r="E39" s="568">
        <v>50</v>
      </c>
      <c r="F39" s="568" t="s">
        <v>603</v>
      </c>
      <c r="G39" s="568">
        <v>100002866</v>
      </c>
      <c r="H39" s="568">
        <v>998736</v>
      </c>
      <c r="I39" s="431"/>
      <c r="J39" s="426">
        <v>18</v>
      </c>
      <c r="K39" s="430"/>
      <c r="L39" s="425" t="s">
        <v>726</v>
      </c>
      <c r="M39" s="425" t="s">
        <v>518</v>
      </c>
      <c r="N39" s="425">
        <v>1200</v>
      </c>
      <c r="O39" s="427"/>
      <c r="P39" s="429" t="str">
        <f t="shared" si="0"/>
        <v>INCLUDED</v>
      </c>
      <c r="Q39" s="655">
        <f t="shared" si="1"/>
        <v>0</v>
      </c>
      <c r="R39" s="686">
        <f>IF( K39="",J39*(IF(P39="Included",0,P39))/100,K39*(IF(P39="Included",0,P39)))</f>
        <v>0</v>
      </c>
      <c r="S39" s="687">
        <f>Discount!$J$36</f>
        <v>0</v>
      </c>
      <c r="T39" s="686">
        <f>S39*Q39</f>
        <v>0</v>
      </c>
      <c r="U39" s="688">
        <f t="shared" ref="U39:U50" si="6">IF(K39="",J39*T39/100,K39*T39)</f>
        <v>0</v>
      </c>
      <c r="V39" s="689">
        <f t="shared" si="5"/>
        <v>0</v>
      </c>
      <c r="W39" s="690"/>
      <c r="X39" s="690"/>
      <c r="Y39" s="690"/>
      <c r="Z39" s="690"/>
      <c r="AA39" s="690"/>
    </row>
    <row r="40" spans="1:27">
      <c r="A40" s="563">
        <v>23</v>
      </c>
      <c r="B40" s="568">
        <v>7000026861</v>
      </c>
      <c r="C40" s="568">
        <v>280</v>
      </c>
      <c r="D40" s="568">
        <v>100</v>
      </c>
      <c r="E40" s="568">
        <v>60</v>
      </c>
      <c r="F40" s="568" t="s">
        <v>603</v>
      </c>
      <c r="G40" s="568">
        <v>100042648</v>
      </c>
      <c r="H40" s="568">
        <v>998736</v>
      </c>
      <c r="I40" s="431"/>
      <c r="J40" s="426">
        <v>18</v>
      </c>
      <c r="K40" s="430"/>
      <c r="L40" s="425" t="s">
        <v>727</v>
      </c>
      <c r="M40" s="425" t="s">
        <v>505</v>
      </c>
      <c r="N40" s="425">
        <v>1</v>
      </c>
      <c r="O40" s="427"/>
      <c r="P40" s="429" t="str">
        <f t="shared" ref="P40:P103" si="7">IF(O40=0, "INCLUDED", IF(ISERROR(N40*O40), O40, N40*O40))</f>
        <v>INCLUDED</v>
      </c>
      <c r="Q40" s="655">
        <f t="shared" ref="Q40:Q50" si="8">IF(P40="Included",0,P40)</f>
        <v>0</v>
      </c>
      <c r="R40" s="686">
        <f t="shared" ref="R40:R50" si="9">IF( K40="",J40*(IF(P40="Included",0,P40))/100,K40*(IF(P40="Included",0,P40)))</f>
        <v>0</v>
      </c>
      <c r="S40" s="687">
        <f>Discount!$J$36</f>
        <v>0</v>
      </c>
      <c r="T40" s="686">
        <f t="shared" ref="T40:T50" si="10">S40*Q40</f>
        <v>0</v>
      </c>
      <c r="U40" s="688">
        <f t="shared" si="6"/>
        <v>0</v>
      </c>
      <c r="V40" s="689">
        <f t="shared" si="5"/>
        <v>0</v>
      </c>
      <c r="W40" s="690"/>
      <c r="X40" s="690"/>
      <c r="Y40" s="690"/>
      <c r="Z40" s="690"/>
      <c r="AA40" s="690"/>
    </row>
    <row r="41" spans="1:27" ht="47.25">
      <c r="A41" s="563">
        <v>24</v>
      </c>
      <c r="B41" s="568">
        <v>7000026861</v>
      </c>
      <c r="C41" s="568">
        <v>330</v>
      </c>
      <c r="D41" s="568">
        <v>120</v>
      </c>
      <c r="E41" s="568">
        <v>10</v>
      </c>
      <c r="F41" s="568" t="s">
        <v>716</v>
      </c>
      <c r="G41" s="568">
        <v>100001210</v>
      </c>
      <c r="H41" s="568">
        <v>995455</v>
      </c>
      <c r="I41" s="431"/>
      <c r="J41" s="426">
        <v>18</v>
      </c>
      <c r="K41" s="430"/>
      <c r="L41" s="425" t="s">
        <v>728</v>
      </c>
      <c r="M41" s="425" t="s">
        <v>536</v>
      </c>
      <c r="N41" s="425">
        <v>102</v>
      </c>
      <c r="O41" s="427"/>
      <c r="P41" s="429" t="str">
        <f t="shared" si="7"/>
        <v>INCLUDED</v>
      </c>
      <c r="Q41" s="655">
        <f t="shared" si="8"/>
        <v>0</v>
      </c>
      <c r="R41" s="686">
        <f t="shared" si="9"/>
        <v>0</v>
      </c>
      <c r="S41" s="687">
        <f>Discount!$J$36</f>
        <v>0</v>
      </c>
      <c r="T41" s="686">
        <f t="shared" si="10"/>
        <v>0</v>
      </c>
      <c r="U41" s="688">
        <f t="shared" si="6"/>
        <v>0</v>
      </c>
      <c r="V41" s="689">
        <f t="shared" si="5"/>
        <v>0</v>
      </c>
      <c r="W41" s="690"/>
      <c r="X41" s="690"/>
      <c r="Y41" s="690"/>
      <c r="Z41" s="690"/>
      <c r="AA41" s="690"/>
    </row>
    <row r="42" spans="1:27" ht="63">
      <c r="A42" s="563">
        <v>25</v>
      </c>
      <c r="B42" s="568">
        <v>7000026861</v>
      </c>
      <c r="C42" s="568">
        <v>330</v>
      </c>
      <c r="D42" s="568">
        <v>120</v>
      </c>
      <c r="E42" s="568">
        <v>20</v>
      </c>
      <c r="F42" s="568" t="s">
        <v>716</v>
      </c>
      <c r="G42" s="568">
        <v>100001209</v>
      </c>
      <c r="H42" s="568">
        <v>995455</v>
      </c>
      <c r="I42" s="431"/>
      <c r="J42" s="426">
        <v>18</v>
      </c>
      <c r="K42" s="430"/>
      <c r="L42" s="425" t="s">
        <v>729</v>
      </c>
      <c r="M42" s="425" t="s">
        <v>536</v>
      </c>
      <c r="N42" s="425">
        <v>26</v>
      </c>
      <c r="O42" s="427"/>
      <c r="P42" s="429" t="str">
        <f t="shared" si="7"/>
        <v>INCLUDED</v>
      </c>
      <c r="Q42" s="655">
        <f t="shared" si="8"/>
        <v>0</v>
      </c>
      <c r="R42" s="686">
        <f t="shared" si="9"/>
        <v>0</v>
      </c>
      <c r="S42" s="687">
        <f>Discount!$J$36</f>
        <v>0</v>
      </c>
      <c r="T42" s="686">
        <f t="shared" si="10"/>
        <v>0</v>
      </c>
      <c r="U42" s="688">
        <f t="shared" si="6"/>
        <v>0</v>
      </c>
      <c r="V42" s="689">
        <f t="shared" si="5"/>
        <v>0</v>
      </c>
      <c r="W42" s="690"/>
      <c r="X42" s="690"/>
      <c r="Y42" s="690"/>
      <c r="Z42" s="690"/>
      <c r="AA42" s="690"/>
    </row>
    <row r="43" spans="1:27" ht="31.5">
      <c r="A43" s="563">
        <v>26</v>
      </c>
      <c r="B43" s="568">
        <v>7000026861</v>
      </c>
      <c r="C43" s="568">
        <v>330</v>
      </c>
      <c r="D43" s="568">
        <v>120</v>
      </c>
      <c r="E43" s="568">
        <v>30</v>
      </c>
      <c r="F43" s="568" t="s">
        <v>716</v>
      </c>
      <c r="G43" s="568">
        <v>100001680</v>
      </c>
      <c r="H43" s="568">
        <v>995455</v>
      </c>
      <c r="I43" s="431"/>
      <c r="J43" s="426">
        <v>18</v>
      </c>
      <c r="K43" s="430"/>
      <c r="L43" s="425" t="s">
        <v>730</v>
      </c>
      <c r="M43" s="425" t="s">
        <v>536</v>
      </c>
      <c r="N43" s="425">
        <v>6</v>
      </c>
      <c r="O43" s="427"/>
      <c r="P43" s="429" t="str">
        <f t="shared" si="7"/>
        <v>INCLUDED</v>
      </c>
      <c r="Q43" s="655">
        <f t="shared" si="8"/>
        <v>0</v>
      </c>
      <c r="R43" s="686">
        <f t="shared" si="9"/>
        <v>0</v>
      </c>
      <c r="S43" s="687">
        <f>Discount!$J$36</f>
        <v>0</v>
      </c>
      <c r="T43" s="686">
        <f t="shared" si="10"/>
        <v>0</v>
      </c>
      <c r="U43" s="688">
        <f t="shared" si="6"/>
        <v>0</v>
      </c>
      <c r="V43" s="689">
        <f t="shared" si="5"/>
        <v>0</v>
      </c>
      <c r="W43" s="690"/>
      <c r="X43" s="690"/>
      <c r="Y43" s="690"/>
      <c r="Z43" s="690"/>
      <c r="AA43" s="690"/>
    </row>
    <row r="44" spans="1:27" ht="31.5">
      <c r="A44" s="563">
        <v>27</v>
      </c>
      <c r="B44" s="568">
        <v>7000026861</v>
      </c>
      <c r="C44" s="568">
        <v>330</v>
      </c>
      <c r="D44" s="568">
        <v>120</v>
      </c>
      <c r="E44" s="568">
        <v>40</v>
      </c>
      <c r="F44" s="568" t="s">
        <v>716</v>
      </c>
      <c r="G44" s="568">
        <v>100001681</v>
      </c>
      <c r="H44" s="568">
        <v>995455</v>
      </c>
      <c r="I44" s="431"/>
      <c r="J44" s="426">
        <v>18</v>
      </c>
      <c r="K44" s="430"/>
      <c r="L44" s="425" t="s">
        <v>731</v>
      </c>
      <c r="M44" s="425" t="s">
        <v>536</v>
      </c>
      <c r="N44" s="425">
        <v>11</v>
      </c>
      <c r="O44" s="427"/>
      <c r="P44" s="429" t="str">
        <f t="shared" si="7"/>
        <v>INCLUDED</v>
      </c>
      <c r="Q44" s="655">
        <f t="shared" si="8"/>
        <v>0</v>
      </c>
      <c r="R44" s="686">
        <f t="shared" si="9"/>
        <v>0</v>
      </c>
      <c r="S44" s="687">
        <f>Discount!$J$36</f>
        <v>0</v>
      </c>
      <c r="T44" s="686">
        <f t="shared" si="10"/>
        <v>0</v>
      </c>
      <c r="U44" s="688">
        <f t="shared" si="6"/>
        <v>0</v>
      </c>
      <c r="V44" s="689">
        <f t="shared" si="5"/>
        <v>0</v>
      </c>
      <c r="W44" s="690"/>
      <c r="X44" s="690"/>
      <c r="Y44" s="690"/>
      <c r="Z44" s="690"/>
      <c r="AA44" s="690"/>
    </row>
    <row r="45" spans="1:27" ht="47.25">
      <c r="A45" s="563">
        <v>28</v>
      </c>
      <c r="B45" s="568">
        <v>7000026861</v>
      </c>
      <c r="C45" s="568">
        <v>340</v>
      </c>
      <c r="D45" s="568">
        <v>130</v>
      </c>
      <c r="E45" s="568">
        <v>10</v>
      </c>
      <c r="F45" s="568" t="s">
        <v>717</v>
      </c>
      <c r="G45" s="568">
        <v>100004518</v>
      </c>
      <c r="H45" s="568">
        <v>995433</v>
      </c>
      <c r="I45" s="431"/>
      <c r="J45" s="426">
        <v>18</v>
      </c>
      <c r="K45" s="430"/>
      <c r="L45" s="425" t="s">
        <v>732</v>
      </c>
      <c r="M45" s="425" t="s">
        <v>733</v>
      </c>
      <c r="N45" s="425">
        <v>5822</v>
      </c>
      <c r="O45" s="427"/>
      <c r="P45" s="429" t="str">
        <f t="shared" si="7"/>
        <v>INCLUDED</v>
      </c>
      <c r="Q45" s="655">
        <f t="shared" si="8"/>
        <v>0</v>
      </c>
      <c r="R45" s="686">
        <f t="shared" si="9"/>
        <v>0</v>
      </c>
      <c r="S45" s="687">
        <f>Discount!$J$36</f>
        <v>0</v>
      </c>
      <c r="T45" s="686">
        <f t="shared" si="10"/>
        <v>0</v>
      </c>
      <c r="U45" s="688">
        <f t="shared" si="6"/>
        <v>0</v>
      </c>
      <c r="V45" s="689">
        <f t="shared" si="5"/>
        <v>0</v>
      </c>
      <c r="W45" s="690"/>
      <c r="X45" s="690"/>
      <c r="Y45" s="690"/>
      <c r="Z45" s="690"/>
      <c r="AA45" s="690"/>
    </row>
    <row r="46" spans="1:27" ht="47.25">
      <c r="A46" s="563">
        <v>29</v>
      </c>
      <c r="B46" s="568">
        <v>7000026861</v>
      </c>
      <c r="C46" s="568">
        <v>340</v>
      </c>
      <c r="D46" s="568">
        <v>130</v>
      </c>
      <c r="E46" s="568">
        <v>20</v>
      </c>
      <c r="F46" s="568" t="s">
        <v>717</v>
      </c>
      <c r="G46" s="568">
        <v>100011662</v>
      </c>
      <c r="H46" s="568">
        <v>995433</v>
      </c>
      <c r="I46" s="431"/>
      <c r="J46" s="426">
        <v>18</v>
      </c>
      <c r="K46" s="430"/>
      <c r="L46" s="425" t="s">
        <v>734</v>
      </c>
      <c r="M46" s="425" t="s">
        <v>733</v>
      </c>
      <c r="N46" s="425">
        <v>1940</v>
      </c>
      <c r="O46" s="427"/>
      <c r="P46" s="429" t="str">
        <f t="shared" si="7"/>
        <v>INCLUDED</v>
      </c>
      <c r="Q46" s="655">
        <f t="shared" si="8"/>
        <v>0</v>
      </c>
      <c r="R46" s="686">
        <f t="shared" si="9"/>
        <v>0</v>
      </c>
      <c r="S46" s="687">
        <f>Discount!$J$36</f>
        <v>0</v>
      </c>
      <c r="T46" s="686">
        <f t="shared" si="10"/>
        <v>0</v>
      </c>
      <c r="U46" s="688">
        <f t="shared" si="6"/>
        <v>0</v>
      </c>
      <c r="V46" s="689">
        <f t="shared" si="5"/>
        <v>0</v>
      </c>
      <c r="W46" s="690"/>
      <c r="X46" s="690"/>
      <c r="Y46" s="690"/>
      <c r="Z46" s="690"/>
      <c r="AA46" s="690"/>
    </row>
    <row r="47" spans="1:27">
      <c r="A47" s="563">
        <v>30</v>
      </c>
      <c r="B47" s="568">
        <v>7000026861</v>
      </c>
      <c r="C47" s="568">
        <v>340</v>
      </c>
      <c r="D47" s="568">
        <v>130</v>
      </c>
      <c r="E47" s="568">
        <v>30</v>
      </c>
      <c r="F47" s="568" t="s">
        <v>717</v>
      </c>
      <c r="G47" s="568">
        <v>100001325</v>
      </c>
      <c r="H47" s="568">
        <v>995454</v>
      </c>
      <c r="I47" s="431"/>
      <c r="J47" s="426">
        <v>18</v>
      </c>
      <c r="K47" s="430"/>
      <c r="L47" s="425" t="s">
        <v>735</v>
      </c>
      <c r="M47" s="425" t="s">
        <v>733</v>
      </c>
      <c r="N47" s="425">
        <v>246</v>
      </c>
      <c r="O47" s="427"/>
      <c r="P47" s="429" t="str">
        <f t="shared" si="7"/>
        <v>INCLUDED</v>
      </c>
      <c r="Q47" s="655">
        <f t="shared" si="8"/>
        <v>0</v>
      </c>
      <c r="R47" s="686">
        <f t="shared" si="9"/>
        <v>0</v>
      </c>
      <c r="S47" s="687">
        <f>Discount!$J$36</f>
        <v>0</v>
      </c>
      <c r="T47" s="686">
        <f t="shared" si="10"/>
        <v>0</v>
      </c>
      <c r="U47" s="688">
        <f t="shared" si="6"/>
        <v>0</v>
      </c>
      <c r="V47" s="689">
        <f t="shared" si="5"/>
        <v>0</v>
      </c>
      <c r="W47" s="690"/>
      <c r="X47" s="690"/>
      <c r="Y47" s="690"/>
      <c r="Z47" s="690"/>
      <c r="AA47" s="690"/>
    </row>
    <row r="48" spans="1:27">
      <c r="A48" s="563">
        <v>31</v>
      </c>
      <c r="B48" s="568">
        <v>7000026861</v>
      </c>
      <c r="C48" s="568">
        <v>340</v>
      </c>
      <c r="D48" s="568">
        <v>130</v>
      </c>
      <c r="E48" s="568">
        <v>40</v>
      </c>
      <c r="F48" s="568" t="s">
        <v>717</v>
      </c>
      <c r="G48" s="568">
        <v>100001326</v>
      </c>
      <c r="H48" s="568">
        <v>995454</v>
      </c>
      <c r="I48" s="431"/>
      <c r="J48" s="426">
        <v>18</v>
      </c>
      <c r="K48" s="430"/>
      <c r="L48" s="425" t="s">
        <v>736</v>
      </c>
      <c r="M48" s="425" t="s">
        <v>733</v>
      </c>
      <c r="N48" s="425">
        <v>5</v>
      </c>
      <c r="O48" s="427"/>
      <c r="P48" s="429" t="str">
        <f t="shared" si="7"/>
        <v>INCLUDED</v>
      </c>
      <c r="Q48" s="655">
        <f t="shared" si="8"/>
        <v>0</v>
      </c>
      <c r="R48" s="686">
        <f t="shared" si="9"/>
        <v>0</v>
      </c>
      <c r="S48" s="687">
        <f>Discount!$J$36</f>
        <v>0</v>
      </c>
      <c r="T48" s="686">
        <f t="shared" si="10"/>
        <v>0</v>
      </c>
      <c r="U48" s="688">
        <f t="shared" si="6"/>
        <v>0</v>
      </c>
      <c r="V48" s="689">
        <f t="shared" si="5"/>
        <v>0</v>
      </c>
      <c r="W48" s="690"/>
      <c r="X48" s="690"/>
      <c r="Y48" s="690"/>
      <c r="Z48" s="690"/>
      <c r="AA48" s="690"/>
    </row>
    <row r="49" spans="1:27">
      <c r="A49" s="563">
        <v>32</v>
      </c>
      <c r="B49" s="568">
        <v>7000026861</v>
      </c>
      <c r="C49" s="568">
        <v>340</v>
      </c>
      <c r="D49" s="568">
        <v>130</v>
      </c>
      <c r="E49" s="568">
        <v>50</v>
      </c>
      <c r="F49" s="568" t="s">
        <v>717</v>
      </c>
      <c r="G49" s="568">
        <v>100001328</v>
      </c>
      <c r="H49" s="568">
        <v>995454</v>
      </c>
      <c r="I49" s="431"/>
      <c r="J49" s="426">
        <v>18</v>
      </c>
      <c r="K49" s="430"/>
      <c r="L49" s="425" t="s">
        <v>737</v>
      </c>
      <c r="M49" s="425" t="s">
        <v>733</v>
      </c>
      <c r="N49" s="425">
        <v>574</v>
      </c>
      <c r="O49" s="427"/>
      <c r="P49" s="429" t="str">
        <f t="shared" si="7"/>
        <v>INCLUDED</v>
      </c>
      <c r="Q49" s="655">
        <f t="shared" si="8"/>
        <v>0</v>
      </c>
      <c r="R49" s="686">
        <f t="shared" si="9"/>
        <v>0</v>
      </c>
      <c r="S49" s="687">
        <f>Discount!$J$36</f>
        <v>0</v>
      </c>
      <c r="T49" s="686">
        <f t="shared" si="10"/>
        <v>0</v>
      </c>
      <c r="U49" s="688">
        <f t="shared" si="6"/>
        <v>0</v>
      </c>
      <c r="V49" s="689">
        <f t="shared" si="5"/>
        <v>0</v>
      </c>
      <c r="W49" s="690"/>
      <c r="X49" s="690"/>
      <c r="Y49" s="690"/>
      <c r="Z49" s="690"/>
      <c r="AA49" s="690"/>
    </row>
    <row r="50" spans="1:27" ht="31.5">
      <c r="A50" s="563">
        <v>33</v>
      </c>
      <c r="B50" s="568">
        <v>7000026861</v>
      </c>
      <c r="C50" s="568">
        <v>340</v>
      </c>
      <c r="D50" s="568">
        <v>130</v>
      </c>
      <c r="E50" s="568">
        <v>60</v>
      </c>
      <c r="F50" s="568" t="s">
        <v>717</v>
      </c>
      <c r="G50" s="568">
        <v>100001327</v>
      </c>
      <c r="H50" s="568">
        <v>995454</v>
      </c>
      <c r="I50" s="431"/>
      <c r="J50" s="426">
        <v>18</v>
      </c>
      <c r="K50" s="430"/>
      <c r="L50" s="425" t="s">
        <v>738</v>
      </c>
      <c r="M50" s="425" t="s">
        <v>733</v>
      </c>
      <c r="N50" s="425">
        <v>2374</v>
      </c>
      <c r="O50" s="427"/>
      <c r="P50" s="429" t="str">
        <f t="shared" si="7"/>
        <v>INCLUDED</v>
      </c>
      <c r="Q50" s="655">
        <f t="shared" si="8"/>
        <v>0</v>
      </c>
      <c r="R50" s="686">
        <f t="shared" si="9"/>
        <v>0</v>
      </c>
      <c r="S50" s="687">
        <f>Discount!$J$36</f>
        <v>0</v>
      </c>
      <c r="T50" s="686">
        <f t="shared" si="10"/>
        <v>0</v>
      </c>
      <c r="U50" s="688">
        <f t="shared" si="6"/>
        <v>0</v>
      </c>
      <c r="V50" s="689">
        <f t="shared" si="5"/>
        <v>0</v>
      </c>
      <c r="W50" s="690"/>
      <c r="X50" s="690"/>
      <c r="Y50" s="690"/>
      <c r="Z50" s="690"/>
      <c r="AA50" s="690"/>
    </row>
    <row r="51" spans="1:27">
      <c r="A51" s="563">
        <v>34</v>
      </c>
      <c r="B51" s="568">
        <v>7000026861</v>
      </c>
      <c r="C51" s="568">
        <v>340</v>
      </c>
      <c r="D51" s="568">
        <v>130</v>
      </c>
      <c r="E51" s="568">
        <v>70</v>
      </c>
      <c r="F51" s="568" t="s">
        <v>717</v>
      </c>
      <c r="G51" s="568">
        <v>100001329</v>
      </c>
      <c r="H51" s="568">
        <v>995454</v>
      </c>
      <c r="I51" s="431"/>
      <c r="J51" s="426">
        <v>18</v>
      </c>
      <c r="K51" s="430"/>
      <c r="L51" s="425" t="s">
        <v>739</v>
      </c>
      <c r="M51" s="425" t="s">
        <v>536</v>
      </c>
      <c r="N51" s="425">
        <v>177</v>
      </c>
      <c r="O51" s="427"/>
      <c r="P51" s="429" t="str">
        <f t="shared" si="7"/>
        <v>INCLUDED</v>
      </c>
      <c r="Q51" s="655">
        <f t="shared" ref="Q51:Q56" si="11">IF(P51="Included",0,P51)</f>
        <v>0</v>
      </c>
      <c r="R51" s="686">
        <f t="shared" ref="R51:R56" si="12">IF( K51="",J51*(IF(P51="Included",0,P51))/100,K51*(IF(P51="Included",0,P51)))</f>
        <v>0</v>
      </c>
      <c r="S51" s="687">
        <f>Discount!$J$36</f>
        <v>0</v>
      </c>
      <c r="T51" s="686">
        <f t="shared" ref="T51:T56" si="13">S51*Q51</f>
        <v>0</v>
      </c>
      <c r="U51" s="688">
        <f t="shared" ref="U51:U56" si="14">IF(K51="",J51*T51/100,K51*T51)</f>
        <v>0</v>
      </c>
      <c r="V51" s="689">
        <f t="shared" si="5"/>
        <v>0</v>
      </c>
      <c r="W51" s="690"/>
      <c r="X51" s="690"/>
      <c r="Y51" s="690"/>
      <c r="Z51" s="690"/>
      <c r="AA51" s="690"/>
    </row>
    <row r="52" spans="1:27">
      <c r="A52" s="563">
        <v>35</v>
      </c>
      <c r="B52" s="568">
        <v>7000026861</v>
      </c>
      <c r="C52" s="568">
        <v>340</v>
      </c>
      <c r="D52" s="568">
        <v>130</v>
      </c>
      <c r="E52" s="568">
        <v>80</v>
      </c>
      <c r="F52" s="568" t="s">
        <v>717</v>
      </c>
      <c r="G52" s="568">
        <v>100001330</v>
      </c>
      <c r="H52" s="568">
        <v>995428</v>
      </c>
      <c r="I52" s="431"/>
      <c r="J52" s="426">
        <v>18</v>
      </c>
      <c r="K52" s="430"/>
      <c r="L52" s="425" t="s">
        <v>740</v>
      </c>
      <c r="M52" s="425" t="s">
        <v>733</v>
      </c>
      <c r="N52" s="425">
        <v>62</v>
      </c>
      <c r="O52" s="427"/>
      <c r="P52" s="429" t="str">
        <f t="shared" si="7"/>
        <v>INCLUDED</v>
      </c>
      <c r="Q52" s="655">
        <f t="shared" si="11"/>
        <v>0</v>
      </c>
      <c r="R52" s="686">
        <f t="shared" si="12"/>
        <v>0</v>
      </c>
      <c r="S52" s="687">
        <f>Discount!$J$36</f>
        <v>0</v>
      </c>
      <c r="T52" s="686">
        <f t="shared" si="13"/>
        <v>0</v>
      </c>
      <c r="U52" s="688">
        <f t="shared" si="14"/>
        <v>0</v>
      </c>
      <c r="V52" s="689">
        <f t="shared" si="5"/>
        <v>0</v>
      </c>
      <c r="W52" s="690"/>
      <c r="X52" s="690"/>
      <c r="Y52" s="690"/>
      <c r="Z52" s="690"/>
      <c r="AA52" s="690"/>
    </row>
    <row r="53" spans="1:27" ht="31.5">
      <c r="A53" s="563">
        <v>36</v>
      </c>
      <c r="B53" s="568">
        <v>7000026861</v>
      </c>
      <c r="C53" s="568">
        <v>340</v>
      </c>
      <c r="D53" s="568">
        <v>130</v>
      </c>
      <c r="E53" s="568">
        <v>90</v>
      </c>
      <c r="F53" s="568" t="s">
        <v>717</v>
      </c>
      <c r="G53" s="568">
        <v>100001331</v>
      </c>
      <c r="H53" s="568">
        <v>995455</v>
      </c>
      <c r="I53" s="431"/>
      <c r="J53" s="426">
        <v>18</v>
      </c>
      <c r="K53" s="430"/>
      <c r="L53" s="425" t="s">
        <v>741</v>
      </c>
      <c r="M53" s="425" t="s">
        <v>536</v>
      </c>
      <c r="N53" s="425">
        <v>35</v>
      </c>
      <c r="O53" s="427"/>
      <c r="P53" s="429" t="str">
        <f t="shared" si="7"/>
        <v>INCLUDED</v>
      </c>
      <c r="Q53" s="655">
        <f t="shared" si="11"/>
        <v>0</v>
      </c>
      <c r="R53" s="686">
        <f t="shared" si="12"/>
        <v>0</v>
      </c>
      <c r="S53" s="687">
        <f>Discount!$J$36</f>
        <v>0</v>
      </c>
      <c r="T53" s="686">
        <f t="shared" si="13"/>
        <v>0</v>
      </c>
      <c r="U53" s="688">
        <f t="shared" si="14"/>
        <v>0</v>
      </c>
      <c r="V53" s="689">
        <f t="shared" si="5"/>
        <v>0</v>
      </c>
      <c r="W53" s="690"/>
      <c r="X53" s="690"/>
      <c r="Y53" s="690"/>
      <c r="Z53" s="690"/>
      <c r="AA53" s="690"/>
    </row>
    <row r="54" spans="1:27">
      <c r="A54" s="563">
        <v>37</v>
      </c>
      <c r="B54" s="568">
        <v>7000026861</v>
      </c>
      <c r="C54" s="568">
        <v>340</v>
      </c>
      <c r="D54" s="568">
        <v>130</v>
      </c>
      <c r="E54" s="568">
        <v>100</v>
      </c>
      <c r="F54" s="568" t="s">
        <v>717</v>
      </c>
      <c r="G54" s="568">
        <v>100001714</v>
      </c>
      <c r="H54" s="568">
        <v>995428</v>
      </c>
      <c r="I54" s="431"/>
      <c r="J54" s="426">
        <v>18</v>
      </c>
      <c r="K54" s="430"/>
      <c r="L54" s="425" t="s">
        <v>742</v>
      </c>
      <c r="M54" s="425" t="s">
        <v>743</v>
      </c>
      <c r="N54" s="425">
        <v>7500</v>
      </c>
      <c r="O54" s="427"/>
      <c r="P54" s="429" t="str">
        <f t="shared" si="7"/>
        <v>INCLUDED</v>
      </c>
      <c r="Q54" s="655">
        <f t="shared" si="11"/>
        <v>0</v>
      </c>
      <c r="R54" s="686">
        <f t="shared" si="12"/>
        <v>0</v>
      </c>
      <c r="S54" s="687">
        <f>Discount!$J$36</f>
        <v>0</v>
      </c>
      <c r="T54" s="686">
        <f t="shared" si="13"/>
        <v>0</v>
      </c>
      <c r="U54" s="688">
        <f t="shared" si="14"/>
        <v>0</v>
      </c>
      <c r="V54" s="689">
        <f t="shared" si="5"/>
        <v>0</v>
      </c>
      <c r="W54" s="690"/>
      <c r="X54" s="690"/>
      <c r="Y54" s="690"/>
      <c r="Z54" s="690"/>
      <c r="AA54" s="690"/>
    </row>
    <row r="55" spans="1:27">
      <c r="A55" s="563">
        <v>38</v>
      </c>
      <c r="B55" s="568">
        <v>7000026861</v>
      </c>
      <c r="C55" s="568">
        <v>340</v>
      </c>
      <c r="D55" s="568">
        <v>130</v>
      </c>
      <c r="E55" s="568">
        <v>110</v>
      </c>
      <c r="F55" s="568" t="s">
        <v>717</v>
      </c>
      <c r="G55" s="568">
        <v>100001713</v>
      </c>
      <c r="H55" s="568">
        <v>995424</v>
      </c>
      <c r="I55" s="431"/>
      <c r="J55" s="426">
        <v>18</v>
      </c>
      <c r="K55" s="430"/>
      <c r="L55" s="425" t="s">
        <v>744</v>
      </c>
      <c r="M55" s="425" t="s">
        <v>743</v>
      </c>
      <c r="N55" s="425">
        <v>7500</v>
      </c>
      <c r="O55" s="427"/>
      <c r="P55" s="429" t="str">
        <f t="shared" si="7"/>
        <v>INCLUDED</v>
      </c>
      <c r="Q55" s="655">
        <f t="shared" si="11"/>
        <v>0</v>
      </c>
      <c r="R55" s="686">
        <f t="shared" si="12"/>
        <v>0</v>
      </c>
      <c r="S55" s="687">
        <f>Discount!$J$36</f>
        <v>0</v>
      </c>
      <c r="T55" s="686">
        <f t="shared" si="13"/>
        <v>0</v>
      </c>
      <c r="U55" s="688">
        <f t="shared" si="14"/>
        <v>0</v>
      </c>
      <c r="V55" s="689">
        <f t="shared" si="5"/>
        <v>0</v>
      </c>
      <c r="W55" s="690"/>
      <c r="X55" s="690"/>
      <c r="Y55" s="690"/>
      <c r="Z55" s="690"/>
      <c r="AA55" s="690"/>
    </row>
    <row r="56" spans="1:27" ht="31.5">
      <c r="A56" s="563">
        <v>39</v>
      </c>
      <c r="B56" s="568">
        <v>7000026861</v>
      </c>
      <c r="C56" s="568">
        <v>340</v>
      </c>
      <c r="D56" s="568">
        <v>130</v>
      </c>
      <c r="E56" s="568">
        <v>120</v>
      </c>
      <c r="F56" s="568" t="s">
        <v>717</v>
      </c>
      <c r="G56" s="568">
        <v>100001712</v>
      </c>
      <c r="H56" s="568">
        <v>995428</v>
      </c>
      <c r="I56" s="431"/>
      <c r="J56" s="426">
        <v>18</v>
      </c>
      <c r="K56" s="430"/>
      <c r="L56" s="425" t="s">
        <v>745</v>
      </c>
      <c r="M56" s="425" t="s">
        <v>743</v>
      </c>
      <c r="N56" s="425">
        <v>7500</v>
      </c>
      <c r="O56" s="427"/>
      <c r="P56" s="429" t="str">
        <f t="shared" si="7"/>
        <v>INCLUDED</v>
      </c>
      <c r="Q56" s="655">
        <f t="shared" si="11"/>
        <v>0</v>
      </c>
      <c r="R56" s="686">
        <f t="shared" si="12"/>
        <v>0</v>
      </c>
      <c r="S56" s="687">
        <f>Discount!$J$36</f>
        <v>0</v>
      </c>
      <c r="T56" s="686">
        <f t="shared" si="13"/>
        <v>0</v>
      </c>
      <c r="U56" s="688">
        <f t="shared" si="14"/>
        <v>0</v>
      </c>
      <c r="V56" s="689">
        <f t="shared" si="5"/>
        <v>0</v>
      </c>
      <c r="W56" s="690"/>
      <c r="X56" s="690"/>
      <c r="Y56" s="690"/>
      <c r="Z56" s="690"/>
      <c r="AA56" s="690"/>
    </row>
    <row r="57" spans="1:27">
      <c r="A57" s="563">
        <v>40</v>
      </c>
      <c r="B57" s="568">
        <v>7000026861</v>
      </c>
      <c r="C57" s="568">
        <v>340</v>
      </c>
      <c r="D57" s="568">
        <v>130</v>
      </c>
      <c r="E57" s="568">
        <v>130</v>
      </c>
      <c r="F57" s="568" t="s">
        <v>717</v>
      </c>
      <c r="G57" s="568">
        <v>100003114</v>
      </c>
      <c r="H57" s="568">
        <v>995454</v>
      </c>
      <c r="I57" s="431"/>
      <c r="J57" s="426">
        <v>18</v>
      </c>
      <c r="K57" s="430"/>
      <c r="L57" s="425" t="s">
        <v>746</v>
      </c>
      <c r="M57" s="425" t="s">
        <v>743</v>
      </c>
      <c r="N57" s="425">
        <v>720</v>
      </c>
      <c r="O57" s="427"/>
      <c r="P57" s="429" t="str">
        <f t="shared" si="7"/>
        <v>INCLUDED</v>
      </c>
      <c r="Q57" s="655">
        <f t="shared" ref="Q57:Q62" si="15">IF(P57="Included",0,P57)</f>
        <v>0</v>
      </c>
      <c r="R57" s="686">
        <f t="shared" ref="R57:R62" si="16">IF( K57="",J57*(IF(P57="Included",0,P57))/100,K57*(IF(P57="Included",0,P57)))</f>
        <v>0</v>
      </c>
      <c r="S57" s="687">
        <f>Discount!$J$36</f>
        <v>0</v>
      </c>
      <c r="T57" s="686">
        <f t="shared" ref="T57:T62" si="17">S57*Q57</f>
        <v>0</v>
      </c>
      <c r="U57" s="688">
        <f t="shared" ref="U57:U62" si="18">IF(K57="",J57*T57/100,K57*T57)</f>
        <v>0</v>
      </c>
      <c r="V57" s="689">
        <f t="shared" si="5"/>
        <v>0</v>
      </c>
      <c r="W57" s="690"/>
      <c r="X57" s="690"/>
      <c r="Y57" s="690"/>
      <c r="Z57" s="690"/>
      <c r="AA57" s="690"/>
    </row>
    <row r="58" spans="1:27" ht="47.25">
      <c r="A58" s="563">
        <v>41</v>
      </c>
      <c r="B58" s="568">
        <v>7000026861</v>
      </c>
      <c r="C58" s="568">
        <v>340</v>
      </c>
      <c r="D58" s="568">
        <v>130</v>
      </c>
      <c r="E58" s="568">
        <v>140</v>
      </c>
      <c r="F58" s="568" t="s">
        <v>717</v>
      </c>
      <c r="G58" s="568">
        <v>100001457</v>
      </c>
      <c r="H58" s="568">
        <v>995421</v>
      </c>
      <c r="I58" s="431"/>
      <c r="J58" s="426">
        <v>18</v>
      </c>
      <c r="K58" s="430"/>
      <c r="L58" s="425" t="s">
        <v>747</v>
      </c>
      <c r="M58" s="425" t="s">
        <v>743</v>
      </c>
      <c r="N58" s="425">
        <v>277</v>
      </c>
      <c r="O58" s="427"/>
      <c r="P58" s="429" t="str">
        <f t="shared" si="7"/>
        <v>INCLUDED</v>
      </c>
      <c r="Q58" s="655">
        <f t="shared" si="15"/>
        <v>0</v>
      </c>
      <c r="R58" s="686">
        <f t="shared" si="16"/>
        <v>0</v>
      </c>
      <c r="S58" s="687">
        <f>Discount!$J$36</f>
        <v>0</v>
      </c>
      <c r="T58" s="686">
        <f t="shared" si="17"/>
        <v>0</v>
      </c>
      <c r="U58" s="688">
        <f t="shared" si="18"/>
        <v>0</v>
      </c>
      <c r="V58" s="689">
        <f t="shared" si="5"/>
        <v>0</v>
      </c>
      <c r="W58" s="690"/>
      <c r="X58" s="690"/>
      <c r="Y58" s="690"/>
      <c r="Z58" s="690"/>
      <c r="AA58" s="690"/>
    </row>
    <row r="59" spans="1:27">
      <c r="A59" s="563">
        <v>42</v>
      </c>
      <c r="B59" s="568">
        <v>7000026861</v>
      </c>
      <c r="C59" s="568">
        <v>340</v>
      </c>
      <c r="D59" s="568">
        <v>130</v>
      </c>
      <c r="E59" s="568">
        <v>150</v>
      </c>
      <c r="F59" s="568" t="s">
        <v>717</v>
      </c>
      <c r="G59" s="568">
        <v>100007701</v>
      </c>
      <c r="H59" s="568">
        <v>995462</v>
      </c>
      <c r="I59" s="431"/>
      <c r="J59" s="426">
        <v>18</v>
      </c>
      <c r="K59" s="430"/>
      <c r="L59" s="425" t="s">
        <v>748</v>
      </c>
      <c r="M59" s="425" t="s">
        <v>470</v>
      </c>
      <c r="N59" s="425">
        <v>1</v>
      </c>
      <c r="O59" s="427"/>
      <c r="P59" s="429" t="str">
        <f t="shared" si="7"/>
        <v>INCLUDED</v>
      </c>
      <c r="Q59" s="655">
        <f t="shared" si="15"/>
        <v>0</v>
      </c>
      <c r="R59" s="686">
        <f t="shared" si="16"/>
        <v>0</v>
      </c>
      <c r="S59" s="687">
        <f>Discount!$J$36</f>
        <v>0</v>
      </c>
      <c r="T59" s="686">
        <f t="shared" si="17"/>
        <v>0</v>
      </c>
      <c r="U59" s="688">
        <f t="shared" si="18"/>
        <v>0</v>
      </c>
      <c r="V59" s="689">
        <f t="shared" si="5"/>
        <v>0</v>
      </c>
      <c r="W59" s="690"/>
      <c r="X59" s="690"/>
      <c r="Y59" s="690"/>
      <c r="Z59" s="690"/>
      <c r="AA59" s="690"/>
    </row>
    <row r="60" spans="1:27">
      <c r="A60" s="563">
        <v>43</v>
      </c>
      <c r="B60" s="568">
        <v>7000026861</v>
      </c>
      <c r="C60" s="568">
        <v>340</v>
      </c>
      <c r="D60" s="568">
        <v>130</v>
      </c>
      <c r="E60" s="568">
        <v>160</v>
      </c>
      <c r="F60" s="568" t="s">
        <v>717</v>
      </c>
      <c r="G60" s="568">
        <v>100001409</v>
      </c>
      <c r="H60" s="568">
        <v>995462</v>
      </c>
      <c r="I60" s="431"/>
      <c r="J60" s="426">
        <v>18</v>
      </c>
      <c r="K60" s="430"/>
      <c r="L60" s="425" t="s">
        <v>749</v>
      </c>
      <c r="M60" s="425" t="s">
        <v>470</v>
      </c>
      <c r="N60" s="425">
        <v>1</v>
      </c>
      <c r="O60" s="427"/>
      <c r="P60" s="429" t="str">
        <f t="shared" si="7"/>
        <v>INCLUDED</v>
      </c>
      <c r="Q60" s="655">
        <f t="shared" si="15"/>
        <v>0</v>
      </c>
      <c r="R60" s="686">
        <f t="shared" si="16"/>
        <v>0</v>
      </c>
      <c r="S60" s="687">
        <f>Discount!$J$36</f>
        <v>0</v>
      </c>
      <c r="T60" s="686">
        <f t="shared" si="17"/>
        <v>0</v>
      </c>
      <c r="U60" s="688">
        <f t="shared" si="18"/>
        <v>0</v>
      </c>
      <c r="V60" s="689">
        <f t="shared" si="5"/>
        <v>0</v>
      </c>
      <c r="W60" s="690"/>
      <c r="X60" s="690"/>
      <c r="Y60" s="690"/>
      <c r="Z60" s="690"/>
      <c r="AA60" s="690"/>
    </row>
    <row r="61" spans="1:27" ht="31.5">
      <c r="A61" s="563">
        <v>44</v>
      </c>
      <c r="B61" s="568">
        <v>7000026861</v>
      </c>
      <c r="C61" s="568">
        <v>340</v>
      </c>
      <c r="D61" s="568">
        <v>130</v>
      </c>
      <c r="E61" s="568">
        <v>170</v>
      </c>
      <c r="F61" s="568" t="s">
        <v>717</v>
      </c>
      <c r="G61" s="568">
        <v>100001478</v>
      </c>
      <c r="H61" s="568">
        <v>995454</v>
      </c>
      <c r="I61" s="431"/>
      <c r="J61" s="426">
        <v>18</v>
      </c>
      <c r="K61" s="430"/>
      <c r="L61" s="425" t="s">
        <v>750</v>
      </c>
      <c r="M61" s="425" t="s">
        <v>518</v>
      </c>
      <c r="N61" s="425">
        <v>100</v>
      </c>
      <c r="O61" s="427"/>
      <c r="P61" s="429" t="str">
        <f t="shared" si="7"/>
        <v>INCLUDED</v>
      </c>
      <c r="Q61" s="655">
        <f t="shared" si="15"/>
        <v>0</v>
      </c>
      <c r="R61" s="686">
        <f t="shared" si="16"/>
        <v>0</v>
      </c>
      <c r="S61" s="687">
        <f>Discount!$J$36</f>
        <v>0</v>
      </c>
      <c r="T61" s="686">
        <f t="shared" si="17"/>
        <v>0</v>
      </c>
      <c r="U61" s="688">
        <f t="shared" si="18"/>
        <v>0</v>
      </c>
      <c r="V61" s="689">
        <f t="shared" si="5"/>
        <v>0</v>
      </c>
      <c r="W61" s="690"/>
      <c r="X61" s="690"/>
      <c r="Y61" s="690"/>
      <c r="Z61" s="690"/>
      <c r="AA61" s="690"/>
    </row>
    <row r="62" spans="1:27" ht="31.5">
      <c r="A62" s="563">
        <v>45</v>
      </c>
      <c r="B62" s="568">
        <v>7000026861</v>
      </c>
      <c r="C62" s="568">
        <v>340</v>
      </c>
      <c r="D62" s="568">
        <v>130</v>
      </c>
      <c r="E62" s="568">
        <v>180</v>
      </c>
      <c r="F62" s="568" t="s">
        <v>717</v>
      </c>
      <c r="G62" s="568">
        <v>100001479</v>
      </c>
      <c r="H62" s="568">
        <v>995454</v>
      </c>
      <c r="I62" s="431"/>
      <c r="J62" s="426">
        <v>18</v>
      </c>
      <c r="K62" s="430"/>
      <c r="L62" s="425" t="s">
        <v>751</v>
      </c>
      <c r="M62" s="425" t="s">
        <v>518</v>
      </c>
      <c r="N62" s="425">
        <v>100</v>
      </c>
      <c r="O62" s="427"/>
      <c r="P62" s="429" t="str">
        <f t="shared" si="7"/>
        <v>INCLUDED</v>
      </c>
      <c r="Q62" s="655">
        <f t="shared" si="15"/>
        <v>0</v>
      </c>
      <c r="R62" s="686">
        <f t="shared" si="16"/>
        <v>0</v>
      </c>
      <c r="S62" s="687">
        <f>Discount!$J$36</f>
        <v>0</v>
      </c>
      <c r="T62" s="686">
        <f t="shared" si="17"/>
        <v>0</v>
      </c>
      <c r="U62" s="688">
        <f t="shared" si="18"/>
        <v>0</v>
      </c>
      <c r="V62" s="689">
        <f t="shared" si="5"/>
        <v>0</v>
      </c>
      <c r="W62" s="690"/>
      <c r="X62" s="690"/>
      <c r="Y62" s="690"/>
      <c r="Z62" s="690"/>
      <c r="AA62" s="690"/>
    </row>
    <row r="63" spans="1:27" ht="31.5">
      <c r="A63" s="563">
        <v>46</v>
      </c>
      <c r="B63" s="568">
        <v>7000026861</v>
      </c>
      <c r="C63" s="568">
        <v>340</v>
      </c>
      <c r="D63" s="568">
        <v>130</v>
      </c>
      <c r="E63" s="568">
        <v>190</v>
      </c>
      <c r="F63" s="568" t="s">
        <v>717</v>
      </c>
      <c r="G63" s="568">
        <v>100001480</v>
      </c>
      <c r="H63" s="568">
        <v>995454</v>
      </c>
      <c r="I63" s="431"/>
      <c r="J63" s="426">
        <v>18</v>
      </c>
      <c r="K63" s="430"/>
      <c r="L63" s="425" t="s">
        <v>752</v>
      </c>
      <c r="M63" s="425" t="s">
        <v>518</v>
      </c>
      <c r="N63" s="425">
        <v>50</v>
      </c>
      <c r="O63" s="427"/>
      <c r="P63" s="429" t="str">
        <f t="shared" si="7"/>
        <v>INCLUDED</v>
      </c>
      <c r="Q63" s="655">
        <f t="shared" ref="Q63:Q304" si="19">IF(P63="Included",0,P63)</f>
        <v>0</v>
      </c>
      <c r="R63" s="686">
        <f t="shared" ref="R63:R304" si="20">IF( K63="",J63*(IF(P63="Included",0,P63))/100,K63*(IF(P63="Included",0,P63)))</f>
        <v>0</v>
      </c>
      <c r="S63" s="687">
        <f>Discount!$J$36</f>
        <v>0</v>
      </c>
      <c r="T63" s="686">
        <f t="shared" ref="T63:T304" si="21">S63*Q63</f>
        <v>0</v>
      </c>
      <c r="U63" s="688">
        <f t="shared" ref="U63:U304" si="22">IF(K63="",J63*T63/100,K63*T63)</f>
        <v>0</v>
      </c>
      <c r="V63" s="689">
        <f t="shared" ref="V63:V304" si="23">O63*N63</f>
        <v>0</v>
      </c>
      <c r="W63" s="690"/>
      <c r="X63" s="690"/>
      <c r="Y63" s="690"/>
      <c r="Z63" s="690"/>
      <c r="AA63" s="690"/>
    </row>
    <row r="64" spans="1:27" ht="47.25">
      <c r="A64" s="563">
        <v>47</v>
      </c>
      <c r="B64" s="568">
        <v>7000026861</v>
      </c>
      <c r="C64" s="568">
        <v>340</v>
      </c>
      <c r="D64" s="568">
        <v>130</v>
      </c>
      <c r="E64" s="568">
        <v>200</v>
      </c>
      <c r="F64" s="568" t="s">
        <v>717</v>
      </c>
      <c r="G64" s="568">
        <v>130000761</v>
      </c>
      <c r="H64" s="568">
        <v>995428</v>
      </c>
      <c r="I64" s="431"/>
      <c r="J64" s="426">
        <v>18</v>
      </c>
      <c r="K64" s="430"/>
      <c r="L64" s="425" t="s">
        <v>753</v>
      </c>
      <c r="M64" s="425" t="s">
        <v>518</v>
      </c>
      <c r="N64" s="425">
        <v>30</v>
      </c>
      <c r="O64" s="427"/>
      <c r="P64" s="429" t="str">
        <f t="shared" si="7"/>
        <v>INCLUDED</v>
      </c>
      <c r="Q64" s="655">
        <f t="shared" si="19"/>
        <v>0</v>
      </c>
      <c r="R64" s="686">
        <f t="shared" si="20"/>
        <v>0</v>
      </c>
      <c r="S64" s="687">
        <f>Discount!$J$36</f>
        <v>0</v>
      </c>
      <c r="T64" s="686">
        <f t="shared" si="21"/>
        <v>0</v>
      </c>
      <c r="U64" s="688">
        <f t="shared" si="22"/>
        <v>0</v>
      </c>
      <c r="V64" s="689">
        <f t="shared" si="23"/>
        <v>0</v>
      </c>
      <c r="W64" s="690"/>
      <c r="X64" s="690"/>
      <c r="Y64" s="690"/>
      <c r="Z64" s="690"/>
      <c r="AA64" s="690"/>
    </row>
    <row r="65" spans="1:27" ht="47.25">
      <c r="A65" s="563">
        <v>48</v>
      </c>
      <c r="B65" s="568">
        <v>7000026861</v>
      </c>
      <c r="C65" s="568">
        <v>340</v>
      </c>
      <c r="D65" s="568">
        <v>130</v>
      </c>
      <c r="E65" s="568">
        <v>210</v>
      </c>
      <c r="F65" s="568" t="s">
        <v>717</v>
      </c>
      <c r="G65" s="568">
        <v>130000762</v>
      </c>
      <c r="H65" s="568">
        <v>995428</v>
      </c>
      <c r="I65" s="431"/>
      <c r="J65" s="426">
        <v>18</v>
      </c>
      <c r="K65" s="430"/>
      <c r="L65" s="425" t="s">
        <v>754</v>
      </c>
      <c r="M65" s="425" t="s">
        <v>518</v>
      </c>
      <c r="N65" s="425">
        <v>30</v>
      </c>
      <c r="O65" s="427"/>
      <c r="P65" s="429" t="str">
        <f t="shared" si="7"/>
        <v>INCLUDED</v>
      </c>
      <c r="Q65" s="655">
        <f t="shared" si="19"/>
        <v>0</v>
      </c>
      <c r="R65" s="686">
        <f t="shared" si="20"/>
        <v>0</v>
      </c>
      <c r="S65" s="687">
        <f>Discount!$J$36</f>
        <v>0</v>
      </c>
      <c r="T65" s="686">
        <f t="shared" si="21"/>
        <v>0</v>
      </c>
      <c r="U65" s="688">
        <f t="shared" si="22"/>
        <v>0</v>
      </c>
      <c r="V65" s="689">
        <f t="shared" si="23"/>
        <v>0</v>
      </c>
      <c r="W65" s="690"/>
      <c r="X65" s="690"/>
      <c r="Y65" s="690"/>
      <c r="Z65" s="690"/>
      <c r="AA65" s="690"/>
    </row>
    <row r="66" spans="1:27" ht="31.5">
      <c r="A66" s="563">
        <v>49</v>
      </c>
      <c r="B66" s="568">
        <v>7000026861</v>
      </c>
      <c r="C66" s="568">
        <v>340</v>
      </c>
      <c r="D66" s="568">
        <v>130</v>
      </c>
      <c r="E66" s="568">
        <v>220</v>
      </c>
      <c r="F66" s="568" t="s">
        <v>717</v>
      </c>
      <c r="G66" s="568">
        <v>100020960</v>
      </c>
      <c r="H66" s="568">
        <v>995461</v>
      </c>
      <c r="I66" s="431"/>
      <c r="J66" s="426">
        <v>18</v>
      </c>
      <c r="K66" s="430"/>
      <c r="L66" s="425" t="s">
        <v>755</v>
      </c>
      <c r="M66" s="425" t="s">
        <v>518</v>
      </c>
      <c r="N66" s="425">
        <v>10</v>
      </c>
      <c r="O66" s="427"/>
      <c r="P66" s="429" t="str">
        <f t="shared" si="7"/>
        <v>INCLUDED</v>
      </c>
      <c r="Q66" s="655">
        <f t="shared" si="19"/>
        <v>0</v>
      </c>
      <c r="R66" s="686">
        <f t="shared" si="20"/>
        <v>0</v>
      </c>
      <c r="S66" s="687">
        <f>Discount!$J$36</f>
        <v>0</v>
      </c>
      <c r="T66" s="686">
        <f t="shared" si="21"/>
        <v>0</v>
      </c>
      <c r="U66" s="688">
        <f t="shared" si="22"/>
        <v>0</v>
      </c>
      <c r="V66" s="689">
        <f t="shared" si="23"/>
        <v>0</v>
      </c>
      <c r="W66" s="690"/>
      <c r="X66" s="690"/>
      <c r="Y66" s="690"/>
      <c r="Z66" s="690"/>
      <c r="AA66" s="690"/>
    </row>
    <row r="67" spans="1:27" ht="31.5">
      <c r="A67" s="563">
        <v>50</v>
      </c>
      <c r="B67" s="568">
        <v>7000026861</v>
      </c>
      <c r="C67" s="568">
        <v>340</v>
      </c>
      <c r="D67" s="568">
        <v>130</v>
      </c>
      <c r="E67" s="568">
        <v>230</v>
      </c>
      <c r="F67" s="568" t="s">
        <v>717</v>
      </c>
      <c r="G67" s="568">
        <v>100020961</v>
      </c>
      <c r="H67" s="568">
        <v>995461</v>
      </c>
      <c r="I67" s="431"/>
      <c r="J67" s="426">
        <v>18</v>
      </c>
      <c r="K67" s="430"/>
      <c r="L67" s="425" t="s">
        <v>756</v>
      </c>
      <c r="M67" s="425" t="s">
        <v>518</v>
      </c>
      <c r="N67" s="425">
        <v>10</v>
      </c>
      <c r="O67" s="427"/>
      <c r="P67" s="429" t="str">
        <f t="shared" si="7"/>
        <v>INCLUDED</v>
      </c>
      <c r="Q67" s="655">
        <f t="shared" si="19"/>
        <v>0</v>
      </c>
      <c r="R67" s="686">
        <f t="shared" si="20"/>
        <v>0</v>
      </c>
      <c r="S67" s="687">
        <f>Discount!$J$36</f>
        <v>0</v>
      </c>
      <c r="T67" s="686">
        <f t="shared" si="21"/>
        <v>0</v>
      </c>
      <c r="U67" s="688">
        <f t="shared" si="22"/>
        <v>0</v>
      </c>
      <c r="V67" s="689">
        <f t="shared" si="23"/>
        <v>0</v>
      </c>
      <c r="W67" s="690"/>
      <c r="X67" s="690"/>
      <c r="Y67" s="690"/>
      <c r="Z67" s="690"/>
      <c r="AA67" s="690"/>
    </row>
    <row r="68" spans="1:27" ht="31.5">
      <c r="A68" s="563">
        <v>51</v>
      </c>
      <c r="B68" s="568">
        <v>7000026861</v>
      </c>
      <c r="C68" s="568">
        <v>340</v>
      </c>
      <c r="D68" s="568">
        <v>130</v>
      </c>
      <c r="E68" s="568">
        <v>240</v>
      </c>
      <c r="F68" s="568" t="s">
        <v>717</v>
      </c>
      <c r="G68" s="568">
        <v>100020962</v>
      </c>
      <c r="H68" s="568">
        <v>995461</v>
      </c>
      <c r="I68" s="431"/>
      <c r="J68" s="426">
        <v>18</v>
      </c>
      <c r="K68" s="430"/>
      <c r="L68" s="425" t="s">
        <v>757</v>
      </c>
      <c r="M68" s="425" t="s">
        <v>518</v>
      </c>
      <c r="N68" s="425">
        <v>10</v>
      </c>
      <c r="O68" s="427"/>
      <c r="P68" s="429" t="str">
        <f t="shared" si="7"/>
        <v>INCLUDED</v>
      </c>
      <c r="Q68" s="655">
        <f t="shared" si="19"/>
        <v>0</v>
      </c>
      <c r="R68" s="686">
        <f t="shared" si="20"/>
        <v>0</v>
      </c>
      <c r="S68" s="687">
        <f>Discount!$J$36</f>
        <v>0</v>
      </c>
      <c r="T68" s="686">
        <f t="shared" si="21"/>
        <v>0</v>
      </c>
      <c r="U68" s="688">
        <f t="shared" si="22"/>
        <v>0</v>
      </c>
      <c r="V68" s="689">
        <f t="shared" si="23"/>
        <v>0</v>
      </c>
      <c r="W68" s="690"/>
      <c r="X68" s="690"/>
      <c r="Y68" s="690"/>
      <c r="Z68" s="690"/>
      <c r="AA68" s="690"/>
    </row>
    <row r="69" spans="1:27" ht="31.5">
      <c r="A69" s="563">
        <v>52</v>
      </c>
      <c r="B69" s="568">
        <v>7000026861</v>
      </c>
      <c r="C69" s="568">
        <v>340</v>
      </c>
      <c r="D69" s="568">
        <v>130</v>
      </c>
      <c r="E69" s="568">
        <v>250</v>
      </c>
      <c r="F69" s="568" t="s">
        <v>717</v>
      </c>
      <c r="G69" s="568">
        <v>100001721</v>
      </c>
      <c r="H69" s="568">
        <v>995428</v>
      </c>
      <c r="I69" s="431"/>
      <c r="J69" s="426">
        <v>18</v>
      </c>
      <c r="K69" s="430"/>
      <c r="L69" s="425" t="s">
        <v>758</v>
      </c>
      <c r="M69" s="425" t="s">
        <v>733</v>
      </c>
      <c r="N69" s="425">
        <v>5</v>
      </c>
      <c r="O69" s="427"/>
      <c r="P69" s="429" t="str">
        <f t="shared" si="7"/>
        <v>INCLUDED</v>
      </c>
      <c r="Q69" s="655">
        <f t="shared" si="19"/>
        <v>0</v>
      </c>
      <c r="R69" s="686">
        <f t="shared" si="20"/>
        <v>0</v>
      </c>
      <c r="S69" s="687">
        <f>Discount!$J$36</f>
        <v>0</v>
      </c>
      <c r="T69" s="686">
        <f t="shared" si="21"/>
        <v>0</v>
      </c>
      <c r="U69" s="688">
        <f t="shared" si="22"/>
        <v>0</v>
      </c>
      <c r="V69" s="689">
        <f t="shared" si="23"/>
        <v>0</v>
      </c>
      <c r="W69" s="690"/>
      <c r="X69" s="690"/>
      <c r="Y69" s="690"/>
      <c r="Z69" s="690"/>
      <c r="AA69" s="690"/>
    </row>
    <row r="70" spans="1:27" ht="31.5">
      <c r="A70" s="563">
        <v>53</v>
      </c>
      <c r="B70" s="568">
        <v>7000026861</v>
      </c>
      <c r="C70" s="568">
        <v>340</v>
      </c>
      <c r="D70" s="568">
        <v>130</v>
      </c>
      <c r="E70" s="568">
        <v>260</v>
      </c>
      <c r="F70" s="568" t="s">
        <v>717</v>
      </c>
      <c r="G70" s="568">
        <v>100001720</v>
      </c>
      <c r="H70" s="568">
        <v>995428</v>
      </c>
      <c r="I70" s="431"/>
      <c r="J70" s="426">
        <v>18</v>
      </c>
      <c r="K70" s="430"/>
      <c r="L70" s="425" t="s">
        <v>759</v>
      </c>
      <c r="M70" s="425" t="s">
        <v>733</v>
      </c>
      <c r="N70" s="425">
        <v>5</v>
      </c>
      <c r="O70" s="427"/>
      <c r="P70" s="429" t="str">
        <f t="shared" si="7"/>
        <v>INCLUDED</v>
      </c>
      <c r="Q70" s="655">
        <f t="shared" si="19"/>
        <v>0</v>
      </c>
      <c r="R70" s="686">
        <f t="shared" si="20"/>
        <v>0</v>
      </c>
      <c r="S70" s="687">
        <f>Discount!$J$36</f>
        <v>0</v>
      </c>
      <c r="T70" s="686">
        <f t="shared" si="21"/>
        <v>0</v>
      </c>
      <c r="U70" s="688">
        <f t="shared" si="22"/>
        <v>0</v>
      </c>
      <c r="V70" s="689">
        <f t="shared" si="23"/>
        <v>0</v>
      </c>
      <c r="W70" s="690"/>
      <c r="X70" s="690"/>
      <c r="Y70" s="690"/>
      <c r="Z70" s="690"/>
      <c r="AA70" s="690"/>
    </row>
    <row r="71" spans="1:27">
      <c r="A71" s="563">
        <v>54</v>
      </c>
      <c r="B71" s="568">
        <v>7000026861</v>
      </c>
      <c r="C71" s="568">
        <v>400</v>
      </c>
      <c r="D71" s="568">
        <v>180</v>
      </c>
      <c r="E71" s="568">
        <v>10</v>
      </c>
      <c r="F71" s="568" t="s">
        <v>605</v>
      </c>
      <c r="G71" s="568">
        <v>100000723</v>
      </c>
      <c r="H71" s="568">
        <v>998736</v>
      </c>
      <c r="I71" s="431"/>
      <c r="J71" s="426">
        <v>18</v>
      </c>
      <c r="K71" s="430"/>
      <c r="L71" s="425" t="s">
        <v>760</v>
      </c>
      <c r="M71" s="425" t="s">
        <v>470</v>
      </c>
      <c r="N71" s="425">
        <v>1</v>
      </c>
      <c r="O71" s="427"/>
      <c r="P71" s="429" t="str">
        <f t="shared" si="7"/>
        <v>INCLUDED</v>
      </c>
      <c r="Q71" s="655">
        <f t="shared" si="19"/>
        <v>0</v>
      </c>
      <c r="R71" s="686">
        <f t="shared" si="20"/>
        <v>0</v>
      </c>
      <c r="S71" s="687">
        <f>Discount!$J$36</f>
        <v>0</v>
      </c>
      <c r="T71" s="686">
        <f t="shared" si="21"/>
        <v>0</v>
      </c>
      <c r="U71" s="688">
        <f t="shared" si="22"/>
        <v>0</v>
      </c>
      <c r="V71" s="689">
        <f t="shared" si="23"/>
        <v>0</v>
      </c>
      <c r="W71" s="690"/>
      <c r="X71" s="690"/>
      <c r="Y71" s="690"/>
      <c r="Z71" s="690"/>
      <c r="AA71" s="690"/>
    </row>
    <row r="72" spans="1:27">
      <c r="A72" s="563">
        <v>55</v>
      </c>
      <c r="B72" s="568">
        <v>7000026861</v>
      </c>
      <c r="C72" s="568">
        <v>400</v>
      </c>
      <c r="D72" s="568">
        <v>180</v>
      </c>
      <c r="E72" s="568">
        <v>20</v>
      </c>
      <c r="F72" s="568" t="s">
        <v>605</v>
      </c>
      <c r="G72" s="568">
        <v>100016780</v>
      </c>
      <c r="H72" s="568">
        <v>998736</v>
      </c>
      <c r="I72" s="431"/>
      <c r="J72" s="426">
        <v>18</v>
      </c>
      <c r="K72" s="430"/>
      <c r="L72" s="425" t="s">
        <v>761</v>
      </c>
      <c r="M72" s="425" t="s">
        <v>470</v>
      </c>
      <c r="N72" s="425">
        <v>1</v>
      </c>
      <c r="O72" s="427"/>
      <c r="P72" s="429" t="str">
        <f t="shared" si="7"/>
        <v>INCLUDED</v>
      </c>
      <c r="Q72" s="655">
        <f t="shared" si="19"/>
        <v>0</v>
      </c>
      <c r="R72" s="686">
        <f t="shared" si="20"/>
        <v>0</v>
      </c>
      <c r="S72" s="687">
        <f>Discount!$J$36</f>
        <v>0</v>
      </c>
      <c r="T72" s="686">
        <f t="shared" si="21"/>
        <v>0</v>
      </c>
      <c r="U72" s="688">
        <f t="shared" si="22"/>
        <v>0</v>
      </c>
      <c r="V72" s="689">
        <f t="shared" si="23"/>
        <v>0</v>
      </c>
      <c r="W72" s="690"/>
      <c r="X72" s="690"/>
      <c r="Y72" s="690"/>
      <c r="Z72" s="690"/>
      <c r="AA72" s="690"/>
    </row>
    <row r="73" spans="1:27" ht="31.5">
      <c r="A73" s="563">
        <v>56</v>
      </c>
      <c r="B73" s="568">
        <v>7000026861</v>
      </c>
      <c r="C73" s="568">
        <v>400</v>
      </c>
      <c r="D73" s="568">
        <v>180</v>
      </c>
      <c r="E73" s="568">
        <v>30</v>
      </c>
      <c r="F73" s="568" t="s">
        <v>605</v>
      </c>
      <c r="G73" s="568">
        <v>100000727</v>
      </c>
      <c r="H73" s="568">
        <v>998736</v>
      </c>
      <c r="I73" s="431"/>
      <c r="J73" s="426">
        <v>18</v>
      </c>
      <c r="K73" s="430"/>
      <c r="L73" s="425" t="s">
        <v>762</v>
      </c>
      <c r="M73" s="425" t="s">
        <v>471</v>
      </c>
      <c r="N73" s="425">
        <v>1</v>
      </c>
      <c r="O73" s="427"/>
      <c r="P73" s="429" t="str">
        <f t="shared" si="7"/>
        <v>INCLUDED</v>
      </c>
      <c r="Q73" s="655">
        <f t="shared" si="19"/>
        <v>0</v>
      </c>
      <c r="R73" s="686">
        <f t="shared" si="20"/>
        <v>0</v>
      </c>
      <c r="S73" s="687">
        <f>Discount!$J$36</f>
        <v>0</v>
      </c>
      <c r="T73" s="686">
        <f t="shared" si="21"/>
        <v>0</v>
      </c>
      <c r="U73" s="688">
        <f t="shared" si="22"/>
        <v>0</v>
      </c>
      <c r="V73" s="689">
        <f t="shared" si="23"/>
        <v>0</v>
      </c>
      <c r="W73" s="690"/>
      <c r="X73" s="690"/>
      <c r="Y73" s="690"/>
      <c r="Z73" s="690"/>
      <c r="AA73" s="690"/>
    </row>
    <row r="74" spans="1:27">
      <c r="A74" s="563">
        <v>57</v>
      </c>
      <c r="B74" s="568">
        <v>7000026861</v>
      </c>
      <c r="C74" s="568">
        <v>410</v>
      </c>
      <c r="D74" s="568">
        <v>190</v>
      </c>
      <c r="E74" s="568">
        <v>10</v>
      </c>
      <c r="F74" s="568" t="s">
        <v>606</v>
      </c>
      <c r="G74" s="568">
        <v>100016779</v>
      </c>
      <c r="H74" s="568">
        <v>998736</v>
      </c>
      <c r="I74" s="431"/>
      <c r="J74" s="426">
        <v>18</v>
      </c>
      <c r="K74" s="430"/>
      <c r="L74" s="425" t="s">
        <v>763</v>
      </c>
      <c r="M74" s="425" t="s">
        <v>470</v>
      </c>
      <c r="N74" s="425">
        <v>1</v>
      </c>
      <c r="O74" s="427"/>
      <c r="P74" s="429" t="str">
        <f t="shared" si="7"/>
        <v>INCLUDED</v>
      </c>
      <c r="Q74" s="655">
        <f t="shared" si="19"/>
        <v>0</v>
      </c>
      <c r="R74" s="686">
        <f t="shared" si="20"/>
        <v>0</v>
      </c>
      <c r="S74" s="687">
        <f>Discount!$J$36</f>
        <v>0</v>
      </c>
      <c r="T74" s="686">
        <f t="shared" si="21"/>
        <v>0</v>
      </c>
      <c r="U74" s="688">
        <f t="shared" si="22"/>
        <v>0</v>
      </c>
      <c r="V74" s="689">
        <f t="shared" si="23"/>
        <v>0</v>
      </c>
      <c r="W74" s="690"/>
      <c r="X74" s="690"/>
      <c r="Y74" s="690"/>
      <c r="Z74" s="690"/>
      <c r="AA74" s="690"/>
    </row>
    <row r="75" spans="1:27" ht="31.5">
      <c r="A75" s="563">
        <v>58</v>
      </c>
      <c r="B75" s="568">
        <v>7000026861</v>
      </c>
      <c r="C75" s="568">
        <v>410</v>
      </c>
      <c r="D75" s="568">
        <v>190</v>
      </c>
      <c r="E75" s="568">
        <v>20</v>
      </c>
      <c r="F75" s="568" t="s">
        <v>606</v>
      </c>
      <c r="G75" s="568">
        <v>100000735</v>
      </c>
      <c r="H75" s="568">
        <v>998736</v>
      </c>
      <c r="I75" s="431"/>
      <c r="J75" s="426">
        <v>18</v>
      </c>
      <c r="K75" s="430"/>
      <c r="L75" s="425" t="s">
        <v>764</v>
      </c>
      <c r="M75" s="425" t="s">
        <v>471</v>
      </c>
      <c r="N75" s="425">
        <v>1</v>
      </c>
      <c r="O75" s="427"/>
      <c r="P75" s="429" t="str">
        <f t="shared" si="7"/>
        <v>INCLUDED</v>
      </c>
      <c r="Q75" s="655">
        <f t="shared" si="19"/>
        <v>0</v>
      </c>
      <c r="R75" s="686">
        <f t="shared" si="20"/>
        <v>0</v>
      </c>
      <c r="S75" s="687">
        <f>Discount!$J$36</f>
        <v>0</v>
      </c>
      <c r="T75" s="686">
        <f t="shared" si="21"/>
        <v>0</v>
      </c>
      <c r="U75" s="688">
        <f t="shared" si="22"/>
        <v>0</v>
      </c>
      <c r="V75" s="689">
        <f t="shared" si="23"/>
        <v>0</v>
      </c>
      <c r="W75" s="690"/>
      <c r="X75" s="690"/>
      <c r="Y75" s="690"/>
      <c r="Z75" s="690"/>
      <c r="AA75" s="690"/>
    </row>
    <row r="76" spans="1:27">
      <c r="A76" s="563">
        <v>59</v>
      </c>
      <c r="B76" s="568">
        <v>7000026861</v>
      </c>
      <c r="C76" s="568">
        <v>420</v>
      </c>
      <c r="D76" s="568">
        <v>200</v>
      </c>
      <c r="E76" s="568">
        <v>10</v>
      </c>
      <c r="F76" s="568" t="s">
        <v>607</v>
      </c>
      <c r="G76" s="568">
        <v>100002068</v>
      </c>
      <c r="H76" s="568">
        <v>998736</v>
      </c>
      <c r="I76" s="431"/>
      <c r="J76" s="426">
        <v>18</v>
      </c>
      <c r="K76" s="430"/>
      <c r="L76" s="425" t="s">
        <v>765</v>
      </c>
      <c r="M76" s="425" t="s">
        <v>470</v>
      </c>
      <c r="N76" s="425">
        <v>1</v>
      </c>
      <c r="O76" s="427"/>
      <c r="P76" s="429" t="str">
        <f t="shared" si="7"/>
        <v>INCLUDED</v>
      </c>
      <c r="Q76" s="655">
        <f t="shared" si="19"/>
        <v>0</v>
      </c>
      <c r="R76" s="686">
        <f t="shared" si="20"/>
        <v>0</v>
      </c>
      <c r="S76" s="687">
        <f>Discount!$J$36</f>
        <v>0</v>
      </c>
      <c r="T76" s="686">
        <f t="shared" si="21"/>
        <v>0</v>
      </c>
      <c r="U76" s="688">
        <f t="shared" si="22"/>
        <v>0</v>
      </c>
      <c r="V76" s="689">
        <f t="shared" si="23"/>
        <v>0</v>
      </c>
      <c r="W76" s="690"/>
      <c r="X76" s="690"/>
      <c r="Y76" s="690"/>
      <c r="Z76" s="690"/>
      <c r="AA76" s="690"/>
    </row>
    <row r="77" spans="1:27">
      <c r="A77" s="563">
        <v>60</v>
      </c>
      <c r="B77" s="568">
        <v>7000026861</v>
      </c>
      <c r="C77" s="568">
        <v>430</v>
      </c>
      <c r="D77" s="568">
        <v>210</v>
      </c>
      <c r="E77" s="568">
        <v>10</v>
      </c>
      <c r="F77" s="568" t="s">
        <v>608</v>
      </c>
      <c r="G77" s="568">
        <v>100002069</v>
      </c>
      <c r="H77" s="568">
        <v>998736</v>
      </c>
      <c r="I77" s="431"/>
      <c r="J77" s="426">
        <v>18</v>
      </c>
      <c r="K77" s="430"/>
      <c r="L77" s="425" t="s">
        <v>766</v>
      </c>
      <c r="M77" s="425" t="s">
        <v>470</v>
      </c>
      <c r="N77" s="425">
        <v>1</v>
      </c>
      <c r="O77" s="427"/>
      <c r="P77" s="429" t="str">
        <f t="shared" si="7"/>
        <v>INCLUDED</v>
      </c>
      <c r="Q77" s="655">
        <f t="shared" si="19"/>
        <v>0</v>
      </c>
      <c r="R77" s="686">
        <f t="shared" si="20"/>
        <v>0</v>
      </c>
      <c r="S77" s="687">
        <f>Discount!$J$36</f>
        <v>0</v>
      </c>
      <c r="T77" s="686">
        <f t="shared" si="21"/>
        <v>0</v>
      </c>
      <c r="U77" s="688">
        <f t="shared" si="22"/>
        <v>0</v>
      </c>
      <c r="V77" s="689">
        <f t="shared" si="23"/>
        <v>0</v>
      </c>
      <c r="W77" s="690"/>
      <c r="X77" s="690"/>
      <c r="Y77" s="690"/>
      <c r="Z77" s="690"/>
      <c r="AA77" s="690"/>
    </row>
    <row r="78" spans="1:27" ht="31.5">
      <c r="A78" s="563">
        <v>61</v>
      </c>
      <c r="B78" s="568">
        <v>7000026861</v>
      </c>
      <c r="C78" s="568">
        <v>470</v>
      </c>
      <c r="D78" s="568">
        <v>240</v>
      </c>
      <c r="E78" s="568">
        <v>10</v>
      </c>
      <c r="F78" s="568" t="s">
        <v>609</v>
      </c>
      <c r="G78" s="568">
        <v>100000185</v>
      </c>
      <c r="H78" s="568">
        <v>998731</v>
      </c>
      <c r="I78" s="431"/>
      <c r="J78" s="426">
        <v>18</v>
      </c>
      <c r="K78" s="430"/>
      <c r="L78" s="425" t="s">
        <v>767</v>
      </c>
      <c r="M78" s="425" t="s">
        <v>471</v>
      </c>
      <c r="N78" s="425">
        <v>1</v>
      </c>
      <c r="O78" s="427"/>
      <c r="P78" s="429" t="str">
        <f t="shared" si="7"/>
        <v>INCLUDED</v>
      </c>
      <c r="Q78" s="655">
        <f t="shared" si="19"/>
        <v>0</v>
      </c>
      <c r="R78" s="686">
        <f t="shared" si="20"/>
        <v>0</v>
      </c>
      <c r="S78" s="687">
        <f>Discount!$J$36</f>
        <v>0</v>
      </c>
      <c r="T78" s="686">
        <f t="shared" si="21"/>
        <v>0</v>
      </c>
      <c r="U78" s="688">
        <f t="shared" si="22"/>
        <v>0</v>
      </c>
      <c r="V78" s="689">
        <f t="shared" si="23"/>
        <v>0</v>
      </c>
      <c r="W78" s="690"/>
      <c r="X78" s="690"/>
      <c r="Y78" s="690"/>
      <c r="Z78" s="690"/>
      <c r="AA78" s="690"/>
    </row>
    <row r="79" spans="1:27" ht="31.5">
      <c r="A79" s="563">
        <v>62</v>
      </c>
      <c r="B79" s="568">
        <v>7000026861</v>
      </c>
      <c r="C79" s="568">
        <v>480</v>
      </c>
      <c r="D79" s="568">
        <v>250</v>
      </c>
      <c r="E79" s="568">
        <v>20</v>
      </c>
      <c r="F79" s="568" t="s">
        <v>610</v>
      </c>
      <c r="G79" s="568">
        <v>100002305</v>
      </c>
      <c r="H79" s="568">
        <v>998731</v>
      </c>
      <c r="I79" s="431"/>
      <c r="J79" s="426">
        <v>18</v>
      </c>
      <c r="K79" s="430"/>
      <c r="L79" s="425" t="s">
        <v>768</v>
      </c>
      <c r="M79" s="425" t="s">
        <v>471</v>
      </c>
      <c r="N79" s="425">
        <v>1</v>
      </c>
      <c r="O79" s="427"/>
      <c r="P79" s="429" t="str">
        <f t="shared" si="7"/>
        <v>INCLUDED</v>
      </c>
      <c r="Q79" s="655">
        <f t="shared" si="19"/>
        <v>0</v>
      </c>
      <c r="R79" s="686">
        <f t="shared" si="20"/>
        <v>0</v>
      </c>
      <c r="S79" s="687">
        <f>Discount!$J$36</f>
        <v>0</v>
      </c>
      <c r="T79" s="686">
        <f t="shared" si="21"/>
        <v>0</v>
      </c>
      <c r="U79" s="688">
        <f t="shared" si="22"/>
        <v>0</v>
      </c>
      <c r="V79" s="689">
        <f t="shared" si="23"/>
        <v>0</v>
      </c>
      <c r="W79" s="690"/>
      <c r="X79" s="690"/>
      <c r="Y79" s="690"/>
      <c r="Z79" s="690"/>
      <c r="AA79" s="690"/>
    </row>
    <row r="80" spans="1:27" ht="31.5">
      <c r="A80" s="563">
        <v>63</v>
      </c>
      <c r="B80" s="568">
        <v>7000026861</v>
      </c>
      <c r="C80" s="568">
        <v>560</v>
      </c>
      <c r="D80" s="568">
        <v>280</v>
      </c>
      <c r="E80" s="568">
        <v>10</v>
      </c>
      <c r="F80" s="568" t="s">
        <v>611</v>
      </c>
      <c r="G80" s="568">
        <v>100017135</v>
      </c>
      <c r="H80" s="568">
        <v>998731</v>
      </c>
      <c r="I80" s="431"/>
      <c r="J80" s="426">
        <v>18</v>
      </c>
      <c r="K80" s="430"/>
      <c r="L80" s="425" t="s">
        <v>769</v>
      </c>
      <c r="M80" s="425" t="s">
        <v>470</v>
      </c>
      <c r="N80" s="425">
        <v>3</v>
      </c>
      <c r="O80" s="427"/>
      <c r="P80" s="429" t="str">
        <f t="shared" si="7"/>
        <v>INCLUDED</v>
      </c>
      <c r="Q80" s="655">
        <f t="shared" si="19"/>
        <v>0</v>
      </c>
      <c r="R80" s="686">
        <f t="shared" si="20"/>
        <v>0</v>
      </c>
      <c r="S80" s="687">
        <f>Discount!$J$36</f>
        <v>0</v>
      </c>
      <c r="T80" s="686">
        <f t="shared" si="21"/>
        <v>0</v>
      </c>
      <c r="U80" s="688">
        <f t="shared" si="22"/>
        <v>0</v>
      </c>
      <c r="V80" s="689">
        <f t="shared" si="23"/>
        <v>0</v>
      </c>
      <c r="W80" s="690"/>
      <c r="X80" s="690"/>
      <c r="Y80" s="690"/>
      <c r="Z80" s="690"/>
      <c r="AA80" s="690"/>
    </row>
    <row r="81" spans="1:27" ht="31.5">
      <c r="A81" s="563">
        <v>64</v>
      </c>
      <c r="B81" s="568">
        <v>7000026861</v>
      </c>
      <c r="C81" s="568">
        <v>560</v>
      </c>
      <c r="D81" s="568">
        <v>280</v>
      </c>
      <c r="E81" s="568">
        <v>20</v>
      </c>
      <c r="F81" s="568" t="s">
        <v>611</v>
      </c>
      <c r="G81" s="568">
        <v>100017134</v>
      </c>
      <c r="H81" s="568">
        <v>998731</v>
      </c>
      <c r="I81" s="431"/>
      <c r="J81" s="426">
        <v>18</v>
      </c>
      <c r="K81" s="430"/>
      <c r="L81" s="425" t="s">
        <v>770</v>
      </c>
      <c r="M81" s="425" t="s">
        <v>470</v>
      </c>
      <c r="N81" s="425">
        <v>3</v>
      </c>
      <c r="O81" s="427"/>
      <c r="P81" s="429" t="str">
        <f t="shared" si="7"/>
        <v>INCLUDED</v>
      </c>
      <c r="Q81" s="655">
        <f t="shared" si="19"/>
        <v>0</v>
      </c>
      <c r="R81" s="686">
        <f t="shared" si="20"/>
        <v>0</v>
      </c>
      <c r="S81" s="687">
        <f>Discount!$J$36</f>
        <v>0</v>
      </c>
      <c r="T81" s="686">
        <f t="shared" si="21"/>
        <v>0</v>
      </c>
      <c r="U81" s="688">
        <f t="shared" si="22"/>
        <v>0</v>
      </c>
      <c r="V81" s="689">
        <f t="shared" si="23"/>
        <v>0</v>
      </c>
      <c r="W81" s="690"/>
      <c r="X81" s="690"/>
      <c r="Y81" s="690"/>
      <c r="Z81" s="690"/>
      <c r="AA81" s="690"/>
    </row>
    <row r="82" spans="1:27" ht="31.5">
      <c r="A82" s="563">
        <v>65</v>
      </c>
      <c r="B82" s="568">
        <v>7000026861</v>
      </c>
      <c r="C82" s="568">
        <v>560</v>
      </c>
      <c r="D82" s="568">
        <v>280</v>
      </c>
      <c r="E82" s="568">
        <v>40</v>
      </c>
      <c r="F82" s="568" t="s">
        <v>611</v>
      </c>
      <c r="G82" s="568">
        <v>100017138</v>
      </c>
      <c r="H82" s="568">
        <v>998731</v>
      </c>
      <c r="I82" s="431"/>
      <c r="J82" s="426">
        <v>18</v>
      </c>
      <c r="K82" s="430"/>
      <c r="L82" s="425" t="s">
        <v>771</v>
      </c>
      <c r="M82" s="425" t="s">
        <v>470</v>
      </c>
      <c r="N82" s="425">
        <v>3</v>
      </c>
      <c r="O82" s="427"/>
      <c r="P82" s="429" t="str">
        <f t="shared" si="7"/>
        <v>INCLUDED</v>
      </c>
      <c r="Q82" s="655">
        <f t="shared" si="19"/>
        <v>0</v>
      </c>
      <c r="R82" s="686">
        <f t="shared" si="20"/>
        <v>0</v>
      </c>
      <c r="S82" s="687">
        <f>Discount!$J$36</f>
        <v>0</v>
      </c>
      <c r="T82" s="686">
        <f t="shared" si="21"/>
        <v>0</v>
      </c>
      <c r="U82" s="688">
        <f t="shared" si="22"/>
        <v>0</v>
      </c>
      <c r="V82" s="689">
        <f t="shared" si="23"/>
        <v>0</v>
      </c>
      <c r="W82" s="690"/>
      <c r="X82" s="690"/>
      <c r="Y82" s="690"/>
      <c r="Z82" s="690"/>
      <c r="AA82" s="690"/>
    </row>
    <row r="83" spans="1:27" ht="31.5">
      <c r="A83" s="563">
        <v>66</v>
      </c>
      <c r="B83" s="568">
        <v>7000026861</v>
      </c>
      <c r="C83" s="568">
        <v>570</v>
      </c>
      <c r="D83" s="568">
        <v>290</v>
      </c>
      <c r="E83" s="568">
        <v>10</v>
      </c>
      <c r="F83" s="568" t="s">
        <v>612</v>
      </c>
      <c r="G83" s="568">
        <v>100017127</v>
      </c>
      <c r="H83" s="568">
        <v>998731</v>
      </c>
      <c r="I83" s="431"/>
      <c r="J83" s="426">
        <v>18</v>
      </c>
      <c r="K83" s="430"/>
      <c r="L83" s="425" t="s">
        <v>772</v>
      </c>
      <c r="M83" s="425" t="s">
        <v>470</v>
      </c>
      <c r="N83" s="425">
        <v>6</v>
      </c>
      <c r="O83" s="427"/>
      <c r="P83" s="429" t="str">
        <f t="shared" si="7"/>
        <v>INCLUDED</v>
      </c>
      <c r="Q83" s="655">
        <f t="shared" si="19"/>
        <v>0</v>
      </c>
      <c r="R83" s="686">
        <f t="shared" si="20"/>
        <v>0</v>
      </c>
      <c r="S83" s="687">
        <f>Discount!$J$36</f>
        <v>0</v>
      </c>
      <c r="T83" s="686">
        <f t="shared" si="21"/>
        <v>0</v>
      </c>
      <c r="U83" s="688">
        <f t="shared" si="22"/>
        <v>0</v>
      </c>
      <c r="V83" s="689">
        <f t="shared" si="23"/>
        <v>0</v>
      </c>
      <c r="W83" s="690"/>
      <c r="X83" s="690"/>
      <c r="Y83" s="690"/>
      <c r="Z83" s="690"/>
      <c r="AA83" s="690"/>
    </row>
    <row r="84" spans="1:27" ht="31.5">
      <c r="A84" s="563">
        <v>67</v>
      </c>
      <c r="B84" s="568">
        <v>7000026861</v>
      </c>
      <c r="C84" s="568">
        <v>570</v>
      </c>
      <c r="D84" s="568">
        <v>290</v>
      </c>
      <c r="E84" s="568">
        <v>20</v>
      </c>
      <c r="F84" s="568" t="s">
        <v>612</v>
      </c>
      <c r="G84" s="568">
        <v>100017126</v>
      </c>
      <c r="H84" s="568">
        <v>998731</v>
      </c>
      <c r="I84" s="431"/>
      <c r="J84" s="426">
        <v>18</v>
      </c>
      <c r="K84" s="430"/>
      <c r="L84" s="425" t="s">
        <v>773</v>
      </c>
      <c r="M84" s="425" t="s">
        <v>470</v>
      </c>
      <c r="N84" s="425">
        <v>6</v>
      </c>
      <c r="O84" s="427"/>
      <c r="P84" s="429" t="str">
        <f t="shared" si="7"/>
        <v>INCLUDED</v>
      </c>
      <c r="Q84" s="655">
        <f t="shared" si="19"/>
        <v>0</v>
      </c>
      <c r="R84" s="686">
        <f t="shared" si="20"/>
        <v>0</v>
      </c>
      <c r="S84" s="687">
        <f>Discount!$J$36</f>
        <v>0</v>
      </c>
      <c r="T84" s="686">
        <f t="shared" si="21"/>
        <v>0</v>
      </c>
      <c r="U84" s="688">
        <f t="shared" si="22"/>
        <v>0</v>
      </c>
      <c r="V84" s="689">
        <f t="shared" si="23"/>
        <v>0</v>
      </c>
      <c r="W84" s="690"/>
      <c r="X84" s="690"/>
      <c r="Y84" s="690"/>
      <c r="Z84" s="690"/>
      <c r="AA84" s="690"/>
    </row>
    <row r="85" spans="1:27" ht="31.5">
      <c r="A85" s="563">
        <v>68</v>
      </c>
      <c r="B85" s="568">
        <v>7000026861</v>
      </c>
      <c r="C85" s="568">
        <v>570</v>
      </c>
      <c r="D85" s="568">
        <v>290</v>
      </c>
      <c r="E85" s="568">
        <v>30</v>
      </c>
      <c r="F85" s="568" t="s">
        <v>612</v>
      </c>
      <c r="G85" s="568">
        <v>100017133</v>
      </c>
      <c r="H85" s="568">
        <v>998731</v>
      </c>
      <c r="I85" s="431"/>
      <c r="J85" s="426">
        <v>18</v>
      </c>
      <c r="K85" s="430"/>
      <c r="L85" s="425" t="s">
        <v>774</v>
      </c>
      <c r="M85" s="425" t="s">
        <v>470</v>
      </c>
      <c r="N85" s="425">
        <v>6</v>
      </c>
      <c r="O85" s="427"/>
      <c r="P85" s="429" t="str">
        <f t="shared" si="7"/>
        <v>INCLUDED</v>
      </c>
      <c r="Q85" s="655">
        <f t="shared" si="19"/>
        <v>0</v>
      </c>
      <c r="R85" s="686">
        <f t="shared" si="20"/>
        <v>0</v>
      </c>
      <c r="S85" s="687">
        <f>Discount!$J$36</f>
        <v>0</v>
      </c>
      <c r="T85" s="686">
        <f t="shared" si="21"/>
        <v>0</v>
      </c>
      <c r="U85" s="688">
        <f t="shared" si="22"/>
        <v>0</v>
      </c>
      <c r="V85" s="689">
        <f t="shared" si="23"/>
        <v>0</v>
      </c>
      <c r="W85" s="690"/>
      <c r="X85" s="690"/>
      <c r="Y85" s="690"/>
      <c r="Z85" s="690"/>
      <c r="AA85" s="690"/>
    </row>
    <row r="86" spans="1:27" ht="31.5">
      <c r="A86" s="563">
        <v>69</v>
      </c>
      <c r="B86" s="568">
        <v>7000026861</v>
      </c>
      <c r="C86" s="568">
        <v>570</v>
      </c>
      <c r="D86" s="568">
        <v>290</v>
      </c>
      <c r="E86" s="568">
        <v>40</v>
      </c>
      <c r="F86" s="568" t="s">
        <v>612</v>
      </c>
      <c r="G86" s="568">
        <v>100017132</v>
      </c>
      <c r="H86" s="568">
        <v>998731</v>
      </c>
      <c r="I86" s="431"/>
      <c r="J86" s="426">
        <v>18</v>
      </c>
      <c r="K86" s="430"/>
      <c r="L86" s="425" t="s">
        <v>775</v>
      </c>
      <c r="M86" s="425" t="s">
        <v>470</v>
      </c>
      <c r="N86" s="425">
        <v>3</v>
      </c>
      <c r="O86" s="427"/>
      <c r="P86" s="429" t="str">
        <f t="shared" si="7"/>
        <v>INCLUDED</v>
      </c>
      <c r="Q86" s="655">
        <f t="shared" si="19"/>
        <v>0</v>
      </c>
      <c r="R86" s="686">
        <f t="shared" si="20"/>
        <v>0</v>
      </c>
      <c r="S86" s="687">
        <f>Discount!$J$36</f>
        <v>0</v>
      </c>
      <c r="T86" s="686">
        <f t="shared" si="21"/>
        <v>0</v>
      </c>
      <c r="U86" s="688">
        <f t="shared" si="22"/>
        <v>0</v>
      </c>
      <c r="V86" s="689">
        <f t="shared" si="23"/>
        <v>0</v>
      </c>
      <c r="W86" s="690"/>
      <c r="X86" s="690"/>
      <c r="Y86" s="690"/>
      <c r="Z86" s="690"/>
      <c r="AA86" s="690"/>
    </row>
    <row r="87" spans="1:27" ht="31.5">
      <c r="A87" s="563">
        <v>70</v>
      </c>
      <c r="B87" s="568">
        <v>7000026861</v>
      </c>
      <c r="C87" s="568">
        <v>730</v>
      </c>
      <c r="D87" s="568">
        <v>320</v>
      </c>
      <c r="E87" s="568">
        <v>10</v>
      </c>
      <c r="F87" s="568" t="s">
        <v>544</v>
      </c>
      <c r="G87" s="568">
        <v>100016781</v>
      </c>
      <c r="H87" s="568">
        <v>998736</v>
      </c>
      <c r="I87" s="431"/>
      <c r="J87" s="426">
        <v>18</v>
      </c>
      <c r="K87" s="430"/>
      <c r="L87" s="425" t="s">
        <v>776</v>
      </c>
      <c r="M87" s="425" t="s">
        <v>471</v>
      </c>
      <c r="N87" s="425">
        <v>3</v>
      </c>
      <c r="O87" s="427"/>
      <c r="P87" s="429" t="str">
        <f t="shared" si="7"/>
        <v>INCLUDED</v>
      </c>
      <c r="Q87" s="655">
        <f t="shared" si="19"/>
        <v>0</v>
      </c>
      <c r="R87" s="686">
        <f t="shared" si="20"/>
        <v>0</v>
      </c>
      <c r="S87" s="687">
        <f>Discount!$J$36</f>
        <v>0</v>
      </c>
      <c r="T87" s="686">
        <f t="shared" si="21"/>
        <v>0</v>
      </c>
      <c r="U87" s="688">
        <f t="shared" si="22"/>
        <v>0</v>
      </c>
      <c r="V87" s="689">
        <f t="shared" si="23"/>
        <v>0</v>
      </c>
      <c r="W87" s="690"/>
      <c r="X87" s="690"/>
      <c r="Y87" s="690"/>
      <c r="Z87" s="690"/>
      <c r="AA87" s="690"/>
    </row>
    <row r="88" spans="1:27" ht="31.5">
      <c r="A88" s="563">
        <v>71</v>
      </c>
      <c r="B88" s="568">
        <v>7000026861</v>
      </c>
      <c r="C88" s="568">
        <v>810</v>
      </c>
      <c r="D88" s="568">
        <v>350</v>
      </c>
      <c r="E88" s="568">
        <v>10</v>
      </c>
      <c r="F88" s="568" t="s">
        <v>545</v>
      </c>
      <c r="G88" s="568">
        <v>100001021</v>
      </c>
      <c r="H88" s="568">
        <v>995461</v>
      </c>
      <c r="I88" s="431"/>
      <c r="J88" s="426">
        <v>18</v>
      </c>
      <c r="K88" s="430"/>
      <c r="L88" s="425" t="s">
        <v>508</v>
      </c>
      <c r="M88" s="425" t="s">
        <v>470</v>
      </c>
      <c r="N88" s="425">
        <v>1</v>
      </c>
      <c r="O88" s="427"/>
      <c r="P88" s="429" t="str">
        <f t="shared" si="7"/>
        <v>INCLUDED</v>
      </c>
      <c r="Q88" s="655">
        <f t="shared" si="19"/>
        <v>0</v>
      </c>
      <c r="R88" s="686">
        <f t="shared" si="20"/>
        <v>0</v>
      </c>
      <c r="S88" s="687">
        <f>Discount!$J$36</f>
        <v>0</v>
      </c>
      <c r="T88" s="686">
        <f t="shared" si="21"/>
        <v>0</v>
      </c>
      <c r="U88" s="688">
        <f t="shared" si="22"/>
        <v>0</v>
      </c>
      <c r="V88" s="689">
        <f t="shared" si="23"/>
        <v>0</v>
      </c>
      <c r="W88" s="690"/>
      <c r="X88" s="690"/>
      <c r="Y88" s="690"/>
      <c r="Z88" s="690"/>
      <c r="AA88" s="690"/>
    </row>
    <row r="89" spans="1:27" ht="31.5">
      <c r="A89" s="563">
        <v>72</v>
      </c>
      <c r="B89" s="568">
        <v>7000026861</v>
      </c>
      <c r="C89" s="568">
        <v>810</v>
      </c>
      <c r="D89" s="568">
        <v>350</v>
      </c>
      <c r="E89" s="568">
        <v>20</v>
      </c>
      <c r="F89" s="568" t="s">
        <v>545</v>
      </c>
      <c r="G89" s="568">
        <v>100001885</v>
      </c>
      <c r="H89" s="568">
        <v>998739</v>
      </c>
      <c r="I89" s="431"/>
      <c r="J89" s="426">
        <v>18</v>
      </c>
      <c r="K89" s="430"/>
      <c r="L89" s="425" t="s">
        <v>510</v>
      </c>
      <c r="M89" s="425" t="s">
        <v>470</v>
      </c>
      <c r="N89" s="425">
        <v>1</v>
      </c>
      <c r="O89" s="427"/>
      <c r="P89" s="429" t="str">
        <f t="shared" si="7"/>
        <v>INCLUDED</v>
      </c>
      <c r="Q89" s="655">
        <f t="shared" si="19"/>
        <v>0</v>
      </c>
      <c r="R89" s="686">
        <f t="shared" si="20"/>
        <v>0</v>
      </c>
      <c r="S89" s="687">
        <f>Discount!$J$36</f>
        <v>0</v>
      </c>
      <c r="T89" s="686">
        <f t="shared" si="21"/>
        <v>0</v>
      </c>
      <c r="U89" s="688">
        <f t="shared" si="22"/>
        <v>0</v>
      </c>
      <c r="V89" s="689">
        <f t="shared" si="23"/>
        <v>0</v>
      </c>
      <c r="W89" s="690"/>
      <c r="X89" s="690"/>
      <c r="Y89" s="690"/>
      <c r="Z89" s="690"/>
      <c r="AA89" s="690"/>
    </row>
    <row r="90" spans="1:27" ht="31.5">
      <c r="A90" s="563">
        <v>73</v>
      </c>
      <c r="B90" s="568">
        <v>7000026861</v>
      </c>
      <c r="C90" s="568">
        <v>810</v>
      </c>
      <c r="D90" s="568">
        <v>350</v>
      </c>
      <c r="E90" s="568">
        <v>30</v>
      </c>
      <c r="F90" s="568" t="s">
        <v>545</v>
      </c>
      <c r="G90" s="568">
        <v>100004852</v>
      </c>
      <c r="H90" s="568">
        <v>998731</v>
      </c>
      <c r="I90" s="431"/>
      <c r="J90" s="426">
        <v>18</v>
      </c>
      <c r="K90" s="430"/>
      <c r="L90" s="425" t="s">
        <v>777</v>
      </c>
      <c r="M90" s="425" t="s">
        <v>470</v>
      </c>
      <c r="N90" s="425">
        <v>10</v>
      </c>
      <c r="O90" s="427"/>
      <c r="P90" s="429" t="str">
        <f t="shared" si="7"/>
        <v>INCLUDED</v>
      </c>
      <c r="Q90" s="655">
        <f t="shared" si="19"/>
        <v>0</v>
      </c>
      <c r="R90" s="686">
        <f t="shared" si="20"/>
        <v>0</v>
      </c>
      <c r="S90" s="687">
        <f>Discount!$J$36</f>
        <v>0</v>
      </c>
      <c r="T90" s="686">
        <f t="shared" si="21"/>
        <v>0</v>
      </c>
      <c r="U90" s="688">
        <f t="shared" si="22"/>
        <v>0</v>
      </c>
      <c r="V90" s="689">
        <f t="shared" si="23"/>
        <v>0</v>
      </c>
      <c r="W90" s="690"/>
      <c r="X90" s="690"/>
      <c r="Y90" s="690"/>
      <c r="Z90" s="690"/>
      <c r="AA90" s="690"/>
    </row>
    <row r="91" spans="1:27" ht="31.5">
      <c r="A91" s="563">
        <v>74</v>
      </c>
      <c r="B91" s="568">
        <v>7000026861</v>
      </c>
      <c r="C91" s="568">
        <v>810</v>
      </c>
      <c r="D91" s="568">
        <v>350</v>
      </c>
      <c r="E91" s="568">
        <v>40</v>
      </c>
      <c r="F91" s="568" t="s">
        <v>545</v>
      </c>
      <c r="G91" s="568">
        <v>100004926</v>
      </c>
      <c r="H91" s="568">
        <v>998731</v>
      </c>
      <c r="I91" s="431"/>
      <c r="J91" s="426">
        <v>18</v>
      </c>
      <c r="K91" s="430"/>
      <c r="L91" s="425" t="s">
        <v>778</v>
      </c>
      <c r="M91" s="425" t="s">
        <v>470</v>
      </c>
      <c r="N91" s="425">
        <v>10</v>
      </c>
      <c r="O91" s="427"/>
      <c r="P91" s="429" t="str">
        <f t="shared" si="7"/>
        <v>INCLUDED</v>
      </c>
      <c r="Q91" s="655">
        <f t="shared" si="19"/>
        <v>0</v>
      </c>
      <c r="R91" s="686">
        <f t="shared" si="20"/>
        <v>0</v>
      </c>
      <c r="S91" s="687">
        <f>Discount!$J$36</f>
        <v>0</v>
      </c>
      <c r="T91" s="686">
        <f t="shared" si="21"/>
        <v>0</v>
      </c>
      <c r="U91" s="688">
        <f t="shared" si="22"/>
        <v>0</v>
      </c>
      <c r="V91" s="689">
        <f t="shared" si="23"/>
        <v>0</v>
      </c>
      <c r="W91" s="690"/>
      <c r="X91" s="690"/>
      <c r="Y91" s="690"/>
      <c r="Z91" s="690"/>
      <c r="AA91" s="690"/>
    </row>
    <row r="92" spans="1:27" ht="31.5">
      <c r="A92" s="563">
        <v>75</v>
      </c>
      <c r="B92" s="568">
        <v>7000026861</v>
      </c>
      <c r="C92" s="568">
        <v>810</v>
      </c>
      <c r="D92" s="568">
        <v>350</v>
      </c>
      <c r="E92" s="568">
        <v>50</v>
      </c>
      <c r="F92" s="568" t="s">
        <v>545</v>
      </c>
      <c r="G92" s="568">
        <v>100004937</v>
      </c>
      <c r="H92" s="568">
        <v>998731</v>
      </c>
      <c r="I92" s="431"/>
      <c r="J92" s="426">
        <v>18</v>
      </c>
      <c r="K92" s="430"/>
      <c r="L92" s="425" t="s">
        <v>779</v>
      </c>
      <c r="M92" s="425" t="s">
        <v>470</v>
      </c>
      <c r="N92" s="425">
        <v>6</v>
      </c>
      <c r="O92" s="427"/>
      <c r="P92" s="429" t="str">
        <f t="shared" si="7"/>
        <v>INCLUDED</v>
      </c>
      <c r="Q92" s="655">
        <f t="shared" si="19"/>
        <v>0</v>
      </c>
      <c r="R92" s="686">
        <f t="shared" si="20"/>
        <v>0</v>
      </c>
      <c r="S92" s="687">
        <f>Discount!$J$36</f>
        <v>0</v>
      </c>
      <c r="T92" s="686">
        <f t="shared" si="21"/>
        <v>0</v>
      </c>
      <c r="U92" s="688">
        <f t="shared" si="22"/>
        <v>0</v>
      </c>
      <c r="V92" s="689">
        <f t="shared" si="23"/>
        <v>0</v>
      </c>
      <c r="W92" s="690"/>
      <c r="X92" s="690"/>
      <c r="Y92" s="690"/>
      <c r="Z92" s="690"/>
      <c r="AA92" s="690"/>
    </row>
    <row r="93" spans="1:27" ht="31.5">
      <c r="A93" s="563">
        <v>76</v>
      </c>
      <c r="B93" s="568">
        <v>7000026861</v>
      </c>
      <c r="C93" s="568">
        <v>810</v>
      </c>
      <c r="D93" s="568">
        <v>350</v>
      </c>
      <c r="E93" s="568">
        <v>60</v>
      </c>
      <c r="F93" s="568" t="s">
        <v>545</v>
      </c>
      <c r="G93" s="568">
        <v>100001024</v>
      </c>
      <c r="H93" s="568">
        <v>998731</v>
      </c>
      <c r="I93" s="431"/>
      <c r="J93" s="426">
        <v>18</v>
      </c>
      <c r="K93" s="430"/>
      <c r="L93" s="425" t="s">
        <v>588</v>
      </c>
      <c r="M93" s="425" t="s">
        <v>470</v>
      </c>
      <c r="N93" s="425">
        <v>2</v>
      </c>
      <c r="O93" s="427"/>
      <c r="P93" s="429" t="str">
        <f t="shared" si="7"/>
        <v>INCLUDED</v>
      </c>
      <c r="Q93" s="655">
        <f t="shared" si="19"/>
        <v>0</v>
      </c>
      <c r="R93" s="686">
        <f t="shared" si="20"/>
        <v>0</v>
      </c>
      <c r="S93" s="687">
        <f>Discount!$J$36</f>
        <v>0</v>
      </c>
      <c r="T93" s="686">
        <f t="shared" si="21"/>
        <v>0</v>
      </c>
      <c r="U93" s="688">
        <f t="shared" si="22"/>
        <v>0</v>
      </c>
      <c r="V93" s="689">
        <f t="shared" si="23"/>
        <v>0</v>
      </c>
      <c r="W93" s="690"/>
      <c r="X93" s="690"/>
      <c r="Y93" s="690"/>
      <c r="Z93" s="690"/>
      <c r="AA93" s="690"/>
    </row>
    <row r="94" spans="1:27" ht="63">
      <c r="A94" s="563">
        <v>77</v>
      </c>
      <c r="B94" s="568">
        <v>7000026861</v>
      </c>
      <c r="C94" s="568">
        <v>830</v>
      </c>
      <c r="D94" s="568">
        <v>370</v>
      </c>
      <c r="E94" s="568">
        <v>10</v>
      </c>
      <c r="F94" s="568" t="s">
        <v>571</v>
      </c>
      <c r="G94" s="568">
        <v>100002500</v>
      </c>
      <c r="H94" s="568">
        <v>998731</v>
      </c>
      <c r="I94" s="431"/>
      <c r="J94" s="426">
        <v>18</v>
      </c>
      <c r="K94" s="430"/>
      <c r="L94" s="425" t="s">
        <v>780</v>
      </c>
      <c r="M94" s="425" t="s">
        <v>471</v>
      </c>
      <c r="N94" s="425">
        <v>1</v>
      </c>
      <c r="O94" s="427"/>
      <c r="P94" s="429" t="str">
        <f t="shared" si="7"/>
        <v>INCLUDED</v>
      </c>
      <c r="Q94" s="655">
        <f t="shared" si="19"/>
        <v>0</v>
      </c>
      <c r="R94" s="686">
        <f t="shared" si="20"/>
        <v>0</v>
      </c>
      <c r="S94" s="687">
        <f>Discount!$J$36</f>
        <v>0</v>
      </c>
      <c r="T94" s="686">
        <f t="shared" si="21"/>
        <v>0</v>
      </c>
      <c r="U94" s="688">
        <f t="shared" si="22"/>
        <v>0</v>
      </c>
      <c r="V94" s="689">
        <f t="shared" si="23"/>
        <v>0</v>
      </c>
      <c r="W94" s="690"/>
      <c r="X94" s="690"/>
      <c r="Y94" s="690"/>
      <c r="Z94" s="690"/>
      <c r="AA94" s="690"/>
    </row>
    <row r="95" spans="1:27">
      <c r="A95" s="563">
        <v>78</v>
      </c>
      <c r="B95" s="568">
        <v>7000026861</v>
      </c>
      <c r="C95" s="568">
        <v>1210</v>
      </c>
      <c r="D95" s="568">
        <v>410</v>
      </c>
      <c r="E95" s="568">
        <v>10</v>
      </c>
      <c r="F95" s="568" t="s">
        <v>576</v>
      </c>
      <c r="G95" s="568">
        <v>100002181</v>
      </c>
      <c r="H95" s="568">
        <v>998736</v>
      </c>
      <c r="I95" s="431"/>
      <c r="J95" s="426">
        <v>18</v>
      </c>
      <c r="K95" s="430"/>
      <c r="L95" s="425" t="s">
        <v>781</v>
      </c>
      <c r="M95" s="425" t="s">
        <v>506</v>
      </c>
      <c r="N95" s="425">
        <v>1</v>
      </c>
      <c r="O95" s="427"/>
      <c r="P95" s="429" t="str">
        <f t="shared" si="7"/>
        <v>INCLUDED</v>
      </c>
      <c r="Q95" s="655">
        <f t="shared" si="19"/>
        <v>0</v>
      </c>
      <c r="R95" s="686">
        <f t="shared" si="20"/>
        <v>0</v>
      </c>
      <c r="S95" s="687">
        <f>Discount!$J$36</f>
        <v>0</v>
      </c>
      <c r="T95" s="686">
        <f t="shared" si="21"/>
        <v>0</v>
      </c>
      <c r="U95" s="688">
        <f t="shared" si="22"/>
        <v>0</v>
      </c>
      <c r="V95" s="689">
        <f t="shared" si="23"/>
        <v>0</v>
      </c>
      <c r="W95" s="690"/>
      <c r="X95" s="690"/>
      <c r="Y95" s="690"/>
      <c r="Z95" s="690"/>
      <c r="AA95" s="690"/>
    </row>
    <row r="96" spans="1:27">
      <c r="A96" s="563">
        <v>79</v>
      </c>
      <c r="B96" s="568">
        <v>7000026861</v>
      </c>
      <c r="C96" s="568">
        <v>1210</v>
      </c>
      <c r="D96" s="568">
        <v>410</v>
      </c>
      <c r="E96" s="568">
        <v>20</v>
      </c>
      <c r="F96" s="568" t="s">
        <v>576</v>
      </c>
      <c r="G96" s="568">
        <v>100002182</v>
      </c>
      <c r="H96" s="568">
        <v>998736</v>
      </c>
      <c r="I96" s="431"/>
      <c r="J96" s="426">
        <v>18</v>
      </c>
      <c r="K96" s="430"/>
      <c r="L96" s="425" t="s">
        <v>782</v>
      </c>
      <c r="M96" s="425" t="s">
        <v>506</v>
      </c>
      <c r="N96" s="425">
        <v>1</v>
      </c>
      <c r="O96" s="427"/>
      <c r="P96" s="429" t="str">
        <f t="shared" si="7"/>
        <v>INCLUDED</v>
      </c>
      <c r="Q96" s="655">
        <f t="shared" si="19"/>
        <v>0</v>
      </c>
      <c r="R96" s="686">
        <f t="shared" si="20"/>
        <v>0</v>
      </c>
      <c r="S96" s="687">
        <f>Discount!$J$36</f>
        <v>0</v>
      </c>
      <c r="T96" s="686">
        <f t="shared" si="21"/>
        <v>0</v>
      </c>
      <c r="U96" s="688">
        <f t="shared" si="22"/>
        <v>0</v>
      </c>
      <c r="V96" s="689">
        <f t="shared" si="23"/>
        <v>0</v>
      </c>
      <c r="W96" s="690"/>
      <c r="X96" s="690"/>
      <c r="Y96" s="690"/>
      <c r="Z96" s="690"/>
      <c r="AA96" s="690"/>
    </row>
    <row r="97" spans="1:31">
      <c r="A97" s="563">
        <v>80</v>
      </c>
      <c r="B97" s="568">
        <v>7000026861</v>
      </c>
      <c r="C97" s="568">
        <v>1210</v>
      </c>
      <c r="D97" s="568">
        <v>410</v>
      </c>
      <c r="E97" s="568">
        <v>30</v>
      </c>
      <c r="F97" s="568" t="s">
        <v>576</v>
      </c>
      <c r="G97" s="568">
        <v>100002180</v>
      </c>
      <c r="H97" s="568">
        <v>998736</v>
      </c>
      <c r="I97" s="431"/>
      <c r="J97" s="426">
        <v>18</v>
      </c>
      <c r="K97" s="430"/>
      <c r="L97" s="425" t="s">
        <v>783</v>
      </c>
      <c r="M97" s="425" t="s">
        <v>506</v>
      </c>
      <c r="N97" s="425">
        <v>1</v>
      </c>
      <c r="O97" s="427"/>
      <c r="P97" s="429" t="str">
        <f t="shared" si="7"/>
        <v>INCLUDED</v>
      </c>
      <c r="Q97" s="655">
        <f t="shared" si="19"/>
        <v>0</v>
      </c>
      <c r="R97" s="686">
        <f t="shared" si="20"/>
        <v>0</v>
      </c>
      <c r="S97" s="687">
        <f>Discount!$J$36</f>
        <v>0</v>
      </c>
      <c r="T97" s="686">
        <f t="shared" si="21"/>
        <v>0</v>
      </c>
      <c r="U97" s="688">
        <f t="shared" si="22"/>
        <v>0</v>
      </c>
      <c r="V97" s="689">
        <f t="shared" si="23"/>
        <v>0</v>
      </c>
      <c r="W97" s="690"/>
      <c r="X97" s="690"/>
      <c r="Y97" s="690"/>
      <c r="Z97" s="690"/>
      <c r="AA97" s="690"/>
    </row>
    <row r="98" spans="1:31" s="683" customFormat="1" ht="34.5" customHeight="1">
      <c r="A98" s="684" t="s">
        <v>63</v>
      </c>
      <c r="B98" s="605" t="s">
        <v>561</v>
      </c>
      <c r="C98" s="606"/>
      <c r="D98" s="606"/>
      <c r="E98" s="606"/>
      <c r="F98" s="607"/>
      <c r="G98" s="685"/>
      <c r="H98" s="685"/>
      <c r="I98" s="685"/>
      <c r="J98" s="685"/>
      <c r="K98" s="685"/>
      <c r="L98" s="685"/>
      <c r="M98" s="685"/>
      <c r="N98" s="685"/>
      <c r="O98" s="685"/>
      <c r="P98" s="685"/>
      <c r="Q98" s="680"/>
      <c r="V98" s="680"/>
      <c r="W98" s="680"/>
      <c r="X98" s="680"/>
      <c r="Y98" s="680"/>
      <c r="Z98" s="680"/>
      <c r="AA98" s="680"/>
      <c r="AB98" s="680"/>
      <c r="AC98" s="680"/>
      <c r="AD98" s="680"/>
      <c r="AE98" s="680"/>
    </row>
    <row r="99" spans="1:31" ht="31.5">
      <c r="A99" s="563">
        <v>1</v>
      </c>
      <c r="B99" s="568">
        <v>7000026863</v>
      </c>
      <c r="C99" s="568">
        <v>90</v>
      </c>
      <c r="D99" s="568">
        <v>20</v>
      </c>
      <c r="E99" s="568">
        <v>20</v>
      </c>
      <c r="F99" s="568" t="s">
        <v>565</v>
      </c>
      <c r="G99" s="568">
        <v>100000287</v>
      </c>
      <c r="H99" s="568">
        <v>998736</v>
      </c>
      <c r="I99" s="431"/>
      <c r="J99" s="426">
        <v>18</v>
      </c>
      <c r="K99" s="430"/>
      <c r="L99" s="425" t="s">
        <v>475</v>
      </c>
      <c r="M99" s="425" t="s">
        <v>470</v>
      </c>
      <c r="N99" s="425">
        <v>2</v>
      </c>
      <c r="O99" s="427"/>
      <c r="P99" s="429" t="str">
        <f t="shared" si="7"/>
        <v>INCLUDED</v>
      </c>
      <c r="Q99" s="655">
        <f t="shared" si="19"/>
        <v>0</v>
      </c>
      <c r="R99" s="686">
        <f t="shared" si="20"/>
        <v>0</v>
      </c>
      <c r="S99" s="687">
        <f>Discount!$J$36</f>
        <v>0</v>
      </c>
      <c r="T99" s="686">
        <f t="shared" si="21"/>
        <v>0</v>
      </c>
      <c r="U99" s="688">
        <f t="shared" si="22"/>
        <v>0</v>
      </c>
      <c r="V99" s="689">
        <f t="shared" si="23"/>
        <v>0</v>
      </c>
      <c r="W99" s="690"/>
      <c r="X99" s="690"/>
      <c r="Y99" s="690"/>
      <c r="Z99" s="690"/>
      <c r="AA99" s="690"/>
    </row>
    <row r="100" spans="1:31" ht="31.5">
      <c r="A100" s="563">
        <v>2</v>
      </c>
      <c r="B100" s="568">
        <v>7000026863</v>
      </c>
      <c r="C100" s="568">
        <v>90</v>
      </c>
      <c r="D100" s="568">
        <v>20</v>
      </c>
      <c r="E100" s="568">
        <v>30</v>
      </c>
      <c r="F100" s="568" t="s">
        <v>565</v>
      </c>
      <c r="G100" s="568">
        <v>100000274</v>
      </c>
      <c r="H100" s="568">
        <v>998736</v>
      </c>
      <c r="I100" s="431"/>
      <c r="J100" s="426">
        <v>18</v>
      </c>
      <c r="K100" s="430"/>
      <c r="L100" s="425" t="s">
        <v>474</v>
      </c>
      <c r="M100" s="425" t="s">
        <v>470</v>
      </c>
      <c r="N100" s="425">
        <v>3</v>
      </c>
      <c r="O100" s="427"/>
      <c r="P100" s="429" t="str">
        <f t="shared" si="7"/>
        <v>INCLUDED</v>
      </c>
      <c r="Q100" s="655">
        <f t="shared" si="19"/>
        <v>0</v>
      </c>
      <c r="R100" s="686">
        <f t="shared" si="20"/>
        <v>0</v>
      </c>
      <c r="S100" s="687">
        <f>Discount!$J$36</f>
        <v>0</v>
      </c>
      <c r="T100" s="686">
        <f t="shared" si="21"/>
        <v>0</v>
      </c>
      <c r="U100" s="688">
        <f t="shared" si="22"/>
        <v>0</v>
      </c>
      <c r="V100" s="689">
        <f t="shared" si="23"/>
        <v>0</v>
      </c>
      <c r="W100" s="690"/>
      <c r="X100" s="690"/>
      <c r="Y100" s="690"/>
      <c r="Z100" s="690"/>
      <c r="AA100" s="690"/>
    </row>
    <row r="101" spans="1:31" ht="31.5">
      <c r="A101" s="563">
        <v>3</v>
      </c>
      <c r="B101" s="568">
        <v>7000026863</v>
      </c>
      <c r="C101" s="568">
        <v>90</v>
      </c>
      <c r="D101" s="568">
        <v>20</v>
      </c>
      <c r="E101" s="568">
        <v>40</v>
      </c>
      <c r="F101" s="568" t="s">
        <v>565</v>
      </c>
      <c r="G101" s="568">
        <v>100000275</v>
      </c>
      <c r="H101" s="568">
        <v>998736</v>
      </c>
      <c r="I101" s="431"/>
      <c r="J101" s="426">
        <v>18</v>
      </c>
      <c r="K101" s="430"/>
      <c r="L101" s="425" t="s">
        <v>476</v>
      </c>
      <c r="M101" s="425" t="s">
        <v>470</v>
      </c>
      <c r="N101" s="425">
        <v>3</v>
      </c>
      <c r="O101" s="427"/>
      <c r="P101" s="429" t="str">
        <f t="shared" si="7"/>
        <v>INCLUDED</v>
      </c>
      <c r="Q101" s="655">
        <f t="shared" si="19"/>
        <v>0</v>
      </c>
      <c r="R101" s="686">
        <f t="shared" si="20"/>
        <v>0</v>
      </c>
      <c r="S101" s="687">
        <f>Discount!$J$36</f>
        <v>0</v>
      </c>
      <c r="T101" s="686">
        <f t="shared" si="21"/>
        <v>0</v>
      </c>
      <c r="U101" s="688">
        <f t="shared" si="22"/>
        <v>0</v>
      </c>
      <c r="V101" s="689">
        <f t="shared" si="23"/>
        <v>0</v>
      </c>
      <c r="W101" s="690"/>
      <c r="X101" s="690"/>
      <c r="Y101" s="690"/>
      <c r="Z101" s="690"/>
      <c r="AA101" s="690"/>
    </row>
    <row r="102" spans="1:31" ht="31.5">
      <c r="A102" s="563">
        <v>4</v>
      </c>
      <c r="B102" s="568">
        <v>7000026863</v>
      </c>
      <c r="C102" s="568">
        <v>90</v>
      </c>
      <c r="D102" s="568">
        <v>20</v>
      </c>
      <c r="E102" s="568">
        <v>50</v>
      </c>
      <c r="F102" s="568" t="s">
        <v>565</v>
      </c>
      <c r="G102" s="568">
        <v>100000340</v>
      </c>
      <c r="H102" s="568">
        <v>998736</v>
      </c>
      <c r="I102" s="431"/>
      <c r="J102" s="426">
        <v>18</v>
      </c>
      <c r="K102" s="430"/>
      <c r="L102" s="425" t="s">
        <v>721</v>
      </c>
      <c r="M102" s="425" t="s">
        <v>470</v>
      </c>
      <c r="N102" s="425">
        <v>6</v>
      </c>
      <c r="O102" s="427"/>
      <c r="P102" s="429" t="str">
        <f t="shared" si="7"/>
        <v>INCLUDED</v>
      </c>
      <c r="Q102" s="655">
        <f t="shared" si="19"/>
        <v>0</v>
      </c>
      <c r="R102" s="686">
        <f t="shared" si="20"/>
        <v>0</v>
      </c>
      <c r="S102" s="687">
        <f>Discount!$J$36</f>
        <v>0</v>
      </c>
      <c r="T102" s="686">
        <f t="shared" si="21"/>
        <v>0</v>
      </c>
      <c r="U102" s="688">
        <f t="shared" si="22"/>
        <v>0</v>
      </c>
      <c r="V102" s="689">
        <f t="shared" si="23"/>
        <v>0</v>
      </c>
      <c r="W102" s="690"/>
      <c r="X102" s="690"/>
      <c r="Y102" s="690"/>
      <c r="Z102" s="690"/>
      <c r="AA102" s="690"/>
    </row>
    <row r="103" spans="1:31" ht="31.5">
      <c r="A103" s="563">
        <v>5</v>
      </c>
      <c r="B103" s="568">
        <v>7000026863</v>
      </c>
      <c r="C103" s="568">
        <v>90</v>
      </c>
      <c r="D103" s="568">
        <v>20</v>
      </c>
      <c r="E103" s="568">
        <v>60</v>
      </c>
      <c r="F103" s="568" t="s">
        <v>565</v>
      </c>
      <c r="G103" s="568">
        <v>100002042</v>
      </c>
      <c r="H103" s="568">
        <v>998734</v>
      </c>
      <c r="I103" s="431"/>
      <c r="J103" s="426">
        <v>18</v>
      </c>
      <c r="K103" s="430"/>
      <c r="L103" s="425" t="s">
        <v>489</v>
      </c>
      <c r="M103" s="425" t="s">
        <v>470</v>
      </c>
      <c r="N103" s="425">
        <v>2</v>
      </c>
      <c r="O103" s="427"/>
      <c r="P103" s="429" t="str">
        <f t="shared" si="7"/>
        <v>INCLUDED</v>
      </c>
      <c r="Q103" s="655">
        <f t="shared" si="19"/>
        <v>0</v>
      </c>
      <c r="R103" s="686">
        <f t="shared" si="20"/>
        <v>0</v>
      </c>
      <c r="S103" s="687">
        <f>Discount!$J$36</f>
        <v>0</v>
      </c>
      <c r="T103" s="686">
        <f t="shared" si="21"/>
        <v>0</v>
      </c>
      <c r="U103" s="688">
        <f t="shared" si="22"/>
        <v>0</v>
      </c>
      <c r="V103" s="689">
        <f t="shared" si="23"/>
        <v>0</v>
      </c>
      <c r="W103" s="690"/>
      <c r="X103" s="690"/>
      <c r="Y103" s="690"/>
      <c r="Z103" s="690"/>
      <c r="AA103" s="690"/>
    </row>
    <row r="104" spans="1:31" ht="31.5">
      <c r="A104" s="563">
        <v>6</v>
      </c>
      <c r="B104" s="568">
        <v>7000026863</v>
      </c>
      <c r="C104" s="568">
        <v>90</v>
      </c>
      <c r="D104" s="568">
        <v>20</v>
      </c>
      <c r="E104" s="568">
        <v>70</v>
      </c>
      <c r="F104" s="568" t="s">
        <v>565</v>
      </c>
      <c r="G104" s="568">
        <v>100000883</v>
      </c>
      <c r="H104" s="568">
        <v>998734</v>
      </c>
      <c r="I104" s="431"/>
      <c r="J104" s="426">
        <v>18</v>
      </c>
      <c r="K104" s="430"/>
      <c r="L104" s="425" t="s">
        <v>490</v>
      </c>
      <c r="M104" s="425" t="s">
        <v>470</v>
      </c>
      <c r="N104" s="425">
        <v>6</v>
      </c>
      <c r="O104" s="427"/>
      <c r="P104" s="429" t="str">
        <f t="shared" ref="P104" si="24">IF(O104=0, "INCLUDED", IF(ISERROR(N104*O104), O104, N104*O104))</f>
        <v>INCLUDED</v>
      </c>
      <c r="Q104" s="655">
        <f t="shared" ref="Q104" si="25">IF(P104="Included",0,P104)</f>
        <v>0</v>
      </c>
      <c r="R104" s="686">
        <f t="shared" ref="R104" si="26">IF( K104="",J104*(IF(P104="Included",0,P104))/100,K104*(IF(P104="Included",0,P104)))</f>
        <v>0</v>
      </c>
      <c r="S104" s="687">
        <f>Discount!$J$36</f>
        <v>0</v>
      </c>
      <c r="T104" s="686">
        <f t="shared" ref="T104" si="27">S104*Q104</f>
        <v>0</v>
      </c>
      <c r="U104" s="688">
        <f t="shared" ref="U104" si="28">IF(K104="",J104*T104/100,K104*T104)</f>
        <v>0</v>
      </c>
      <c r="V104" s="689">
        <f t="shared" ref="V104" si="29">O104*N104</f>
        <v>0</v>
      </c>
      <c r="W104" s="690"/>
      <c r="X104" s="690"/>
      <c r="Y104" s="690"/>
      <c r="Z104" s="690"/>
      <c r="AA104" s="690"/>
    </row>
    <row r="105" spans="1:31" ht="31.5">
      <c r="A105" s="563">
        <v>7</v>
      </c>
      <c r="B105" s="568">
        <v>7000026863</v>
      </c>
      <c r="C105" s="568">
        <v>90</v>
      </c>
      <c r="D105" s="568">
        <v>20</v>
      </c>
      <c r="E105" s="568">
        <v>80</v>
      </c>
      <c r="F105" s="568" t="s">
        <v>565</v>
      </c>
      <c r="G105" s="568">
        <v>100000328</v>
      </c>
      <c r="H105" s="568">
        <v>998736</v>
      </c>
      <c r="I105" s="431"/>
      <c r="J105" s="426">
        <v>18</v>
      </c>
      <c r="K105" s="430"/>
      <c r="L105" s="425" t="s">
        <v>477</v>
      </c>
      <c r="M105" s="425" t="s">
        <v>470</v>
      </c>
      <c r="N105" s="425">
        <v>3</v>
      </c>
      <c r="O105" s="427"/>
      <c r="P105" s="429" t="str">
        <f t="shared" ref="P105:P109" si="30">IF(O105=0, "INCLUDED", IF(ISERROR(N105*O105), O105, N105*O105))</f>
        <v>INCLUDED</v>
      </c>
      <c r="Q105" s="655">
        <f t="shared" ref="Q105:Q109" si="31">IF(P105="Included",0,P105)</f>
        <v>0</v>
      </c>
      <c r="R105" s="686">
        <f t="shared" ref="R105:R109" si="32">IF( K105="",J105*(IF(P105="Included",0,P105))/100,K105*(IF(P105="Included",0,P105)))</f>
        <v>0</v>
      </c>
      <c r="S105" s="687">
        <f>Discount!$J$36</f>
        <v>0</v>
      </c>
      <c r="T105" s="686">
        <f t="shared" ref="T105:T109" si="33">S105*Q105</f>
        <v>0</v>
      </c>
      <c r="U105" s="688">
        <f t="shared" ref="U105:U109" si="34">IF(K105="",J105*T105/100,K105*T105)</f>
        <v>0</v>
      </c>
      <c r="V105" s="689">
        <f t="shared" ref="V105:V109" si="35">O105*N105</f>
        <v>0</v>
      </c>
      <c r="W105" s="690"/>
      <c r="X105" s="690"/>
      <c r="Y105" s="690"/>
      <c r="Z105" s="690"/>
      <c r="AA105" s="690"/>
    </row>
    <row r="106" spans="1:31" ht="31.5">
      <c r="A106" s="563">
        <v>8</v>
      </c>
      <c r="B106" s="568">
        <v>7000026863</v>
      </c>
      <c r="C106" s="568">
        <v>90</v>
      </c>
      <c r="D106" s="568">
        <v>20</v>
      </c>
      <c r="E106" s="568">
        <v>100</v>
      </c>
      <c r="F106" s="568" t="s">
        <v>565</v>
      </c>
      <c r="G106" s="568">
        <v>100000267</v>
      </c>
      <c r="H106" s="568">
        <v>998736</v>
      </c>
      <c r="I106" s="431"/>
      <c r="J106" s="426">
        <v>18</v>
      </c>
      <c r="K106" s="430"/>
      <c r="L106" s="425" t="s">
        <v>720</v>
      </c>
      <c r="M106" s="425" t="s">
        <v>470</v>
      </c>
      <c r="N106" s="425">
        <v>1</v>
      </c>
      <c r="O106" s="427"/>
      <c r="P106" s="429" t="str">
        <f t="shared" si="30"/>
        <v>INCLUDED</v>
      </c>
      <c r="Q106" s="655">
        <f t="shared" si="31"/>
        <v>0</v>
      </c>
      <c r="R106" s="686">
        <f t="shared" si="32"/>
        <v>0</v>
      </c>
      <c r="S106" s="687">
        <f>Discount!$J$36</f>
        <v>0</v>
      </c>
      <c r="T106" s="686">
        <f t="shared" si="33"/>
        <v>0</v>
      </c>
      <c r="U106" s="688">
        <f t="shared" si="34"/>
        <v>0</v>
      </c>
      <c r="V106" s="689">
        <f t="shared" si="35"/>
        <v>0</v>
      </c>
      <c r="W106" s="690"/>
      <c r="X106" s="690"/>
      <c r="Y106" s="690"/>
      <c r="Z106" s="690"/>
      <c r="AA106" s="690"/>
    </row>
    <row r="107" spans="1:31" ht="31.5">
      <c r="A107" s="563">
        <v>9</v>
      </c>
      <c r="B107" s="568">
        <v>7000026863</v>
      </c>
      <c r="C107" s="568">
        <v>140</v>
      </c>
      <c r="D107" s="568">
        <v>40</v>
      </c>
      <c r="E107" s="568">
        <v>10</v>
      </c>
      <c r="F107" s="568" t="s">
        <v>566</v>
      </c>
      <c r="G107" s="568">
        <v>100000329</v>
      </c>
      <c r="H107" s="568">
        <v>998731</v>
      </c>
      <c r="I107" s="431"/>
      <c r="J107" s="426">
        <v>18</v>
      </c>
      <c r="K107" s="430"/>
      <c r="L107" s="425" t="s">
        <v>787</v>
      </c>
      <c r="M107" s="425" t="s">
        <v>471</v>
      </c>
      <c r="N107" s="425">
        <v>1</v>
      </c>
      <c r="O107" s="427"/>
      <c r="P107" s="429" t="str">
        <f t="shared" si="30"/>
        <v>INCLUDED</v>
      </c>
      <c r="Q107" s="655">
        <f t="shared" si="31"/>
        <v>0</v>
      </c>
      <c r="R107" s="686">
        <f t="shared" si="32"/>
        <v>0</v>
      </c>
      <c r="S107" s="687">
        <f>Discount!$J$36</f>
        <v>0</v>
      </c>
      <c r="T107" s="686">
        <f t="shared" si="33"/>
        <v>0</v>
      </c>
      <c r="U107" s="688">
        <f t="shared" si="34"/>
        <v>0</v>
      </c>
      <c r="V107" s="689">
        <f t="shared" si="35"/>
        <v>0</v>
      </c>
      <c r="W107" s="690"/>
      <c r="X107" s="690"/>
      <c r="Y107" s="690"/>
      <c r="Z107" s="690"/>
      <c r="AA107" s="690"/>
    </row>
    <row r="108" spans="1:31" ht="31.5">
      <c r="A108" s="563">
        <v>10</v>
      </c>
      <c r="B108" s="568">
        <v>7000026863</v>
      </c>
      <c r="C108" s="568">
        <v>140</v>
      </c>
      <c r="D108" s="568">
        <v>40</v>
      </c>
      <c r="E108" s="568">
        <v>20</v>
      </c>
      <c r="F108" s="568" t="s">
        <v>566</v>
      </c>
      <c r="G108" s="568">
        <v>100017133</v>
      </c>
      <c r="H108" s="568">
        <v>998731</v>
      </c>
      <c r="I108" s="431"/>
      <c r="J108" s="426">
        <v>18</v>
      </c>
      <c r="K108" s="430"/>
      <c r="L108" s="425" t="s">
        <v>774</v>
      </c>
      <c r="M108" s="425" t="s">
        <v>470</v>
      </c>
      <c r="N108" s="425">
        <v>6</v>
      </c>
      <c r="O108" s="427"/>
      <c r="P108" s="429" t="str">
        <f t="shared" si="30"/>
        <v>INCLUDED</v>
      </c>
      <c r="Q108" s="655">
        <f t="shared" si="31"/>
        <v>0</v>
      </c>
      <c r="R108" s="686">
        <f t="shared" si="32"/>
        <v>0</v>
      </c>
      <c r="S108" s="687">
        <f>Discount!$J$36</f>
        <v>0</v>
      </c>
      <c r="T108" s="686">
        <f t="shared" si="33"/>
        <v>0</v>
      </c>
      <c r="U108" s="688">
        <f t="shared" si="34"/>
        <v>0</v>
      </c>
      <c r="V108" s="689">
        <f t="shared" si="35"/>
        <v>0</v>
      </c>
      <c r="W108" s="690"/>
      <c r="X108" s="690"/>
      <c r="Y108" s="690"/>
      <c r="Z108" s="690"/>
      <c r="AA108" s="690"/>
    </row>
    <row r="109" spans="1:31" ht="31.5">
      <c r="A109" s="563">
        <v>11</v>
      </c>
      <c r="B109" s="568">
        <v>7000026863</v>
      </c>
      <c r="C109" s="568">
        <v>140</v>
      </c>
      <c r="D109" s="568">
        <v>40</v>
      </c>
      <c r="E109" s="568">
        <v>30</v>
      </c>
      <c r="F109" s="568" t="s">
        <v>566</v>
      </c>
      <c r="G109" s="568">
        <v>100017126</v>
      </c>
      <c r="H109" s="568">
        <v>998731</v>
      </c>
      <c r="I109" s="431"/>
      <c r="J109" s="426">
        <v>18</v>
      </c>
      <c r="K109" s="430"/>
      <c r="L109" s="425" t="s">
        <v>773</v>
      </c>
      <c r="M109" s="425" t="s">
        <v>470</v>
      </c>
      <c r="N109" s="425">
        <v>6</v>
      </c>
      <c r="O109" s="427"/>
      <c r="P109" s="429" t="str">
        <f t="shared" si="30"/>
        <v>INCLUDED</v>
      </c>
      <c r="Q109" s="655">
        <f t="shared" si="31"/>
        <v>0</v>
      </c>
      <c r="R109" s="686">
        <f t="shared" si="32"/>
        <v>0</v>
      </c>
      <c r="S109" s="687">
        <f>Discount!$J$36</f>
        <v>0</v>
      </c>
      <c r="T109" s="686">
        <f t="shared" si="33"/>
        <v>0</v>
      </c>
      <c r="U109" s="688">
        <f t="shared" si="34"/>
        <v>0</v>
      </c>
      <c r="V109" s="689">
        <f t="shared" si="35"/>
        <v>0</v>
      </c>
      <c r="W109" s="690"/>
      <c r="X109" s="690"/>
      <c r="Y109" s="690"/>
      <c r="Z109" s="690"/>
      <c r="AA109" s="690"/>
    </row>
    <row r="110" spans="1:31" ht="31.5">
      <c r="A110" s="563">
        <v>12</v>
      </c>
      <c r="B110" s="568">
        <v>7000026863</v>
      </c>
      <c r="C110" s="568">
        <v>140</v>
      </c>
      <c r="D110" s="568">
        <v>40</v>
      </c>
      <c r="E110" s="568">
        <v>40</v>
      </c>
      <c r="F110" s="568" t="s">
        <v>566</v>
      </c>
      <c r="G110" s="568">
        <v>100017127</v>
      </c>
      <c r="H110" s="568">
        <v>998731</v>
      </c>
      <c r="I110" s="431"/>
      <c r="J110" s="426">
        <v>18</v>
      </c>
      <c r="K110" s="430"/>
      <c r="L110" s="425" t="s">
        <v>772</v>
      </c>
      <c r="M110" s="425" t="s">
        <v>470</v>
      </c>
      <c r="N110" s="425">
        <v>3</v>
      </c>
      <c r="O110" s="427"/>
      <c r="P110" s="429" t="str">
        <f t="shared" ref="P110:P112" si="36">IF(O110=0, "INCLUDED", IF(ISERROR(N110*O110), O110, N110*O110))</f>
        <v>INCLUDED</v>
      </c>
      <c r="Q110" s="655">
        <f t="shared" ref="Q110:Q112" si="37">IF(P110="Included",0,P110)</f>
        <v>0</v>
      </c>
      <c r="R110" s="686">
        <f t="shared" ref="R110:R112" si="38">IF( K110="",J110*(IF(P110="Included",0,P110))/100,K110*(IF(P110="Included",0,P110)))</f>
        <v>0</v>
      </c>
      <c r="S110" s="687">
        <f>Discount!$J$36</f>
        <v>0</v>
      </c>
      <c r="T110" s="686">
        <f t="shared" ref="T110:T112" si="39">S110*Q110</f>
        <v>0</v>
      </c>
      <c r="U110" s="688">
        <f t="shared" ref="U110:U112" si="40">IF(K110="",J110*T110/100,K110*T110)</f>
        <v>0</v>
      </c>
      <c r="V110" s="689">
        <f t="shared" ref="V110:V112" si="41">O110*N110</f>
        <v>0</v>
      </c>
      <c r="W110" s="690"/>
      <c r="X110" s="690"/>
      <c r="Y110" s="690"/>
      <c r="Z110" s="690"/>
      <c r="AA110" s="690"/>
    </row>
    <row r="111" spans="1:31">
      <c r="A111" s="563">
        <v>13</v>
      </c>
      <c r="B111" s="568">
        <v>7000026863</v>
      </c>
      <c r="C111" s="568">
        <v>180</v>
      </c>
      <c r="D111" s="568">
        <v>60</v>
      </c>
      <c r="E111" s="568">
        <v>10</v>
      </c>
      <c r="F111" s="568" t="s">
        <v>713</v>
      </c>
      <c r="G111" s="568">
        <v>100000730</v>
      </c>
      <c r="H111" s="568">
        <v>998736</v>
      </c>
      <c r="I111" s="431"/>
      <c r="J111" s="426">
        <v>18</v>
      </c>
      <c r="K111" s="430"/>
      <c r="L111" s="425" t="s">
        <v>487</v>
      </c>
      <c r="M111" s="425" t="s">
        <v>470</v>
      </c>
      <c r="N111" s="425">
        <v>1</v>
      </c>
      <c r="O111" s="427"/>
      <c r="P111" s="429" t="str">
        <f t="shared" si="36"/>
        <v>INCLUDED</v>
      </c>
      <c r="Q111" s="655">
        <f t="shared" si="37"/>
        <v>0</v>
      </c>
      <c r="R111" s="686">
        <f t="shared" si="38"/>
        <v>0</v>
      </c>
      <c r="S111" s="687">
        <f>Discount!$J$36</f>
        <v>0</v>
      </c>
      <c r="T111" s="686">
        <f t="shared" si="39"/>
        <v>0</v>
      </c>
      <c r="U111" s="688">
        <f t="shared" si="40"/>
        <v>0</v>
      </c>
      <c r="V111" s="689">
        <f t="shared" si="41"/>
        <v>0</v>
      </c>
      <c r="W111" s="690"/>
      <c r="X111" s="690"/>
      <c r="Y111" s="690"/>
      <c r="Z111" s="690"/>
      <c r="AA111" s="690"/>
    </row>
    <row r="112" spans="1:31">
      <c r="A112" s="563">
        <v>14</v>
      </c>
      <c r="B112" s="568">
        <v>7000026863</v>
      </c>
      <c r="C112" s="568">
        <v>180</v>
      </c>
      <c r="D112" s="568">
        <v>60</v>
      </c>
      <c r="E112" s="568">
        <v>20</v>
      </c>
      <c r="F112" s="568" t="s">
        <v>713</v>
      </c>
      <c r="G112" s="568">
        <v>100016779</v>
      </c>
      <c r="H112" s="568">
        <v>998736</v>
      </c>
      <c r="I112" s="431"/>
      <c r="J112" s="426">
        <v>18</v>
      </c>
      <c r="K112" s="430"/>
      <c r="L112" s="425" t="s">
        <v>763</v>
      </c>
      <c r="M112" s="425" t="s">
        <v>470</v>
      </c>
      <c r="N112" s="425">
        <v>1</v>
      </c>
      <c r="O112" s="427"/>
      <c r="P112" s="429" t="str">
        <f t="shared" si="36"/>
        <v>INCLUDED</v>
      </c>
      <c r="Q112" s="655">
        <f t="shared" si="37"/>
        <v>0</v>
      </c>
      <c r="R112" s="686">
        <f t="shared" si="38"/>
        <v>0</v>
      </c>
      <c r="S112" s="687">
        <f>Discount!$J$36</f>
        <v>0</v>
      </c>
      <c r="T112" s="686">
        <f t="shared" si="39"/>
        <v>0</v>
      </c>
      <c r="U112" s="688">
        <f t="shared" si="40"/>
        <v>0</v>
      </c>
      <c r="V112" s="689">
        <f t="shared" si="41"/>
        <v>0</v>
      </c>
      <c r="W112" s="690"/>
      <c r="X112" s="690"/>
      <c r="Y112" s="690"/>
      <c r="Z112" s="690"/>
      <c r="AA112" s="690"/>
    </row>
    <row r="113" spans="1:27" ht="31.5">
      <c r="A113" s="563">
        <v>15</v>
      </c>
      <c r="B113" s="568">
        <v>7000026863</v>
      </c>
      <c r="C113" s="568">
        <v>180</v>
      </c>
      <c r="D113" s="568">
        <v>60</v>
      </c>
      <c r="E113" s="568">
        <v>30</v>
      </c>
      <c r="F113" s="568" t="s">
        <v>713</v>
      </c>
      <c r="G113" s="568">
        <v>100000735</v>
      </c>
      <c r="H113" s="568">
        <v>998736</v>
      </c>
      <c r="I113" s="431"/>
      <c r="J113" s="426">
        <v>18</v>
      </c>
      <c r="K113" s="430"/>
      <c r="L113" s="425" t="s">
        <v>764</v>
      </c>
      <c r="M113" s="425" t="s">
        <v>471</v>
      </c>
      <c r="N113" s="425">
        <v>1</v>
      </c>
      <c r="O113" s="427"/>
      <c r="P113" s="429" t="str">
        <f t="shared" ref="P113:P244" si="42">IF(O113=0, "INCLUDED", IF(ISERROR(N113*O113), O113, N113*O113))</f>
        <v>INCLUDED</v>
      </c>
      <c r="Q113" s="655">
        <f t="shared" ref="Q113:Q244" si="43">IF(P113="Included",0,P113)</f>
        <v>0</v>
      </c>
      <c r="R113" s="686">
        <f t="shared" ref="R113:R117" si="44">IF( K113="",J113*(IF(P113="Included",0,P113))/100,K113*(IF(P113="Included",0,P113)))</f>
        <v>0</v>
      </c>
      <c r="S113" s="687">
        <f>Discount!$J$36</f>
        <v>0</v>
      </c>
      <c r="T113" s="686">
        <f t="shared" ref="T113:T117" si="45">S113*Q113</f>
        <v>0</v>
      </c>
      <c r="U113" s="688">
        <f t="shared" ref="U113:U117" si="46">IF(K113="",J113*T113/100,K113*T113)</f>
        <v>0</v>
      </c>
      <c r="V113" s="689">
        <f t="shared" ref="V113:V117" si="47">O113*N113</f>
        <v>0</v>
      </c>
      <c r="W113" s="690"/>
      <c r="X113" s="690"/>
      <c r="Y113" s="690"/>
      <c r="Z113" s="690"/>
      <c r="AA113" s="690"/>
    </row>
    <row r="114" spans="1:27" ht="31.5">
      <c r="A114" s="563">
        <v>16</v>
      </c>
      <c r="B114" s="568">
        <v>7000026863</v>
      </c>
      <c r="C114" s="568">
        <v>180</v>
      </c>
      <c r="D114" s="568">
        <v>60</v>
      </c>
      <c r="E114" s="568">
        <v>40</v>
      </c>
      <c r="F114" s="568" t="s">
        <v>713</v>
      </c>
      <c r="G114" s="568">
        <v>100038444</v>
      </c>
      <c r="H114" s="568">
        <v>998736</v>
      </c>
      <c r="I114" s="431"/>
      <c r="J114" s="426">
        <v>18</v>
      </c>
      <c r="K114" s="430"/>
      <c r="L114" s="425" t="s">
        <v>788</v>
      </c>
      <c r="M114" s="425" t="s">
        <v>470</v>
      </c>
      <c r="N114" s="425">
        <v>1</v>
      </c>
      <c r="O114" s="427"/>
      <c r="P114" s="429" t="str">
        <f t="shared" si="42"/>
        <v>INCLUDED</v>
      </c>
      <c r="Q114" s="655">
        <f t="shared" si="43"/>
        <v>0</v>
      </c>
      <c r="R114" s="686">
        <f t="shared" si="44"/>
        <v>0</v>
      </c>
      <c r="S114" s="687">
        <f>Discount!$J$36</f>
        <v>0</v>
      </c>
      <c r="T114" s="686">
        <f t="shared" si="45"/>
        <v>0</v>
      </c>
      <c r="U114" s="688">
        <f t="shared" si="46"/>
        <v>0</v>
      </c>
      <c r="V114" s="689">
        <f t="shared" si="47"/>
        <v>0</v>
      </c>
      <c r="W114" s="690"/>
      <c r="X114" s="690"/>
      <c r="Y114" s="690"/>
      <c r="Z114" s="690"/>
      <c r="AA114" s="690"/>
    </row>
    <row r="115" spans="1:27">
      <c r="A115" s="563">
        <v>17</v>
      </c>
      <c r="B115" s="568">
        <v>7000026863</v>
      </c>
      <c r="C115" s="568">
        <v>240</v>
      </c>
      <c r="D115" s="568">
        <v>80</v>
      </c>
      <c r="E115" s="568">
        <v>10</v>
      </c>
      <c r="F115" s="568" t="s">
        <v>542</v>
      </c>
      <c r="G115" s="568">
        <v>100000886</v>
      </c>
      <c r="H115" s="568">
        <v>998734</v>
      </c>
      <c r="I115" s="431"/>
      <c r="J115" s="426">
        <v>18</v>
      </c>
      <c r="K115" s="430"/>
      <c r="L115" s="425" t="s">
        <v>491</v>
      </c>
      <c r="M115" s="425" t="s">
        <v>470</v>
      </c>
      <c r="N115" s="425">
        <v>2</v>
      </c>
      <c r="O115" s="427"/>
      <c r="P115" s="429" t="str">
        <f t="shared" si="42"/>
        <v>INCLUDED</v>
      </c>
      <c r="Q115" s="655">
        <f t="shared" si="43"/>
        <v>0</v>
      </c>
      <c r="R115" s="686">
        <f t="shared" si="44"/>
        <v>0</v>
      </c>
      <c r="S115" s="687">
        <f>Discount!$J$36</f>
        <v>0</v>
      </c>
      <c r="T115" s="686">
        <f t="shared" si="45"/>
        <v>0</v>
      </c>
      <c r="U115" s="688">
        <f t="shared" si="46"/>
        <v>0</v>
      </c>
      <c r="V115" s="689">
        <f t="shared" si="47"/>
        <v>0</v>
      </c>
      <c r="W115" s="690"/>
      <c r="X115" s="690"/>
      <c r="Y115" s="690"/>
      <c r="Z115" s="690"/>
      <c r="AA115" s="690"/>
    </row>
    <row r="116" spans="1:27">
      <c r="A116" s="563">
        <v>18</v>
      </c>
      <c r="B116" s="568">
        <v>7000026863</v>
      </c>
      <c r="C116" s="568">
        <v>240</v>
      </c>
      <c r="D116" s="568">
        <v>80</v>
      </c>
      <c r="E116" s="568">
        <v>20</v>
      </c>
      <c r="F116" s="568" t="s">
        <v>542</v>
      </c>
      <c r="G116" s="568">
        <v>100000888</v>
      </c>
      <c r="H116" s="568">
        <v>998734</v>
      </c>
      <c r="I116" s="431"/>
      <c r="J116" s="426">
        <v>18</v>
      </c>
      <c r="K116" s="430"/>
      <c r="L116" s="425" t="s">
        <v>789</v>
      </c>
      <c r="M116" s="425" t="s">
        <v>470</v>
      </c>
      <c r="N116" s="425">
        <v>2</v>
      </c>
      <c r="O116" s="427"/>
      <c r="P116" s="429" t="str">
        <f t="shared" si="42"/>
        <v>INCLUDED</v>
      </c>
      <c r="Q116" s="655">
        <f t="shared" si="43"/>
        <v>0</v>
      </c>
      <c r="R116" s="686">
        <f t="shared" si="44"/>
        <v>0</v>
      </c>
      <c r="S116" s="687">
        <f>Discount!$J$36</f>
        <v>0</v>
      </c>
      <c r="T116" s="686">
        <f t="shared" si="45"/>
        <v>0</v>
      </c>
      <c r="U116" s="688">
        <f t="shared" si="46"/>
        <v>0</v>
      </c>
      <c r="V116" s="689">
        <f t="shared" si="47"/>
        <v>0</v>
      </c>
      <c r="W116" s="690"/>
      <c r="X116" s="690"/>
      <c r="Y116" s="690"/>
      <c r="Z116" s="690"/>
      <c r="AA116" s="690"/>
    </row>
    <row r="117" spans="1:27">
      <c r="A117" s="563">
        <v>19</v>
      </c>
      <c r="B117" s="568">
        <v>7000026863</v>
      </c>
      <c r="C117" s="568">
        <v>240</v>
      </c>
      <c r="D117" s="568">
        <v>80</v>
      </c>
      <c r="E117" s="568">
        <v>30</v>
      </c>
      <c r="F117" s="568" t="s">
        <v>542</v>
      </c>
      <c r="G117" s="568">
        <v>100000890</v>
      </c>
      <c r="H117" s="568">
        <v>998734</v>
      </c>
      <c r="I117" s="431"/>
      <c r="J117" s="426">
        <v>18</v>
      </c>
      <c r="K117" s="430"/>
      <c r="L117" s="425" t="s">
        <v>790</v>
      </c>
      <c r="M117" s="425" t="s">
        <v>470</v>
      </c>
      <c r="N117" s="425">
        <v>2</v>
      </c>
      <c r="O117" s="427"/>
      <c r="P117" s="429" t="str">
        <f t="shared" si="42"/>
        <v>INCLUDED</v>
      </c>
      <c r="Q117" s="655">
        <f t="shared" si="43"/>
        <v>0</v>
      </c>
      <c r="R117" s="686">
        <f t="shared" si="44"/>
        <v>0</v>
      </c>
      <c r="S117" s="687">
        <f>Discount!$J$36</f>
        <v>0</v>
      </c>
      <c r="T117" s="686">
        <f t="shared" si="45"/>
        <v>0</v>
      </c>
      <c r="U117" s="688">
        <f t="shared" si="46"/>
        <v>0</v>
      </c>
      <c r="V117" s="689">
        <f t="shared" si="47"/>
        <v>0</v>
      </c>
      <c r="W117" s="690"/>
      <c r="X117" s="690"/>
      <c r="Y117" s="690"/>
      <c r="Z117" s="690"/>
      <c r="AA117" s="690"/>
    </row>
    <row r="118" spans="1:27">
      <c r="A118" s="563">
        <v>20</v>
      </c>
      <c r="B118" s="568">
        <v>7000026863</v>
      </c>
      <c r="C118" s="568">
        <v>240</v>
      </c>
      <c r="D118" s="568">
        <v>80</v>
      </c>
      <c r="E118" s="568">
        <v>40</v>
      </c>
      <c r="F118" s="568" t="s">
        <v>542</v>
      </c>
      <c r="G118" s="568">
        <v>100000891</v>
      </c>
      <c r="H118" s="568">
        <v>998734</v>
      </c>
      <c r="I118" s="431"/>
      <c r="J118" s="426">
        <v>18</v>
      </c>
      <c r="K118" s="430"/>
      <c r="L118" s="425" t="s">
        <v>492</v>
      </c>
      <c r="M118" s="425" t="s">
        <v>470</v>
      </c>
      <c r="N118" s="425">
        <v>2</v>
      </c>
      <c r="O118" s="427"/>
      <c r="P118" s="429" t="str">
        <f t="shared" si="42"/>
        <v>INCLUDED</v>
      </c>
      <c r="Q118" s="655">
        <f t="shared" si="43"/>
        <v>0</v>
      </c>
      <c r="R118" s="686">
        <f>IF( K118="",J118*(IF(P118="Included",0,P118))/100,K118*(IF(P118="Included",0,P118)))</f>
        <v>0</v>
      </c>
      <c r="S118" s="687">
        <f>Discount!$J$36</f>
        <v>0</v>
      </c>
      <c r="T118" s="686">
        <f>S118*Q118</f>
        <v>0</v>
      </c>
      <c r="U118" s="688">
        <f>IF(K118="",J118*T118/100,K118*T118)</f>
        <v>0</v>
      </c>
      <c r="V118" s="689">
        <f>O118*N118</f>
        <v>0</v>
      </c>
      <c r="W118" s="690"/>
      <c r="X118" s="690"/>
      <c r="Y118" s="690"/>
      <c r="Z118" s="690"/>
      <c r="AA118" s="690"/>
    </row>
    <row r="119" spans="1:27">
      <c r="A119" s="563">
        <v>21</v>
      </c>
      <c r="B119" s="568">
        <v>7000026863</v>
      </c>
      <c r="C119" s="568">
        <v>240</v>
      </c>
      <c r="D119" s="568">
        <v>80</v>
      </c>
      <c r="E119" s="568">
        <v>50</v>
      </c>
      <c r="F119" s="568" t="s">
        <v>542</v>
      </c>
      <c r="G119" s="568">
        <v>100003517</v>
      </c>
      <c r="H119" s="568">
        <v>998734</v>
      </c>
      <c r="I119" s="431"/>
      <c r="J119" s="426">
        <v>18</v>
      </c>
      <c r="K119" s="430"/>
      <c r="L119" s="425" t="s">
        <v>791</v>
      </c>
      <c r="M119" s="425" t="s">
        <v>493</v>
      </c>
      <c r="N119" s="425">
        <v>1</v>
      </c>
      <c r="O119" s="427"/>
      <c r="P119" s="429" t="str">
        <f t="shared" si="42"/>
        <v>INCLUDED</v>
      </c>
      <c r="Q119" s="655">
        <f t="shared" si="43"/>
        <v>0</v>
      </c>
      <c r="R119" s="686">
        <f t="shared" ref="R119:R138" si="48">IF( K119="",J119*(IF(P119="Included",0,P119))/100,K119*(IF(P119="Included",0,P119)))</f>
        <v>0</v>
      </c>
      <c r="S119" s="687">
        <f>Discount!$J$36</f>
        <v>0</v>
      </c>
      <c r="T119" s="686">
        <f t="shared" ref="T119:T138" si="49">S119*Q119</f>
        <v>0</v>
      </c>
      <c r="U119" s="688">
        <f t="shared" ref="U119:U183" si="50">IF(K119="",J119*T119/100,K119*T119)</f>
        <v>0</v>
      </c>
      <c r="V119" s="689">
        <f t="shared" ref="V119:V183" si="51">O119*N119</f>
        <v>0</v>
      </c>
      <c r="W119" s="690"/>
      <c r="X119" s="690"/>
      <c r="Y119" s="690"/>
      <c r="Z119" s="690"/>
      <c r="AA119" s="690"/>
    </row>
    <row r="120" spans="1:27" ht="47.25">
      <c r="A120" s="563">
        <v>22</v>
      </c>
      <c r="B120" s="568">
        <v>7000026863</v>
      </c>
      <c r="C120" s="568">
        <v>290</v>
      </c>
      <c r="D120" s="568">
        <v>100</v>
      </c>
      <c r="E120" s="568">
        <v>10</v>
      </c>
      <c r="F120" s="568" t="s">
        <v>568</v>
      </c>
      <c r="G120" s="568">
        <v>100001882</v>
      </c>
      <c r="H120" s="568">
        <v>995463</v>
      </c>
      <c r="I120" s="431"/>
      <c r="J120" s="426">
        <v>18</v>
      </c>
      <c r="K120" s="430"/>
      <c r="L120" s="425" t="s">
        <v>502</v>
      </c>
      <c r="M120" s="425" t="s">
        <v>471</v>
      </c>
      <c r="N120" s="425">
        <v>1</v>
      </c>
      <c r="O120" s="427"/>
      <c r="P120" s="429" t="str">
        <f t="shared" si="42"/>
        <v>INCLUDED</v>
      </c>
      <c r="Q120" s="655">
        <f t="shared" si="43"/>
        <v>0</v>
      </c>
      <c r="R120" s="686">
        <f t="shared" si="48"/>
        <v>0</v>
      </c>
      <c r="S120" s="687">
        <f>Discount!$J$36</f>
        <v>0</v>
      </c>
      <c r="T120" s="686">
        <f t="shared" si="49"/>
        <v>0</v>
      </c>
      <c r="U120" s="688">
        <f t="shared" si="50"/>
        <v>0</v>
      </c>
      <c r="V120" s="689">
        <f t="shared" si="51"/>
        <v>0</v>
      </c>
      <c r="W120" s="690"/>
      <c r="X120" s="690"/>
      <c r="Y120" s="690"/>
      <c r="Z120" s="690"/>
      <c r="AA120" s="690"/>
    </row>
    <row r="121" spans="1:27" ht="47.25">
      <c r="A121" s="563">
        <v>23</v>
      </c>
      <c r="B121" s="568">
        <v>7000026863</v>
      </c>
      <c r="C121" s="568">
        <v>290</v>
      </c>
      <c r="D121" s="568">
        <v>100</v>
      </c>
      <c r="E121" s="568">
        <v>20</v>
      </c>
      <c r="F121" s="568" t="s">
        <v>568</v>
      </c>
      <c r="G121" s="568">
        <v>100000975</v>
      </c>
      <c r="H121" s="568">
        <v>995461</v>
      </c>
      <c r="I121" s="431"/>
      <c r="J121" s="426">
        <v>18</v>
      </c>
      <c r="K121" s="430"/>
      <c r="L121" s="425" t="s">
        <v>504</v>
      </c>
      <c r="M121" s="425" t="s">
        <v>470</v>
      </c>
      <c r="N121" s="425">
        <v>1</v>
      </c>
      <c r="O121" s="427"/>
      <c r="P121" s="429" t="str">
        <f t="shared" si="42"/>
        <v>INCLUDED</v>
      </c>
      <c r="Q121" s="655">
        <f t="shared" si="43"/>
        <v>0</v>
      </c>
      <c r="R121" s="686">
        <f t="shared" si="48"/>
        <v>0</v>
      </c>
      <c r="S121" s="687">
        <f>Discount!$J$36</f>
        <v>0</v>
      </c>
      <c r="T121" s="686">
        <f t="shared" si="49"/>
        <v>0</v>
      </c>
      <c r="U121" s="688">
        <f t="shared" si="50"/>
        <v>0</v>
      </c>
      <c r="V121" s="689">
        <f t="shared" si="51"/>
        <v>0</v>
      </c>
      <c r="W121" s="690"/>
      <c r="X121" s="690"/>
      <c r="Y121" s="690"/>
      <c r="Z121" s="690"/>
      <c r="AA121" s="690"/>
    </row>
    <row r="122" spans="1:27" ht="47.25">
      <c r="A122" s="563">
        <v>24</v>
      </c>
      <c r="B122" s="568">
        <v>7000026863</v>
      </c>
      <c r="C122" s="568">
        <v>290</v>
      </c>
      <c r="D122" s="568">
        <v>100</v>
      </c>
      <c r="E122" s="568">
        <v>30</v>
      </c>
      <c r="F122" s="568" t="s">
        <v>568</v>
      </c>
      <c r="G122" s="568">
        <v>100002062</v>
      </c>
      <c r="H122" s="568">
        <v>995461</v>
      </c>
      <c r="I122" s="431"/>
      <c r="J122" s="426">
        <v>18</v>
      </c>
      <c r="K122" s="430"/>
      <c r="L122" s="425" t="s">
        <v>792</v>
      </c>
      <c r="M122" s="425" t="s">
        <v>471</v>
      </c>
      <c r="N122" s="425">
        <v>1</v>
      </c>
      <c r="O122" s="427"/>
      <c r="P122" s="429" t="str">
        <f t="shared" si="42"/>
        <v>INCLUDED</v>
      </c>
      <c r="Q122" s="655">
        <f t="shared" si="43"/>
        <v>0</v>
      </c>
      <c r="R122" s="686">
        <f t="shared" si="48"/>
        <v>0</v>
      </c>
      <c r="S122" s="687">
        <f>Discount!$J$36</f>
        <v>0</v>
      </c>
      <c r="T122" s="686">
        <f t="shared" si="49"/>
        <v>0</v>
      </c>
      <c r="U122" s="688">
        <f t="shared" si="50"/>
        <v>0</v>
      </c>
      <c r="V122" s="689">
        <f t="shared" si="51"/>
        <v>0</v>
      </c>
      <c r="W122" s="690"/>
      <c r="X122" s="690"/>
      <c r="Y122" s="690"/>
      <c r="Z122" s="690"/>
      <c r="AA122" s="690"/>
    </row>
    <row r="123" spans="1:27" ht="47.25">
      <c r="A123" s="563">
        <v>25</v>
      </c>
      <c r="B123" s="568">
        <v>7000026863</v>
      </c>
      <c r="C123" s="568">
        <v>290</v>
      </c>
      <c r="D123" s="568">
        <v>100</v>
      </c>
      <c r="E123" s="568">
        <v>40</v>
      </c>
      <c r="F123" s="568" t="s">
        <v>568</v>
      </c>
      <c r="G123" s="568">
        <v>100001116</v>
      </c>
      <c r="H123" s="568">
        <v>998739</v>
      </c>
      <c r="I123" s="431"/>
      <c r="J123" s="426">
        <v>18</v>
      </c>
      <c r="K123" s="430"/>
      <c r="L123" s="425" t="s">
        <v>507</v>
      </c>
      <c r="M123" s="425" t="s">
        <v>471</v>
      </c>
      <c r="N123" s="425">
        <v>1</v>
      </c>
      <c r="O123" s="427"/>
      <c r="P123" s="429" t="str">
        <f t="shared" si="42"/>
        <v>INCLUDED</v>
      </c>
      <c r="Q123" s="655">
        <f t="shared" si="43"/>
        <v>0</v>
      </c>
      <c r="R123" s="686">
        <f t="shared" si="48"/>
        <v>0</v>
      </c>
      <c r="S123" s="687">
        <f>Discount!$J$36</f>
        <v>0</v>
      </c>
      <c r="T123" s="686">
        <f t="shared" si="49"/>
        <v>0</v>
      </c>
      <c r="U123" s="688">
        <f t="shared" si="50"/>
        <v>0</v>
      </c>
      <c r="V123" s="689">
        <f t="shared" si="51"/>
        <v>0</v>
      </c>
      <c r="W123" s="690"/>
      <c r="X123" s="690"/>
      <c r="Y123" s="690"/>
      <c r="Z123" s="690"/>
      <c r="AA123" s="690"/>
    </row>
    <row r="124" spans="1:27">
      <c r="A124" s="563">
        <v>26</v>
      </c>
      <c r="B124" s="568">
        <v>7000026863</v>
      </c>
      <c r="C124" s="568">
        <v>310</v>
      </c>
      <c r="D124" s="568">
        <v>120</v>
      </c>
      <c r="E124" s="568">
        <v>10</v>
      </c>
      <c r="F124" s="568" t="s">
        <v>570</v>
      </c>
      <c r="G124" s="568">
        <v>100003103</v>
      </c>
      <c r="H124" s="568">
        <v>998731</v>
      </c>
      <c r="I124" s="431"/>
      <c r="J124" s="426">
        <v>18</v>
      </c>
      <c r="K124" s="430"/>
      <c r="L124" s="425" t="s">
        <v>793</v>
      </c>
      <c r="M124" s="425" t="s">
        <v>493</v>
      </c>
      <c r="N124" s="425">
        <v>0.5</v>
      </c>
      <c r="O124" s="427"/>
      <c r="P124" s="429" t="str">
        <f t="shared" si="42"/>
        <v>INCLUDED</v>
      </c>
      <c r="Q124" s="655">
        <f t="shared" si="43"/>
        <v>0</v>
      </c>
      <c r="R124" s="686">
        <f t="shared" si="48"/>
        <v>0</v>
      </c>
      <c r="S124" s="687">
        <f>Discount!$J$36</f>
        <v>0</v>
      </c>
      <c r="T124" s="686">
        <f t="shared" si="49"/>
        <v>0</v>
      </c>
      <c r="U124" s="688">
        <f t="shared" si="50"/>
        <v>0</v>
      </c>
      <c r="V124" s="689">
        <f t="shared" si="51"/>
        <v>0</v>
      </c>
      <c r="W124" s="690"/>
      <c r="X124" s="690"/>
      <c r="Y124" s="690"/>
      <c r="Z124" s="690"/>
      <c r="AA124" s="690"/>
    </row>
    <row r="125" spans="1:27" ht="31.5">
      <c r="A125" s="563">
        <v>27</v>
      </c>
      <c r="B125" s="568">
        <v>7000026863</v>
      </c>
      <c r="C125" s="568">
        <v>360</v>
      </c>
      <c r="D125" s="568">
        <v>140</v>
      </c>
      <c r="E125" s="568">
        <v>10</v>
      </c>
      <c r="F125" s="568" t="s">
        <v>569</v>
      </c>
      <c r="G125" s="568">
        <v>100004930</v>
      </c>
      <c r="H125" s="568">
        <v>998731</v>
      </c>
      <c r="I125" s="431"/>
      <c r="J125" s="426">
        <v>18</v>
      </c>
      <c r="K125" s="430"/>
      <c r="L125" s="425" t="s">
        <v>794</v>
      </c>
      <c r="M125" s="425" t="s">
        <v>470</v>
      </c>
      <c r="N125" s="425">
        <v>5</v>
      </c>
      <c r="O125" s="427"/>
      <c r="P125" s="429" t="str">
        <f t="shared" si="42"/>
        <v>INCLUDED</v>
      </c>
      <c r="Q125" s="655">
        <f t="shared" si="43"/>
        <v>0</v>
      </c>
      <c r="R125" s="686">
        <f t="shared" si="48"/>
        <v>0</v>
      </c>
      <c r="S125" s="687">
        <f>Discount!$J$36</f>
        <v>0</v>
      </c>
      <c r="T125" s="686">
        <f t="shared" si="49"/>
        <v>0</v>
      </c>
      <c r="U125" s="688">
        <f t="shared" si="50"/>
        <v>0</v>
      </c>
      <c r="V125" s="689">
        <f t="shared" si="51"/>
        <v>0</v>
      </c>
      <c r="W125" s="690"/>
      <c r="X125" s="690"/>
      <c r="Y125" s="690"/>
      <c r="Z125" s="690"/>
      <c r="AA125" s="690"/>
    </row>
    <row r="126" spans="1:27" ht="31.5">
      <c r="A126" s="563">
        <v>28</v>
      </c>
      <c r="B126" s="568">
        <v>7000026863</v>
      </c>
      <c r="C126" s="568">
        <v>360</v>
      </c>
      <c r="D126" s="568">
        <v>140</v>
      </c>
      <c r="E126" s="568">
        <v>20</v>
      </c>
      <c r="F126" s="568" t="s">
        <v>569</v>
      </c>
      <c r="G126" s="568">
        <v>100004931</v>
      </c>
      <c r="H126" s="568">
        <v>998731</v>
      </c>
      <c r="I126" s="431"/>
      <c r="J126" s="426">
        <v>18</v>
      </c>
      <c r="K126" s="430"/>
      <c r="L126" s="425" t="s">
        <v>795</v>
      </c>
      <c r="M126" s="425" t="s">
        <v>470</v>
      </c>
      <c r="N126" s="425">
        <v>5</v>
      </c>
      <c r="O126" s="427"/>
      <c r="P126" s="429" t="str">
        <f t="shared" si="42"/>
        <v>INCLUDED</v>
      </c>
      <c r="Q126" s="655">
        <f t="shared" si="43"/>
        <v>0</v>
      </c>
      <c r="R126" s="686">
        <f t="shared" si="48"/>
        <v>0</v>
      </c>
      <c r="S126" s="687">
        <f>Discount!$J$36</f>
        <v>0</v>
      </c>
      <c r="T126" s="686">
        <f t="shared" si="49"/>
        <v>0</v>
      </c>
      <c r="U126" s="688">
        <f t="shared" si="50"/>
        <v>0</v>
      </c>
      <c r="V126" s="689">
        <f t="shared" si="51"/>
        <v>0</v>
      </c>
      <c r="W126" s="690"/>
      <c r="X126" s="690"/>
      <c r="Y126" s="690"/>
      <c r="Z126" s="690"/>
      <c r="AA126" s="690"/>
    </row>
    <row r="127" spans="1:27" ht="31.5">
      <c r="A127" s="563">
        <v>29</v>
      </c>
      <c r="B127" s="568">
        <v>7000026863</v>
      </c>
      <c r="C127" s="568">
        <v>360</v>
      </c>
      <c r="D127" s="568">
        <v>140</v>
      </c>
      <c r="E127" s="568">
        <v>30</v>
      </c>
      <c r="F127" s="568" t="s">
        <v>569</v>
      </c>
      <c r="G127" s="568">
        <v>100001024</v>
      </c>
      <c r="H127" s="568">
        <v>998731</v>
      </c>
      <c r="I127" s="431"/>
      <c r="J127" s="426">
        <v>18</v>
      </c>
      <c r="K127" s="430"/>
      <c r="L127" s="425" t="s">
        <v>588</v>
      </c>
      <c r="M127" s="425" t="s">
        <v>470</v>
      </c>
      <c r="N127" s="425">
        <v>2</v>
      </c>
      <c r="O127" s="427"/>
      <c r="P127" s="429" t="str">
        <f t="shared" si="42"/>
        <v>INCLUDED</v>
      </c>
      <c r="Q127" s="655">
        <f t="shared" si="43"/>
        <v>0</v>
      </c>
      <c r="R127" s="686">
        <f t="shared" si="48"/>
        <v>0</v>
      </c>
      <c r="S127" s="687">
        <f>Discount!$J$36</f>
        <v>0</v>
      </c>
      <c r="T127" s="686">
        <f t="shared" si="49"/>
        <v>0</v>
      </c>
      <c r="U127" s="688">
        <f t="shared" si="50"/>
        <v>0</v>
      </c>
      <c r="V127" s="689">
        <f t="shared" si="51"/>
        <v>0</v>
      </c>
      <c r="W127" s="690"/>
      <c r="X127" s="690"/>
      <c r="Y127" s="690"/>
      <c r="Z127" s="690"/>
      <c r="AA127" s="690"/>
    </row>
    <row r="128" spans="1:27" ht="31.5">
      <c r="A128" s="563">
        <v>30</v>
      </c>
      <c r="B128" s="568">
        <v>7000026863</v>
      </c>
      <c r="C128" s="568">
        <v>360</v>
      </c>
      <c r="D128" s="568">
        <v>140</v>
      </c>
      <c r="E128" s="568">
        <v>40</v>
      </c>
      <c r="F128" s="568" t="s">
        <v>569</v>
      </c>
      <c r="G128" s="568">
        <v>100001021</v>
      </c>
      <c r="H128" s="568">
        <v>995461</v>
      </c>
      <c r="I128" s="431"/>
      <c r="J128" s="426">
        <v>18</v>
      </c>
      <c r="K128" s="430"/>
      <c r="L128" s="425" t="s">
        <v>508</v>
      </c>
      <c r="M128" s="425" t="s">
        <v>470</v>
      </c>
      <c r="N128" s="425">
        <v>1</v>
      </c>
      <c r="O128" s="427"/>
      <c r="P128" s="429" t="str">
        <f t="shared" si="42"/>
        <v>INCLUDED</v>
      </c>
      <c r="Q128" s="655">
        <f t="shared" si="43"/>
        <v>0</v>
      </c>
      <c r="R128" s="686">
        <f t="shared" si="48"/>
        <v>0</v>
      </c>
      <c r="S128" s="687">
        <f>Discount!$J$36</f>
        <v>0</v>
      </c>
      <c r="T128" s="686">
        <f t="shared" si="49"/>
        <v>0</v>
      </c>
      <c r="U128" s="688">
        <f t="shared" si="50"/>
        <v>0</v>
      </c>
      <c r="V128" s="689">
        <f t="shared" si="51"/>
        <v>0</v>
      </c>
      <c r="W128" s="690"/>
      <c r="X128" s="690"/>
      <c r="Y128" s="690"/>
      <c r="Z128" s="690"/>
      <c r="AA128" s="690"/>
    </row>
    <row r="129" spans="1:27" ht="47.25">
      <c r="A129" s="563">
        <v>31</v>
      </c>
      <c r="B129" s="568">
        <v>7000026863</v>
      </c>
      <c r="C129" s="568">
        <v>500</v>
      </c>
      <c r="D129" s="568">
        <v>240</v>
      </c>
      <c r="E129" s="568">
        <v>10</v>
      </c>
      <c r="F129" s="568" t="s">
        <v>784</v>
      </c>
      <c r="G129" s="568">
        <v>100001210</v>
      </c>
      <c r="H129" s="568">
        <v>995455</v>
      </c>
      <c r="I129" s="431"/>
      <c r="J129" s="426">
        <v>18</v>
      </c>
      <c r="K129" s="430"/>
      <c r="L129" s="425" t="s">
        <v>728</v>
      </c>
      <c r="M129" s="425" t="s">
        <v>536</v>
      </c>
      <c r="N129" s="425">
        <v>20</v>
      </c>
      <c r="O129" s="427"/>
      <c r="P129" s="429" t="str">
        <f t="shared" si="42"/>
        <v>INCLUDED</v>
      </c>
      <c r="Q129" s="655">
        <f t="shared" si="43"/>
        <v>0</v>
      </c>
      <c r="R129" s="686">
        <f t="shared" si="48"/>
        <v>0</v>
      </c>
      <c r="S129" s="687">
        <f>Discount!$J$36</f>
        <v>0</v>
      </c>
      <c r="T129" s="686">
        <f t="shared" si="49"/>
        <v>0</v>
      </c>
      <c r="U129" s="688">
        <f t="shared" si="50"/>
        <v>0</v>
      </c>
      <c r="V129" s="689">
        <f t="shared" si="51"/>
        <v>0</v>
      </c>
      <c r="W129" s="690"/>
      <c r="X129" s="690"/>
      <c r="Y129" s="690"/>
      <c r="Z129" s="690"/>
      <c r="AA129" s="690"/>
    </row>
    <row r="130" spans="1:27" ht="31.5">
      <c r="A130" s="563">
        <v>32</v>
      </c>
      <c r="B130" s="568">
        <v>7000026863</v>
      </c>
      <c r="C130" s="568">
        <v>500</v>
      </c>
      <c r="D130" s="568">
        <v>240</v>
      </c>
      <c r="E130" s="568">
        <v>20</v>
      </c>
      <c r="F130" s="568" t="s">
        <v>784</v>
      </c>
      <c r="G130" s="568">
        <v>100001680</v>
      </c>
      <c r="H130" s="568">
        <v>995455</v>
      </c>
      <c r="I130" s="431"/>
      <c r="J130" s="426">
        <v>18</v>
      </c>
      <c r="K130" s="430"/>
      <c r="L130" s="425" t="s">
        <v>730</v>
      </c>
      <c r="M130" s="425" t="s">
        <v>536</v>
      </c>
      <c r="N130" s="425">
        <v>2</v>
      </c>
      <c r="O130" s="427"/>
      <c r="P130" s="429" t="str">
        <f t="shared" si="42"/>
        <v>INCLUDED</v>
      </c>
      <c r="Q130" s="655">
        <f t="shared" si="43"/>
        <v>0</v>
      </c>
      <c r="R130" s="686">
        <f t="shared" si="48"/>
        <v>0</v>
      </c>
      <c r="S130" s="687">
        <f>Discount!$J$36</f>
        <v>0</v>
      </c>
      <c r="T130" s="686">
        <f t="shared" si="49"/>
        <v>0</v>
      </c>
      <c r="U130" s="688">
        <f t="shared" si="50"/>
        <v>0</v>
      </c>
      <c r="V130" s="689">
        <f t="shared" si="51"/>
        <v>0</v>
      </c>
      <c r="W130" s="690"/>
      <c r="X130" s="690"/>
      <c r="Y130" s="690"/>
      <c r="Z130" s="690"/>
      <c r="AA130" s="690"/>
    </row>
    <row r="131" spans="1:27" ht="31.5">
      <c r="A131" s="563">
        <v>33</v>
      </c>
      <c r="B131" s="568">
        <v>7000026863</v>
      </c>
      <c r="C131" s="568">
        <v>500</v>
      </c>
      <c r="D131" s="568">
        <v>240</v>
      </c>
      <c r="E131" s="568">
        <v>30</v>
      </c>
      <c r="F131" s="568" t="s">
        <v>784</v>
      </c>
      <c r="G131" s="568">
        <v>100001681</v>
      </c>
      <c r="H131" s="568">
        <v>995455</v>
      </c>
      <c r="I131" s="431"/>
      <c r="J131" s="426">
        <v>18</v>
      </c>
      <c r="K131" s="430"/>
      <c r="L131" s="425" t="s">
        <v>731</v>
      </c>
      <c r="M131" s="425" t="s">
        <v>536</v>
      </c>
      <c r="N131" s="425">
        <v>2</v>
      </c>
      <c r="O131" s="427"/>
      <c r="P131" s="429" t="str">
        <f t="shared" si="42"/>
        <v>INCLUDED</v>
      </c>
      <c r="Q131" s="655">
        <f t="shared" si="43"/>
        <v>0</v>
      </c>
      <c r="R131" s="686">
        <f t="shared" si="48"/>
        <v>0</v>
      </c>
      <c r="S131" s="687">
        <f>Discount!$J$36</f>
        <v>0</v>
      </c>
      <c r="T131" s="686">
        <f t="shared" si="49"/>
        <v>0</v>
      </c>
      <c r="U131" s="688">
        <f t="shared" si="50"/>
        <v>0</v>
      </c>
      <c r="V131" s="689">
        <f t="shared" si="51"/>
        <v>0</v>
      </c>
      <c r="W131" s="690"/>
      <c r="X131" s="690"/>
      <c r="Y131" s="690"/>
      <c r="Z131" s="690"/>
      <c r="AA131" s="690"/>
    </row>
    <row r="132" spans="1:27" ht="47.25">
      <c r="A132" s="563">
        <v>34</v>
      </c>
      <c r="B132" s="568">
        <v>7000026863</v>
      </c>
      <c r="C132" s="568">
        <v>510</v>
      </c>
      <c r="D132" s="568">
        <v>250</v>
      </c>
      <c r="E132" s="568">
        <v>10</v>
      </c>
      <c r="F132" s="568" t="s">
        <v>785</v>
      </c>
      <c r="G132" s="568">
        <v>100004518</v>
      </c>
      <c r="H132" s="568">
        <v>995433</v>
      </c>
      <c r="I132" s="431"/>
      <c r="J132" s="426">
        <v>18</v>
      </c>
      <c r="K132" s="430"/>
      <c r="L132" s="425" t="s">
        <v>732</v>
      </c>
      <c r="M132" s="425" t="s">
        <v>733</v>
      </c>
      <c r="N132" s="425">
        <v>649</v>
      </c>
      <c r="O132" s="427"/>
      <c r="P132" s="429" t="str">
        <f t="shared" si="42"/>
        <v>INCLUDED</v>
      </c>
      <c r="Q132" s="655">
        <f t="shared" si="43"/>
        <v>0</v>
      </c>
      <c r="R132" s="686">
        <f t="shared" si="48"/>
        <v>0</v>
      </c>
      <c r="S132" s="687">
        <f>Discount!$J$36</f>
        <v>0</v>
      </c>
      <c r="T132" s="686">
        <f t="shared" si="49"/>
        <v>0</v>
      </c>
      <c r="U132" s="688">
        <f t="shared" si="50"/>
        <v>0</v>
      </c>
      <c r="V132" s="689">
        <f t="shared" si="51"/>
        <v>0</v>
      </c>
      <c r="W132" s="690"/>
      <c r="X132" s="690"/>
      <c r="Y132" s="690"/>
      <c r="Z132" s="690"/>
      <c r="AA132" s="690"/>
    </row>
    <row r="133" spans="1:27" ht="47.25">
      <c r="A133" s="563">
        <v>35</v>
      </c>
      <c r="B133" s="568">
        <v>7000026863</v>
      </c>
      <c r="C133" s="568">
        <v>510</v>
      </c>
      <c r="D133" s="568">
        <v>250</v>
      </c>
      <c r="E133" s="568">
        <v>20</v>
      </c>
      <c r="F133" s="568" t="s">
        <v>785</v>
      </c>
      <c r="G133" s="568">
        <v>100011662</v>
      </c>
      <c r="H133" s="568">
        <v>995433</v>
      </c>
      <c r="I133" s="431"/>
      <c r="J133" s="426">
        <v>18</v>
      </c>
      <c r="K133" s="430"/>
      <c r="L133" s="425" t="s">
        <v>734</v>
      </c>
      <c r="M133" s="425" t="s">
        <v>733</v>
      </c>
      <c r="N133" s="425">
        <v>216</v>
      </c>
      <c r="O133" s="427"/>
      <c r="P133" s="429" t="str">
        <f t="shared" si="42"/>
        <v>INCLUDED</v>
      </c>
      <c r="Q133" s="655">
        <f t="shared" si="43"/>
        <v>0</v>
      </c>
      <c r="R133" s="686">
        <f t="shared" si="48"/>
        <v>0</v>
      </c>
      <c r="S133" s="687">
        <f>Discount!$J$36</f>
        <v>0</v>
      </c>
      <c r="T133" s="686">
        <f t="shared" si="49"/>
        <v>0</v>
      </c>
      <c r="U133" s="688">
        <f t="shared" si="50"/>
        <v>0</v>
      </c>
      <c r="V133" s="689">
        <f t="shared" si="51"/>
        <v>0</v>
      </c>
      <c r="W133" s="690"/>
      <c r="X133" s="690"/>
      <c r="Y133" s="690"/>
      <c r="Z133" s="690"/>
      <c r="AA133" s="690"/>
    </row>
    <row r="134" spans="1:27">
      <c r="A134" s="563">
        <v>36</v>
      </c>
      <c r="B134" s="568">
        <v>7000026863</v>
      </c>
      <c r="C134" s="568">
        <v>510</v>
      </c>
      <c r="D134" s="568">
        <v>250</v>
      </c>
      <c r="E134" s="568">
        <v>30</v>
      </c>
      <c r="F134" s="568" t="s">
        <v>785</v>
      </c>
      <c r="G134" s="568">
        <v>100001325</v>
      </c>
      <c r="H134" s="568">
        <v>995454</v>
      </c>
      <c r="I134" s="431"/>
      <c r="J134" s="426">
        <v>18</v>
      </c>
      <c r="K134" s="430"/>
      <c r="L134" s="425" t="s">
        <v>735</v>
      </c>
      <c r="M134" s="425" t="s">
        <v>733</v>
      </c>
      <c r="N134" s="425">
        <v>13</v>
      </c>
      <c r="O134" s="427"/>
      <c r="P134" s="429" t="str">
        <f t="shared" si="42"/>
        <v>INCLUDED</v>
      </c>
      <c r="Q134" s="655">
        <f t="shared" si="43"/>
        <v>0</v>
      </c>
      <c r="R134" s="686">
        <f t="shared" si="48"/>
        <v>0</v>
      </c>
      <c r="S134" s="687">
        <f>Discount!$J$36</f>
        <v>0</v>
      </c>
      <c r="T134" s="686">
        <f t="shared" si="49"/>
        <v>0</v>
      </c>
      <c r="U134" s="688">
        <f t="shared" si="50"/>
        <v>0</v>
      </c>
      <c r="V134" s="689">
        <f t="shared" si="51"/>
        <v>0</v>
      </c>
      <c r="W134" s="690"/>
      <c r="X134" s="690"/>
      <c r="Y134" s="690"/>
      <c r="Z134" s="690"/>
      <c r="AA134" s="690"/>
    </row>
    <row r="135" spans="1:27">
      <c r="A135" s="563">
        <v>37</v>
      </c>
      <c r="B135" s="568">
        <v>7000026863</v>
      </c>
      <c r="C135" s="568">
        <v>510</v>
      </c>
      <c r="D135" s="568">
        <v>250</v>
      </c>
      <c r="E135" s="568">
        <v>40</v>
      </c>
      <c r="F135" s="568" t="s">
        <v>785</v>
      </c>
      <c r="G135" s="568">
        <v>100001326</v>
      </c>
      <c r="H135" s="568">
        <v>995454</v>
      </c>
      <c r="I135" s="431"/>
      <c r="J135" s="426">
        <v>18</v>
      </c>
      <c r="K135" s="430"/>
      <c r="L135" s="425" t="s">
        <v>736</v>
      </c>
      <c r="M135" s="425" t="s">
        <v>733</v>
      </c>
      <c r="N135" s="425">
        <v>5</v>
      </c>
      <c r="O135" s="427"/>
      <c r="P135" s="429" t="str">
        <f t="shared" si="42"/>
        <v>INCLUDED</v>
      </c>
      <c r="Q135" s="655">
        <f t="shared" si="43"/>
        <v>0</v>
      </c>
      <c r="R135" s="686">
        <f t="shared" si="48"/>
        <v>0</v>
      </c>
      <c r="S135" s="687">
        <f>Discount!$J$36</f>
        <v>0</v>
      </c>
      <c r="T135" s="686">
        <f t="shared" si="49"/>
        <v>0</v>
      </c>
      <c r="U135" s="688">
        <f t="shared" si="50"/>
        <v>0</v>
      </c>
      <c r="V135" s="689">
        <f t="shared" si="51"/>
        <v>0</v>
      </c>
      <c r="W135" s="690"/>
      <c r="X135" s="690"/>
      <c r="Y135" s="690"/>
      <c r="Z135" s="690"/>
      <c r="AA135" s="690"/>
    </row>
    <row r="136" spans="1:27">
      <c r="A136" s="563">
        <v>38</v>
      </c>
      <c r="B136" s="568">
        <v>7000026863</v>
      </c>
      <c r="C136" s="568">
        <v>510</v>
      </c>
      <c r="D136" s="568">
        <v>250</v>
      </c>
      <c r="E136" s="568">
        <v>50</v>
      </c>
      <c r="F136" s="568" t="s">
        <v>785</v>
      </c>
      <c r="G136" s="568">
        <v>100001328</v>
      </c>
      <c r="H136" s="568">
        <v>995454</v>
      </c>
      <c r="I136" s="431"/>
      <c r="J136" s="426">
        <v>18</v>
      </c>
      <c r="K136" s="430"/>
      <c r="L136" s="425" t="s">
        <v>737</v>
      </c>
      <c r="M136" s="425" t="s">
        <v>733</v>
      </c>
      <c r="N136" s="425">
        <v>230</v>
      </c>
      <c r="O136" s="427"/>
      <c r="P136" s="429" t="str">
        <f t="shared" si="42"/>
        <v>INCLUDED</v>
      </c>
      <c r="Q136" s="655">
        <f t="shared" si="43"/>
        <v>0</v>
      </c>
      <c r="R136" s="686">
        <f t="shared" si="48"/>
        <v>0</v>
      </c>
      <c r="S136" s="687">
        <f>Discount!$J$36</f>
        <v>0</v>
      </c>
      <c r="T136" s="686">
        <f t="shared" si="49"/>
        <v>0</v>
      </c>
      <c r="U136" s="688">
        <f t="shared" si="50"/>
        <v>0</v>
      </c>
      <c r="V136" s="689">
        <f t="shared" si="51"/>
        <v>0</v>
      </c>
      <c r="W136" s="690"/>
      <c r="X136" s="690"/>
      <c r="Y136" s="690"/>
      <c r="Z136" s="690"/>
      <c r="AA136" s="690"/>
    </row>
    <row r="137" spans="1:27" ht="31.5">
      <c r="A137" s="563">
        <v>39</v>
      </c>
      <c r="B137" s="568">
        <v>7000026863</v>
      </c>
      <c r="C137" s="568">
        <v>510</v>
      </c>
      <c r="D137" s="568">
        <v>250</v>
      </c>
      <c r="E137" s="568">
        <v>60</v>
      </c>
      <c r="F137" s="568" t="s">
        <v>785</v>
      </c>
      <c r="G137" s="568">
        <v>100001327</v>
      </c>
      <c r="H137" s="568">
        <v>995454</v>
      </c>
      <c r="I137" s="431"/>
      <c r="J137" s="426">
        <v>18</v>
      </c>
      <c r="K137" s="430"/>
      <c r="L137" s="425" t="s">
        <v>738</v>
      </c>
      <c r="M137" s="425" t="s">
        <v>733</v>
      </c>
      <c r="N137" s="425">
        <v>134</v>
      </c>
      <c r="O137" s="427"/>
      <c r="P137" s="429" t="str">
        <f t="shared" si="42"/>
        <v>INCLUDED</v>
      </c>
      <c r="Q137" s="655">
        <f t="shared" si="43"/>
        <v>0</v>
      </c>
      <c r="R137" s="686">
        <f t="shared" si="48"/>
        <v>0</v>
      </c>
      <c r="S137" s="687">
        <f>Discount!$J$36</f>
        <v>0</v>
      </c>
      <c r="T137" s="686">
        <f t="shared" si="49"/>
        <v>0</v>
      </c>
      <c r="U137" s="688">
        <f t="shared" si="50"/>
        <v>0</v>
      </c>
      <c r="V137" s="689">
        <f t="shared" si="51"/>
        <v>0</v>
      </c>
      <c r="W137" s="690"/>
      <c r="X137" s="690"/>
      <c r="Y137" s="690"/>
      <c r="Z137" s="690"/>
      <c r="AA137" s="690"/>
    </row>
    <row r="138" spans="1:27">
      <c r="A138" s="563">
        <v>40</v>
      </c>
      <c r="B138" s="568">
        <v>7000026863</v>
      </c>
      <c r="C138" s="568">
        <v>510</v>
      </c>
      <c r="D138" s="568">
        <v>250</v>
      </c>
      <c r="E138" s="568">
        <v>70</v>
      </c>
      <c r="F138" s="568" t="s">
        <v>785</v>
      </c>
      <c r="G138" s="568">
        <v>100001329</v>
      </c>
      <c r="H138" s="568">
        <v>995454</v>
      </c>
      <c r="I138" s="431"/>
      <c r="J138" s="426">
        <v>18</v>
      </c>
      <c r="K138" s="430"/>
      <c r="L138" s="425" t="s">
        <v>739</v>
      </c>
      <c r="M138" s="425" t="s">
        <v>536</v>
      </c>
      <c r="N138" s="425">
        <v>12</v>
      </c>
      <c r="O138" s="427"/>
      <c r="P138" s="429" t="str">
        <f t="shared" si="42"/>
        <v>INCLUDED</v>
      </c>
      <c r="Q138" s="655">
        <f t="shared" si="43"/>
        <v>0</v>
      </c>
      <c r="R138" s="686">
        <f t="shared" si="48"/>
        <v>0</v>
      </c>
      <c r="S138" s="687">
        <f>Discount!$J$36</f>
        <v>0</v>
      </c>
      <c r="T138" s="686">
        <f t="shared" si="49"/>
        <v>0</v>
      </c>
      <c r="U138" s="688">
        <f t="shared" si="50"/>
        <v>0</v>
      </c>
      <c r="V138" s="689">
        <f t="shared" si="51"/>
        <v>0</v>
      </c>
      <c r="W138" s="690"/>
      <c r="X138" s="690"/>
      <c r="Y138" s="690"/>
      <c r="Z138" s="690"/>
      <c r="AA138" s="690"/>
    </row>
    <row r="139" spans="1:27" ht="31.5">
      <c r="A139" s="563">
        <v>41</v>
      </c>
      <c r="B139" s="568">
        <v>7000026863</v>
      </c>
      <c r="C139" s="568">
        <v>510</v>
      </c>
      <c r="D139" s="568">
        <v>250</v>
      </c>
      <c r="E139" s="568">
        <v>80</v>
      </c>
      <c r="F139" s="568" t="s">
        <v>785</v>
      </c>
      <c r="G139" s="568">
        <v>100001331</v>
      </c>
      <c r="H139" s="568">
        <v>995455</v>
      </c>
      <c r="I139" s="431"/>
      <c r="J139" s="426">
        <v>18</v>
      </c>
      <c r="K139" s="430"/>
      <c r="L139" s="425" t="s">
        <v>741</v>
      </c>
      <c r="M139" s="425" t="s">
        <v>536</v>
      </c>
      <c r="N139" s="425">
        <v>2</v>
      </c>
      <c r="O139" s="427"/>
      <c r="P139" s="429" t="str">
        <f t="shared" si="42"/>
        <v>INCLUDED</v>
      </c>
      <c r="Q139" s="655">
        <f t="shared" si="43"/>
        <v>0</v>
      </c>
      <c r="R139" s="686">
        <f>IF( K139="",J139*(IF(P139="Included",0,P139))/100,K139*(IF(P139="Included",0,P139)))</f>
        <v>0</v>
      </c>
      <c r="S139" s="687">
        <f>Discount!$J$36</f>
        <v>0</v>
      </c>
      <c r="T139" s="686">
        <f>S139*Q139</f>
        <v>0</v>
      </c>
      <c r="U139" s="688">
        <f t="shared" si="50"/>
        <v>0</v>
      </c>
      <c r="V139" s="689">
        <f t="shared" si="51"/>
        <v>0</v>
      </c>
      <c r="W139" s="690"/>
      <c r="X139" s="690"/>
      <c r="Y139" s="690"/>
      <c r="Z139" s="690"/>
      <c r="AA139" s="690"/>
    </row>
    <row r="140" spans="1:27">
      <c r="A140" s="563">
        <v>42</v>
      </c>
      <c r="B140" s="568">
        <v>7000026863</v>
      </c>
      <c r="C140" s="568">
        <v>510</v>
      </c>
      <c r="D140" s="568">
        <v>250</v>
      </c>
      <c r="E140" s="568">
        <v>90</v>
      </c>
      <c r="F140" s="568" t="s">
        <v>785</v>
      </c>
      <c r="G140" s="568">
        <v>100001714</v>
      </c>
      <c r="H140" s="568">
        <v>995428</v>
      </c>
      <c r="I140" s="431"/>
      <c r="J140" s="426">
        <v>18</v>
      </c>
      <c r="K140" s="430"/>
      <c r="L140" s="425" t="s">
        <v>742</v>
      </c>
      <c r="M140" s="425" t="s">
        <v>743</v>
      </c>
      <c r="N140" s="425">
        <v>3000</v>
      </c>
      <c r="O140" s="427"/>
      <c r="P140" s="429" t="str">
        <f t="shared" si="42"/>
        <v>INCLUDED</v>
      </c>
      <c r="Q140" s="655">
        <f t="shared" si="43"/>
        <v>0</v>
      </c>
      <c r="R140" s="686">
        <f t="shared" ref="R140:R244" si="52">IF( K140="",J140*(IF(P140="Included",0,P140))/100,K140*(IF(P140="Included",0,P140)))</f>
        <v>0</v>
      </c>
      <c r="S140" s="687">
        <f>Discount!$J$36</f>
        <v>0</v>
      </c>
      <c r="T140" s="686">
        <f t="shared" ref="T140:T244" si="53">S140*Q140</f>
        <v>0</v>
      </c>
      <c r="U140" s="688">
        <f t="shared" si="50"/>
        <v>0</v>
      </c>
      <c r="V140" s="689">
        <f t="shared" si="51"/>
        <v>0</v>
      </c>
      <c r="W140" s="690"/>
      <c r="X140" s="690"/>
      <c r="Y140" s="690"/>
      <c r="Z140" s="690"/>
      <c r="AA140" s="690"/>
    </row>
    <row r="141" spans="1:27">
      <c r="A141" s="563">
        <v>43</v>
      </c>
      <c r="B141" s="568">
        <v>7000026863</v>
      </c>
      <c r="C141" s="568">
        <v>510</v>
      </c>
      <c r="D141" s="568">
        <v>250</v>
      </c>
      <c r="E141" s="568">
        <v>100</v>
      </c>
      <c r="F141" s="568" t="s">
        <v>785</v>
      </c>
      <c r="G141" s="568">
        <v>100001713</v>
      </c>
      <c r="H141" s="568">
        <v>995424</v>
      </c>
      <c r="I141" s="431"/>
      <c r="J141" s="426">
        <v>18</v>
      </c>
      <c r="K141" s="430"/>
      <c r="L141" s="425" t="s">
        <v>744</v>
      </c>
      <c r="M141" s="425" t="s">
        <v>743</v>
      </c>
      <c r="N141" s="425">
        <v>3000</v>
      </c>
      <c r="O141" s="427"/>
      <c r="P141" s="429" t="str">
        <f t="shared" si="42"/>
        <v>INCLUDED</v>
      </c>
      <c r="Q141" s="655">
        <f t="shared" si="43"/>
        <v>0</v>
      </c>
      <c r="R141" s="686">
        <f t="shared" si="52"/>
        <v>0</v>
      </c>
      <c r="S141" s="687">
        <f>Discount!$J$36</f>
        <v>0</v>
      </c>
      <c r="T141" s="686">
        <f t="shared" si="53"/>
        <v>0</v>
      </c>
      <c r="U141" s="688">
        <f t="shared" si="50"/>
        <v>0</v>
      </c>
      <c r="V141" s="689">
        <f t="shared" si="51"/>
        <v>0</v>
      </c>
      <c r="W141" s="690"/>
      <c r="X141" s="690"/>
      <c r="Y141" s="690"/>
      <c r="Z141" s="690"/>
      <c r="AA141" s="690"/>
    </row>
    <row r="142" spans="1:27" ht="31.5">
      <c r="A142" s="563">
        <v>44</v>
      </c>
      <c r="B142" s="568">
        <v>7000026863</v>
      </c>
      <c r="C142" s="568">
        <v>510</v>
      </c>
      <c r="D142" s="568">
        <v>250</v>
      </c>
      <c r="E142" s="568">
        <v>110</v>
      </c>
      <c r="F142" s="568" t="s">
        <v>785</v>
      </c>
      <c r="G142" s="568">
        <v>100001712</v>
      </c>
      <c r="H142" s="568">
        <v>995428</v>
      </c>
      <c r="I142" s="431"/>
      <c r="J142" s="426">
        <v>18</v>
      </c>
      <c r="K142" s="430"/>
      <c r="L142" s="425" t="s">
        <v>745</v>
      </c>
      <c r="M142" s="425" t="s">
        <v>743</v>
      </c>
      <c r="N142" s="425">
        <v>3000</v>
      </c>
      <c r="O142" s="427"/>
      <c r="P142" s="429" t="str">
        <f t="shared" si="42"/>
        <v>INCLUDED</v>
      </c>
      <c r="Q142" s="655">
        <f t="shared" si="43"/>
        <v>0</v>
      </c>
      <c r="R142" s="686">
        <f t="shared" si="52"/>
        <v>0</v>
      </c>
      <c r="S142" s="687">
        <f>Discount!$J$36</f>
        <v>0</v>
      </c>
      <c r="T142" s="686">
        <f t="shared" si="53"/>
        <v>0</v>
      </c>
      <c r="U142" s="688">
        <f t="shared" si="50"/>
        <v>0</v>
      </c>
      <c r="V142" s="689">
        <f t="shared" si="51"/>
        <v>0</v>
      </c>
      <c r="W142" s="690"/>
      <c r="X142" s="690"/>
      <c r="Y142" s="690"/>
      <c r="Z142" s="690"/>
      <c r="AA142" s="690"/>
    </row>
    <row r="143" spans="1:27" ht="31.5">
      <c r="A143" s="563">
        <v>45</v>
      </c>
      <c r="B143" s="568">
        <v>7000026863</v>
      </c>
      <c r="C143" s="568">
        <v>510</v>
      </c>
      <c r="D143" s="568">
        <v>250</v>
      </c>
      <c r="E143" s="568">
        <v>120</v>
      </c>
      <c r="F143" s="568" t="s">
        <v>785</v>
      </c>
      <c r="G143" s="568">
        <v>100001478</v>
      </c>
      <c r="H143" s="568">
        <v>995454</v>
      </c>
      <c r="I143" s="431"/>
      <c r="J143" s="426">
        <v>18</v>
      </c>
      <c r="K143" s="430"/>
      <c r="L143" s="425" t="s">
        <v>750</v>
      </c>
      <c r="M143" s="425" t="s">
        <v>518</v>
      </c>
      <c r="N143" s="425">
        <v>100</v>
      </c>
      <c r="O143" s="427"/>
      <c r="P143" s="429" t="str">
        <f t="shared" si="42"/>
        <v>INCLUDED</v>
      </c>
      <c r="Q143" s="655">
        <f t="shared" si="43"/>
        <v>0</v>
      </c>
      <c r="R143" s="686">
        <f t="shared" si="52"/>
        <v>0</v>
      </c>
      <c r="S143" s="687">
        <f>Discount!$J$36</f>
        <v>0</v>
      </c>
      <c r="T143" s="686">
        <f t="shared" si="53"/>
        <v>0</v>
      </c>
      <c r="U143" s="688">
        <f t="shared" si="50"/>
        <v>0</v>
      </c>
      <c r="V143" s="689">
        <f t="shared" si="51"/>
        <v>0</v>
      </c>
      <c r="W143" s="690"/>
      <c r="X143" s="690"/>
      <c r="Y143" s="690"/>
      <c r="Z143" s="690"/>
      <c r="AA143" s="690"/>
    </row>
    <row r="144" spans="1:27" ht="31.5">
      <c r="A144" s="563">
        <v>46</v>
      </c>
      <c r="B144" s="568">
        <v>7000026863</v>
      </c>
      <c r="C144" s="568">
        <v>510</v>
      </c>
      <c r="D144" s="568">
        <v>250</v>
      </c>
      <c r="E144" s="568">
        <v>130</v>
      </c>
      <c r="F144" s="568" t="s">
        <v>785</v>
      </c>
      <c r="G144" s="568">
        <v>100001479</v>
      </c>
      <c r="H144" s="568">
        <v>995454</v>
      </c>
      <c r="I144" s="431"/>
      <c r="J144" s="426">
        <v>18</v>
      </c>
      <c r="K144" s="430"/>
      <c r="L144" s="425" t="s">
        <v>751</v>
      </c>
      <c r="M144" s="425" t="s">
        <v>518</v>
      </c>
      <c r="N144" s="425">
        <v>100</v>
      </c>
      <c r="O144" s="427"/>
      <c r="P144" s="429" t="str">
        <f t="shared" si="42"/>
        <v>INCLUDED</v>
      </c>
      <c r="Q144" s="655">
        <f t="shared" si="43"/>
        <v>0</v>
      </c>
      <c r="R144" s="686">
        <f t="shared" si="52"/>
        <v>0</v>
      </c>
      <c r="S144" s="687">
        <f>Discount!$J$36</f>
        <v>0</v>
      </c>
      <c r="T144" s="686">
        <f t="shared" si="53"/>
        <v>0</v>
      </c>
      <c r="U144" s="688">
        <f t="shared" si="50"/>
        <v>0</v>
      </c>
      <c r="V144" s="689">
        <f t="shared" si="51"/>
        <v>0</v>
      </c>
      <c r="W144" s="690"/>
      <c r="X144" s="690"/>
      <c r="Y144" s="690"/>
      <c r="Z144" s="690"/>
      <c r="AA144" s="690"/>
    </row>
    <row r="145" spans="1:27" ht="31.5">
      <c r="A145" s="563">
        <v>47</v>
      </c>
      <c r="B145" s="568">
        <v>7000026863</v>
      </c>
      <c r="C145" s="568">
        <v>510</v>
      </c>
      <c r="D145" s="568">
        <v>250</v>
      </c>
      <c r="E145" s="568">
        <v>140</v>
      </c>
      <c r="F145" s="568" t="s">
        <v>785</v>
      </c>
      <c r="G145" s="568">
        <v>100001480</v>
      </c>
      <c r="H145" s="568">
        <v>995454</v>
      </c>
      <c r="I145" s="431"/>
      <c r="J145" s="426">
        <v>18</v>
      </c>
      <c r="K145" s="430"/>
      <c r="L145" s="425" t="s">
        <v>752</v>
      </c>
      <c r="M145" s="425" t="s">
        <v>518</v>
      </c>
      <c r="N145" s="425">
        <v>50</v>
      </c>
      <c r="O145" s="427"/>
      <c r="P145" s="429" t="str">
        <f t="shared" si="42"/>
        <v>INCLUDED</v>
      </c>
      <c r="Q145" s="655">
        <f t="shared" si="43"/>
        <v>0</v>
      </c>
      <c r="R145" s="686">
        <f t="shared" si="52"/>
        <v>0</v>
      </c>
      <c r="S145" s="687">
        <f>Discount!$J$36</f>
        <v>0</v>
      </c>
      <c r="T145" s="686">
        <f t="shared" si="53"/>
        <v>0</v>
      </c>
      <c r="U145" s="688">
        <f t="shared" si="50"/>
        <v>0</v>
      </c>
      <c r="V145" s="689">
        <f t="shared" si="51"/>
        <v>0</v>
      </c>
      <c r="W145" s="690"/>
      <c r="X145" s="690"/>
      <c r="Y145" s="690"/>
      <c r="Z145" s="690"/>
      <c r="AA145" s="690"/>
    </row>
    <row r="146" spans="1:27" ht="47.25">
      <c r="A146" s="563">
        <v>48</v>
      </c>
      <c r="B146" s="568">
        <v>7000026863</v>
      </c>
      <c r="C146" s="568">
        <v>510</v>
      </c>
      <c r="D146" s="568">
        <v>250</v>
      </c>
      <c r="E146" s="568">
        <v>150</v>
      </c>
      <c r="F146" s="568" t="s">
        <v>785</v>
      </c>
      <c r="G146" s="568">
        <v>100003437</v>
      </c>
      <c r="H146" s="568">
        <v>995454</v>
      </c>
      <c r="I146" s="431"/>
      <c r="J146" s="426">
        <v>18</v>
      </c>
      <c r="K146" s="430"/>
      <c r="L146" s="425" t="s">
        <v>796</v>
      </c>
      <c r="M146" s="425" t="s">
        <v>743</v>
      </c>
      <c r="N146" s="425">
        <v>27</v>
      </c>
      <c r="O146" s="427"/>
      <c r="P146" s="429" t="str">
        <f t="shared" si="42"/>
        <v>INCLUDED</v>
      </c>
      <c r="Q146" s="655">
        <f t="shared" si="43"/>
        <v>0</v>
      </c>
      <c r="R146" s="686">
        <f t="shared" si="52"/>
        <v>0</v>
      </c>
      <c r="S146" s="687">
        <f>Discount!$J$36</f>
        <v>0</v>
      </c>
      <c r="T146" s="686">
        <f t="shared" si="53"/>
        <v>0</v>
      </c>
      <c r="U146" s="688">
        <f t="shared" si="50"/>
        <v>0</v>
      </c>
      <c r="V146" s="689">
        <f t="shared" si="51"/>
        <v>0</v>
      </c>
      <c r="W146" s="690"/>
      <c r="X146" s="690"/>
      <c r="Y146" s="690"/>
      <c r="Z146" s="690"/>
      <c r="AA146" s="690"/>
    </row>
    <row r="147" spans="1:27" ht="63">
      <c r="A147" s="563">
        <v>49</v>
      </c>
      <c r="B147" s="568">
        <v>7000026863</v>
      </c>
      <c r="C147" s="568">
        <v>630</v>
      </c>
      <c r="D147" s="568">
        <v>270</v>
      </c>
      <c r="E147" s="568">
        <v>10</v>
      </c>
      <c r="F147" s="568" t="s">
        <v>786</v>
      </c>
      <c r="G147" s="568">
        <v>100002812</v>
      </c>
      <c r="H147" s="568">
        <v>998734</v>
      </c>
      <c r="I147" s="431"/>
      <c r="J147" s="426">
        <v>18</v>
      </c>
      <c r="K147" s="430"/>
      <c r="L147" s="425" t="s">
        <v>797</v>
      </c>
      <c r="M147" s="425" t="s">
        <v>470</v>
      </c>
      <c r="N147" s="425">
        <v>1</v>
      </c>
      <c r="O147" s="427"/>
      <c r="P147" s="429" t="str">
        <f t="shared" si="42"/>
        <v>INCLUDED</v>
      </c>
      <c r="Q147" s="655">
        <f t="shared" si="43"/>
        <v>0</v>
      </c>
      <c r="R147" s="686">
        <f t="shared" si="52"/>
        <v>0</v>
      </c>
      <c r="S147" s="687">
        <f>Discount!$J$36</f>
        <v>0</v>
      </c>
      <c r="T147" s="686">
        <f t="shared" si="53"/>
        <v>0</v>
      </c>
      <c r="U147" s="688">
        <f t="shared" si="50"/>
        <v>0</v>
      </c>
      <c r="V147" s="689">
        <f t="shared" si="51"/>
        <v>0</v>
      </c>
      <c r="W147" s="690"/>
      <c r="X147" s="690"/>
      <c r="Y147" s="690"/>
      <c r="Z147" s="690"/>
      <c r="AA147" s="690"/>
    </row>
    <row r="148" spans="1:27">
      <c r="A148" s="563">
        <v>50</v>
      </c>
      <c r="B148" s="568">
        <v>7000026863</v>
      </c>
      <c r="C148" s="568">
        <v>630</v>
      </c>
      <c r="D148" s="568">
        <v>270</v>
      </c>
      <c r="E148" s="568">
        <v>20</v>
      </c>
      <c r="F148" s="568" t="s">
        <v>786</v>
      </c>
      <c r="G148" s="568">
        <v>170000433</v>
      </c>
      <c r="H148" s="568">
        <v>998734</v>
      </c>
      <c r="I148" s="431"/>
      <c r="J148" s="426">
        <v>18</v>
      </c>
      <c r="K148" s="430"/>
      <c r="L148" s="425" t="s">
        <v>798</v>
      </c>
      <c r="M148" s="425" t="s">
        <v>470</v>
      </c>
      <c r="N148" s="425">
        <v>4</v>
      </c>
      <c r="O148" s="427"/>
      <c r="P148" s="429" t="str">
        <f t="shared" si="42"/>
        <v>INCLUDED</v>
      </c>
      <c r="Q148" s="655">
        <f t="shared" si="43"/>
        <v>0</v>
      </c>
      <c r="R148" s="686">
        <f t="shared" si="52"/>
        <v>0</v>
      </c>
      <c r="S148" s="687">
        <f>Discount!$J$36</f>
        <v>0</v>
      </c>
      <c r="T148" s="686">
        <f t="shared" si="53"/>
        <v>0</v>
      </c>
      <c r="U148" s="688">
        <f t="shared" si="50"/>
        <v>0</v>
      </c>
      <c r="V148" s="689">
        <f t="shared" si="51"/>
        <v>0</v>
      </c>
      <c r="W148" s="690"/>
      <c r="X148" s="690"/>
      <c r="Y148" s="690"/>
      <c r="Z148" s="690"/>
      <c r="AA148" s="690"/>
    </row>
    <row r="149" spans="1:27">
      <c r="A149" s="563">
        <v>51</v>
      </c>
      <c r="B149" s="568">
        <v>7000026863</v>
      </c>
      <c r="C149" s="568">
        <v>630</v>
      </c>
      <c r="D149" s="568">
        <v>270</v>
      </c>
      <c r="E149" s="568">
        <v>30</v>
      </c>
      <c r="F149" s="568" t="s">
        <v>786</v>
      </c>
      <c r="G149" s="568">
        <v>100002825</v>
      </c>
      <c r="H149" s="568">
        <v>998734</v>
      </c>
      <c r="I149" s="431"/>
      <c r="J149" s="426">
        <v>18</v>
      </c>
      <c r="K149" s="430"/>
      <c r="L149" s="425" t="s">
        <v>799</v>
      </c>
      <c r="M149" s="425" t="s">
        <v>471</v>
      </c>
      <c r="N149" s="425">
        <v>2</v>
      </c>
      <c r="O149" s="427"/>
      <c r="P149" s="429" t="str">
        <f t="shared" si="42"/>
        <v>INCLUDED</v>
      </c>
      <c r="Q149" s="655">
        <f t="shared" si="43"/>
        <v>0</v>
      </c>
      <c r="R149" s="686">
        <f t="shared" si="52"/>
        <v>0</v>
      </c>
      <c r="S149" s="687">
        <f>Discount!$J$36</f>
        <v>0</v>
      </c>
      <c r="T149" s="686">
        <f t="shared" si="53"/>
        <v>0</v>
      </c>
      <c r="U149" s="688">
        <f t="shared" si="50"/>
        <v>0</v>
      </c>
      <c r="V149" s="689">
        <f t="shared" si="51"/>
        <v>0</v>
      </c>
      <c r="W149" s="690"/>
      <c r="X149" s="690"/>
      <c r="Y149" s="690"/>
      <c r="Z149" s="690"/>
      <c r="AA149" s="690"/>
    </row>
    <row r="150" spans="1:27">
      <c r="A150" s="563">
        <v>52</v>
      </c>
      <c r="B150" s="568">
        <v>7000026863</v>
      </c>
      <c r="C150" s="568">
        <v>630</v>
      </c>
      <c r="D150" s="568">
        <v>270</v>
      </c>
      <c r="E150" s="568">
        <v>40</v>
      </c>
      <c r="F150" s="568" t="s">
        <v>786</v>
      </c>
      <c r="G150" s="568">
        <v>170000550</v>
      </c>
      <c r="H150" s="568">
        <v>998336</v>
      </c>
      <c r="I150" s="431"/>
      <c r="J150" s="426">
        <v>18</v>
      </c>
      <c r="K150" s="430"/>
      <c r="L150" s="425" t="s">
        <v>800</v>
      </c>
      <c r="M150" s="425" t="s">
        <v>470</v>
      </c>
      <c r="N150" s="425">
        <v>2</v>
      </c>
      <c r="O150" s="427"/>
      <c r="P150" s="429" t="str">
        <f t="shared" si="42"/>
        <v>INCLUDED</v>
      </c>
      <c r="Q150" s="655">
        <f t="shared" si="43"/>
        <v>0</v>
      </c>
      <c r="R150" s="686">
        <f t="shared" si="52"/>
        <v>0</v>
      </c>
      <c r="S150" s="687">
        <f>Discount!$J$36</f>
        <v>0</v>
      </c>
      <c r="T150" s="686">
        <f t="shared" si="53"/>
        <v>0</v>
      </c>
      <c r="U150" s="688">
        <f t="shared" si="50"/>
        <v>0</v>
      </c>
      <c r="V150" s="689">
        <f t="shared" si="51"/>
        <v>0</v>
      </c>
      <c r="W150" s="690"/>
      <c r="X150" s="690"/>
      <c r="Y150" s="690"/>
      <c r="Z150" s="690"/>
      <c r="AA150" s="690"/>
    </row>
    <row r="151" spans="1:27">
      <c r="A151" s="563">
        <v>53</v>
      </c>
      <c r="B151" s="568">
        <v>7000026863</v>
      </c>
      <c r="C151" s="568">
        <v>630</v>
      </c>
      <c r="D151" s="568">
        <v>270</v>
      </c>
      <c r="E151" s="568">
        <v>50</v>
      </c>
      <c r="F151" s="568" t="s">
        <v>786</v>
      </c>
      <c r="G151" s="568">
        <v>100002829</v>
      </c>
      <c r="H151" s="568">
        <v>998734</v>
      </c>
      <c r="I151" s="431"/>
      <c r="J151" s="426">
        <v>18</v>
      </c>
      <c r="K151" s="430"/>
      <c r="L151" s="425" t="s">
        <v>801</v>
      </c>
      <c r="M151" s="425" t="s">
        <v>471</v>
      </c>
      <c r="N151" s="425">
        <v>1</v>
      </c>
      <c r="O151" s="427"/>
      <c r="P151" s="429" t="str">
        <f t="shared" si="42"/>
        <v>INCLUDED</v>
      </c>
      <c r="Q151" s="655">
        <f t="shared" si="43"/>
        <v>0</v>
      </c>
      <c r="R151" s="686">
        <f t="shared" si="52"/>
        <v>0</v>
      </c>
      <c r="S151" s="687">
        <f>Discount!$J$36</f>
        <v>0</v>
      </c>
      <c r="T151" s="686">
        <f t="shared" si="53"/>
        <v>0</v>
      </c>
      <c r="U151" s="688">
        <f t="shared" si="50"/>
        <v>0</v>
      </c>
      <c r="V151" s="689">
        <f t="shared" si="51"/>
        <v>0</v>
      </c>
      <c r="W151" s="690"/>
      <c r="X151" s="690"/>
      <c r="Y151" s="690"/>
      <c r="Z151" s="690"/>
      <c r="AA151" s="690"/>
    </row>
    <row r="152" spans="1:27">
      <c r="A152" s="563">
        <v>54</v>
      </c>
      <c r="B152" s="568">
        <v>7000026863</v>
      </c>
      <c r="C152" s="568">
        <v>630</v>
      </c>
      <c r="D152" s="568">
        <v>270</v>
      </c>
      <c r="E152" s="568">
        <v>60</v>
      </c>
      <c r="F152" s="568" t="s">
        <v>786</v>
      </c>
      <c r="G152" s="568">
        <v>170000375</v>
      </c>
      <c r="H152" s="568">
        <v>998734</v>
      </c>
      <c r="I152" s="431"/>
      <c r="J152" s="426">
        <v>18</v>
      </c>
      <c r="K152" s="430"/>
      <c r="L152" s="425" t="s">
        <v>802</v>
      </c>
      <c r="M152" s="425" t="s">
        <v>470</v>
      </c>
      <c r="N152" s="425">
        <v>1</v>
      </c>
      <c r="O152" s="427"/>
      <c r="P152" s="429" t="str">
        <f t="shared" si="42"/>
        <v>INCLUDED</v>
      </c>
      <c r="Q152" s="655">
        <f t="shared" si="43"/>
        <v>0</v>
      </c>
      <c r="R152" s="686">
        <f t="shared" si="52"/>
        <v>0</v>
      </c>
      <c r="S152" s="687">
        <f>Discount!$J$36</f>
        <v>0</v>
      </c>
      <c r="T152" s="686">
        <f t="shared" si="53"/>
        <v>0</v>
      </c>
      <c r="U152" s="688">
        <f t="shared" si="50"/>
        <v>0</v>
      </c>
      <c r="V152" s="689">
        <f t="shared" si="51"/>
        <v>0</v>
      </c>
      <c r="W152" s="690"/>
      <c r="X152" s="690"/>
      <c r="Y152" s="690"/>
      <c r="Z152" s="690"/>
      <c r="AA152" s="690"/>
    </row>
    <row r="153" spans="1:27" ht="31.5">
      <c r="A153" s="563">
        <v>55</v>
      </c>
      <c r="B153" s="568">
        <v>7000026863</v>
      </c>
      <c r="C153" s="568">
        <v>630</v>
      </c>
      <c r="D153" s="568">
        <v>270</v>
      </c>
      <c r="E153" s="568">
        <v>90</v>
      </c>
      <c r="F153" s="568" t="s">
        <v>786</v>
      </c>
      <c r="G153" s="568">
        <v>170004394</v>
      </c>
      <c r="H153" s="568">
        <v>998336</v>
      </c>
      <c r="I153" s="431"/>
      <c r="J153" s="426">
        <v>18</v>
      </c>
      <c r="K153" s="430"/>
      <c r="L153" s="425" t="s">
        <v>803</v>
      </c>
      <c r="M153" s="425" t="s">
        <v>493</v>
      </c>
      <c r="N153" s="425">
        <v>1</v>
      </c>
      <c r="O153" s="427"/>
      <c r="P153" s="429" t="str">
        <f t="shared" si="42"/>
        <v>INCLUDED</v>
      </c>
      <c r="Q153" s="655">
        <f t="shared" si="43"/>
        <v>0</v>
      </c>
      <c r="R153" s="686">
        <f t="shared" si="52"/>
        <v>0</v>
      </c>
      <c r="S153" s="687">
        <f>Discount!$J$36</f>
        <v>0</v>
      </c>
      <c r="T153" s="686">
        <f t="shared" si="53"/>
        <v>0</v>
      </c>
      <c r="U153" s="688">
        <f t="shared" si="50"/>
        <v>0</v>
      </c>
      <c r="V153" s="689">
        <f t="shared" si="51"/>
        <v>0</v>
      </c>
      <c r="W153" s="690"/>
      <c r="X153" s="690"/>
      <c r="Y153" s="690"/>
      <c r="Z153" s="690"/>
      <c r="AA153" s="690"/>
    </row>
    <row r="154" spans="1:27" ht="31.5">
      <c r="A154" s="563">
        <v>56</v>
      </c>
      <c r="B154" s="568">
        <v>7000026863</v>
      </c>
      <c r="C154" s="568">
        <v>630</v>
      </c>
      <c r="D154" s="568">
        <v>270</v>
      </c>
      <c r="E154" s="568">
        <v>100</v>
      </c>
      <c r="F154" s="568" t="s">
        <v>786</v>
      </c>
      <c r="G154" s="568">
        <v>170000356</v>
      </c>
      <c r="H154" s="568">
        <v>998336</v>
      </c>
      <c r="I154" s="431"/>
      <c r="J154" s="426">
        <v>18</v>
      </c>
      <c r="K154" s="430"/>
      <c r="L154" s="425" t="s">
        <v>804</v>
      </c>
      <c r="M154" s="425" t="s">
        <v>470</v>
      </c>
      <c r="N154" s="425">
        <v>1</v>
      </c>
      <c r="O154" s="427"/>
      <c r="P154" s="429" t="str">
        <f t="shared" si="42"/>
        <v>INCLUDED</v>
      </c>
      <c r="Q154" s="655">
        <f t="shared" si="43"/>
        <v>0</v>
      </c>
      <c r="R154" s="686">
        <f t="shared" si="52"/>
        <v>0</v>
      </c>
      <c r="S154" s="687">
        <f>Discount!$J$36</f>
        <v>0</v>
      </c>
      <c r="T154" s="686">
        <f t="shared" si="53"/>
        <v>0</v>
      </c>
      <c r="U154" s="688">
        <f t="shared" si="50"/>
        <v>0</v>
      </c>
      <c r="V154" s="689">
        <f t="shared" si="51"/>
        <v>0</v>
      </c>
      <c r="W154" s="690"/>
      <c r="X154" s="690"/>
      <c r="Y154" s="690"/>
      <c r="Z154" s="690"/>
      <c r="AA154" s="690"/>
    </row>
    <row r="155" spans="1:27" ht="31.5">
      <c r="A155" s="563">
        <v>57</v>
      </c>
      <c r="B155" s="568">
        <v>7000026863</v>
      </c>
      <c r="C155" s="568">
        <v>700</v>
      </c>
      <c r="D155" s="568">
        <v>290</v>
      </c>
      <c r="E155" s="568">
        <v>10</v>
      </c>
      <c r="F155" s="568" t="s">
        <v>715</v>
      </c>
      <c r="G155" s="568">
        <v>170000502</v>
      </c>
      <c r="H155" s="568">
        <v>998713</v>
      </c>
      <c r="I155" s="431"/>
      <c r="J155" s="426">
        <v>18</v>
      </c>
      <c r="K155" s="430"/>
      <c r="L155" s="425" t="s">
        <v>805</v>
      </c>
      <c r="M155" s="425" t="s">
        <v>470</v>
      </c>
      <c r="N155" s="425">
        <v>1</v>
      </c>
      <c r="O155" s="427"/>
      <c r="P155" s="429" t="str">
        <f t="shared" si="42"/>
        <v>INCLUDED</v>
      </c>
      <c r="Q155" s="655">
        <f t="shared" si="43"/>
        <v>0</v>
      </c>
      <c r="R155" s="686">
        <f t="shared" si="52"/>
        <v>0</v>
      </c>
      <c r="S155" s="687">
        <f>Discount!$J$36</f>
        <v>0</v>
      </c>
      <c r="T155" s="686">
        <f t="shared" si="53"/>
        <v>0</v>
      </c>
      <c r="U155" s="688">
        <f t="shared" si="50"/>
        <v>0</v>
      </c>
      <c r="V155" s="689">
        <f t="shared" si="51"/>
        <v>0</v>
      </c>
      <c r="W155" s="690"/>
      <c r="X155" s="690"/>
      <c r="Y155" s="690"/>
      <c r="Z155" s="690"/>
      <c r="AA155" s="690"/>
    </row>
    <row r="156" spans="1:27" ht="31.5">
      <c r="A156" s="563">
        <v>58</v>
      </c>
      <c r="B156" s="568">
        <v>7000026863</v>
      </c>
      <c r="C156" s="568">
        <v>700</v>
      </c>
      <c r="D156" s="568">
        <v>290</v>
      </c>
      <c r="E156" s="568">
        <v>20</v>
      </c>
      <c r="F156" s="568" t="s">
        <v>715</v>
      </c>
      <c r="G156" s="568">
        <v>170000530</v>
      </c>
      <c r="H156" s="568">
        <v>998734</v>
      </c>
      <c r="I156" s="431"/>
      <c r="J156" s="426">
        <v>18</v>
      </c>
      <c r="K156" s="430"/>
      <c r="L156" s="425" t="s">
        <v>806</v>
      </c>
      <c r="M156" s="425" t="s">
        <v>470</v>
      </c>
      <c r="N156" s="425">
        <v>1</v>
      </c>
      <c r="O156" s="427"/>
      <c r="P156" s="429" t="str">
        <f t="shared" si="42"/>
        <v>INCLUDED</v>
      </c>
      <c r="Q156" s="655">
        <f t="shared" si="43"/>
        <v>0</v>
      </c>
      <c r="R156" s="686">
        <f t="shared" si="52"/>
        <v>0</v>
      </c>
      <c r="S156" s="687">
        <f>Discount!$J$36</f>
        <v>0</v>
      </c>
      <c r="T156" s="686">
        <f t="shared" si="53"/>
        <v>0</v>
      </c>
      <c r="U156" s="688">
        <f t="shared" si="50"/>
        <v>0</v>
      </c>
      <c r="V156" s="689">
        <f t="shared" si="51"/>
        <v>0</v>
      </c>
      <c r="W156" s="690"/>
      <c r="X156" s="690"/>
      <c r="Y156" s="690"/>
      <c r="Z156" s="690"/>
      <c r="AA156" s="690"/>
    </row>
    <row r="157" spans="1:27" ht="31.5">
      <c r="A157" s="563">
        <v>59</v>
      </c>
      <c r="B157" s="568">
        <v>7000026863</v>
      </c>
      <c r="C157" s="568">
        <v>700</v>
      </c>
      <c r="D157" s="568">
        <v>290</v>
      </c>
      <c r="E157" s="568">
        <v>30</v>
      </c>
      <c r="F157" s="568" t="s">
        <v>715</v>
      </c>
      <c r="G157" s="568">
        <v>170004701</v>
      </c>
      <c r="H157" s="568">
        <v>998734</v>
      </c>
      <c r="I157" s="431"/>
      <c r="J157" s="426">
        <v>18</v>
      </c>
      <c r="K157" s="430"/>
      <c r="L157" s="425" t="s">
        <v>807</v>
      </c>
      <c r="M157" s="425" t="s">
        <v>470</v>
      </c>
      <c r="N157" s="425">
        <v>1</v>
      </c>
      <c r="O157" s="427"/>
      <c r="P157" s="429" t="str">
        <f t="shared" si="42"/>
        <v>INCLUDED</v>
      </c>
      <c r="Q157" s="655">
        <f t="shared" si="43"/>
        <v>0</v>
      </c>
      <c r="R157" s="686">
        <f t="shared" si="52"/>
        <v>0</v>
      </c>
      <c r="S157" s="687">
        <f>Discount!$J$36</f>
        <v>0</v>
      </c>
      <c r="T157" s="686">
        <f t="shared" si="53"/>
        <v>0</v>
      </c>
      <c r="U157" s="688">
        <f t="shared" si="50"/>
        <v>0</v>
      </c>
      <c r="V157" s="689">
        <f t="shared" si="51"/>
        <v>0</v>
      </c>
      <c r="W157" s="690"/>
      <c r="X157" s="690"/>
      <c r="Y157" s="690"/>
      <c r="Z157" s="690"/>
      <c r="AA157" s="690"/>
    </row>
    <row r="158" spans="1:27" ht="31.5">
      <c r="A158" s="563">
        <v>60</v>
      </c>
      <c r="B158" s="568">
        <v>7000026863</v>
      </c>
      <c r="C158" s="568">
        <v>700</v>
      </c>
      <c r="D158" s="568">
        <v>290</v>
      </c>
      <c r="E158" s="568">
        <v>40</v>
      </c>
      <c r="F158" s="568" t="s">
        <v>715</v>
      </c>
      <c r="G158" s="568">
        <v>170004700</v>
      </c>
      <c r="H158" s="568">
        <v>998734</v>
      </c>
      <c r="I158" s="431"/>
      <c r="J158" s="426">
        <v>18</v>
      </c>
      <c r="K158" s="430"/>
      <c r="L158" s="425" t="s">
        <v>808</v>
      </c>
      <c r="M158" s="425" t="s">
        <v>470</v>
      </c>
      <c r="N158" s="425">
        <v>1</v>
      </c>
      <c r="O158" s="427"/>
      <c r="P158" s="429" t="str">
        <f t="shared" si="42"/>
        <v>INCLUDED</v>
      </c>
      <c r="Q158" s="655">
        <f t="shared" si="43"/>
        <v>0</v>
      </c>
      <c r="R158" s="686">
        <f t="shared" si="52"/>
        <v>0</v>
      </c>
      <c r="S158" s="687">
        <f>Discount!$J$36</f>
        <v>0</v>
      </c>
      <c r="T158" s="686">
        <f t="shared" si="53"/>
        <v>0</v>
      </c>
      <c r="U158" s="688">
        <f t="shared" si="50"/>
        <v>0</v>
      </c>
      <c r="V158" s="689">
        <f t="shared" si="51"/>
        <v>0</v>
      </c>
      <c r="W158" s="690"/>
      <c r="X158" s="690"/>
      <c r="Y158" s="690"/>
      <c r="Z158" s="690"/>
      <c r="AA158" s="690"/>
    </row>
    <row r="159" spans="1:27" ht="31.5">
      <c r="A159" s="563">
        <v>61</v>
      </c>
      <c r="B159" s="568">
        <v>7000026863</v>
      </c>
      <c r="C159" s="568">
        <v>700</v>
      </c>
      <c r="D159" s="568">
        <v>290</v>
      </c>
      <c r="E159" s="568">
        <v>50</v>
      </c>
      <c r="F159" s="568" t="s">
        <v>715</v>
      </c>
      <c r="G159" s="568">
        <v>170000504</v>
      </c>
      <c r="H159" s="568">
        <v>998713</v>
      </c>
      <c r="I159" s="431"/>
      <c r="J159" s="426">
        <v>18</v>
      </c>
      <c r="K159" s="430"/>
      <c r="L159" s="425" t="s">
        <v>809</v>
      </c>
      <c r="M159" s="425" t="s">
        <v>505</v>
      </c>
      <c r="N159" s="425">
        <v>1</v>
      </c>
      <c r="O159" s="427"/>
      <c r="P159" s="429" t="str">
        <f t="shared" si="42"/>
        <v>INCLUDED</v>
      </c>
      <c r="Q159" s="655">
        <f t="shared" si="43"/>
        <v>0</v>
      </c>
      <c r="R159" s="686">
        <f t="shared" si="52"/>
        <v>0</v>
      </c>
      <c r="S159" s="687">
        <f>Discount!$J$36</f>
        <v>0</v>
      </c>
      <c r="T159" s="686">
        <f t="shared" si="53"/>
        <v>0</v>
      </c>
      <c r="U159" s="688">
        <f t="shared" si="50"/>
        <v>0</v>
      </c>
      <c r="V159" s="689">
        <f t="shared" si="51"/>
        <v>0</v>
      </c>
      <c r="W159" s="690"/>
      <c r="X159" s="690"/>
      <c r="Y159" s="690"/>
      <c r="Z159" s="690"/>
      <c r="AA159" s="690"/>
    </row>
    <row r="160" spans="1:27" ht="31.5">
      <c r="A160" s="563">
        <v>62</v>
      </c>
      <c r="B160" s="568">
        <v>7000026863</v>
      </c>
      <c r="C160" s="568">
        <v>700</v>
      </c>
      <c r="D160" s="568">
        <v>290</v>
      </c>
      <c r="E160" s="568">
        <v>60</v>
      </c>
      <c r="F160" s="568" t="s">
        <v>715</v>
      </c>
      <c r="G160" s="568">
        <v>170003449</v>
      </c>
      <c r="H160" s="568">
        <v>998316</v>
      </c>
      <c r="I160" s="431"/>
      <c r="J160" s="426">
        <v>18</v>
      </c>
      <c r="K160" s="430"/>
      <c r="L160" s="425" t="s">
        <v>810</v>
      </c>
      <c r="M160" s="425" t="s">
        <v>470</v>
      </c>
      <c r="N160" s="425">
        <v>2</v>
      </c>
      <c r="O160" s="427"/>
      <c r="P160" s="429" t="str">
        <f t="shared" si="42"/>
        <v>INCLUDED</v>
      </c>
      <c r="Q160" s="655">
        <f t="shared" si="43"/>
        <v>0</v>
      </c>
      <c r="R160" s="686">
        <f t="shared" si="52"/>
        <v>0</v>
      </c>
      <c r="S160" s="687">
        <f>Discount!$J$36</f>
        <v>0</v>
      </c>
      <c r="T160" s="686">
        <f t="shared" si="53"/>
        <v>0</v>
      </c>
      <c r="U160" s="688">
        <f t="shared" si="50"/>
        <v>0</v>
      </c>
      <c r="V160" s="689">
        <f t="shared" si="51"/>
        <v>0</v>
      </c>
      <c r="W160" s="690"/>
      <c r="X160" s="690"/>
      <c r="Y160" s="690"/>
      <c r="Z160" s="690"/>
      <c r="AA160" s="690"/>
    </row>
    <row r="161" spans="1:31" ht="31.5">
      <c r="A161" s="563">
        <v>63</v>
      </c>
      <c r="B161" s="568">
        <v>7000026863</v>
      </c>
      <c r="C161" s="568">
        <v>700</v>
      </c>
      <c r="D161" s="568">
        <v>290</v>
      </c>
      <c r="E161" s="568">
        <v>70</v>
      </c>
      <c r="F161" s="568" t="s">
        <v>715</v>
      </c>
      <c r="G161" s="568">
        <v>170000501</v>
      </c>
      <c r="H161" s="568">
        <v>998734</v>
      </c>
      <c r="I161" s="431"/>
      <c r="J161" s="426">
        <v>18</v>
      </c>
      <c r="K161" s="430"/>
      <c r="L161" s="425" t="s">
        <v>811</v>
      </c>
      <c r="M161" s="425" t="s">
        <v>505</v>
      </c>
      <c r="N161" s="425">
        <v>1</v>
      </c>
      <c r="O161" s="427"/>
      <c r="P161" s="429" t="str">
        <f t="shared" si="42"/>
        <v>INCLUDED</v>
      </c>
      <c r="Q161" s="655">
        <f t="shared" si="43"/>
        <v>0</v>
      </c>
      <c r="R161" s="686">
        <f t="shared" si="52"/>
        <v>0</v>
      </c>
      <c r="S161" s="687">
        <f>Discount!$J$36</f>
        <v>0</v>
      </c>
      <c r="T161" s="686">
        <f t="shared" si="53"/>
        <v>0</v>
      </c>
      <c r="U161" s="688">
        <f t="shared" si="50"/>
        <v>0</v>
      </c>
      <c r="V161" s="689">
        <f t="shared" si="51"/>
        <v>0</v>
      </c>
      <c r="W161" s="690"/>
      <c r="X161" s="690"/>
      <c r="Y161" s="690"/>
      <c r="Z161" s="690"/>
      <c r="AA161" s="690"/>
    </row>
    <row r="162" spans="1:31">
      <c r="A162" s="563">
        <v>64</v>
      </c>
      <c r="B162" s="568">
        <v>7000026863</v>
      </c>
      <c r="C162" s="568">
        <v>710</v>
      </c>
      <c r="D162" s="568">
        <v>300</v>
      </c>
      <c r="E162" s="568">
        <v>10</v>
      </c>
      <c r="F162" s="568" t="s">
        <v>576</v>
      </c>
      <c r="G162" s="568">
        <v>100002181</v>
      </c>
      <c r="H162" s="568">
        <v>998736</v>
      </c>
      <c r="I162" s="431"/>
      <c r="J162" s="426">
        <v>18</v>
      </c>
      <c r="K162" s="430"/>
      <c r="L162" s="425" t="s">
        <v>781</v>
      </c>
      <c r="M162" s="425" t="s">
        <v>506</v>
      </c>
      <c r="N162" s="425">
        <v>1</v>
      </c>
      <c r="O162" s="427"/>
      <c r="P162" s="429" t="str">
        <f t="shared" si="42"/>
        <v>INCLUDED</v>
      </c>
      <c r="Q162" s="655">
        <f t="shared" si="43"/>
        <v>0</v>
      </c>
      <c r="R162" s="686">
        <f t="shared" si="52"/>
        <v>0</v>
      </c>
      <c r="S162" s="687">
        <f>Discount!$J$36</f>
        <v>0</v>
      </c>
      <c r="T162" s="686">
        <f t="shared" si="53"/>
        <v>0</v>
      </c>
      <c r="U162" s="688">
        <f t="shared" si="50"/>
        <v>0</v>
      </c>
      <c r="V162" s="689">
        <f t="shared" si="51"/>
        <v>0</v>
      </c>
      <c r="W162" s="690"/>
      <c r="X162" s="690"/>
      <c r="Y162" s="690"/>
      <c r="Z162" s="690"/>
      <c r="AA162" s="690"/>
    </row>
    <row r="163" spans="1:31">
      <c r="A163" s="563">
        <v>65</v>
      </c>
      <c r="B163" s="568">
        <v>7000026863</v>
      </c>
      <c r="C163" s="568">
        <v>710</v>
      </c>
      <c r="D163" s="568">
        <v>300</v>
      </c>
      <c r="E163" s="568">
        <v>20</v>
      </c>
      <c r="F163" s="568" t="s">
        <v>576</v>
      </c>
      <c r="G163" s="568">
        <v>100002182</v>
      </c>
      <c r="H163" s="568">
        <v>998736</v>
      </c>
      <c r="I163" s="431"/>
      <c r="J163" s="426">
        <v>18</v>
      </c>
      <c r="K163" s="430"/>
      <c r="L163" s="425" t="s">
        <v>782</v>
      </c>
      <c r="M163" s="425" t="s">
        <v>506</v>
      </c>
      <c r="N163" s="425">
        <v>1</v>
      </c>
      <c r="O163" s="427"/>
      <c r="P163" s="429" t="str">
        <f t="shared" si="42"/>
        <v>INCLUDED</v>
      </c>
      <c r="Q163" s="655">
        <f t="shared" si="43"/>
        <v>0</v>
      </c>
      <c r="R163" s="686">
        <f t="shared" si="52"/>
        <v>0</v>
      </c>
      <c r="S163" s="687">
        <f>Discount!$J$36</f>
        <v>0</v>
      </c>
      <c r="T163" s="686">
        <f t="shared" si="53"/>
        <v>0</v>
      </c>
      <c r="U163" s="688">
        <f t="shared" si="50"/>
        <v>0</v>
      </c>
      <c r="V163" s="689">
        <f t="shared" si="51"/>
        <v>0</v>
      </c>
      <c r="W163" s="690"/>
      <c r="X163" s="690"/>
      <c r="Y163" s="690"/>
      <c r="Z163" s="690"/>
      <c r="AA163" s="690"/>
    </row>
    <row r="164" spans="1:31">
      <c r="A164" s="563">
        <v>66</v>
      </c>
      <c r="B164" s="568">
        <v>7000026863</v>
      </c>
      <c r="C164" s="568">
        <v>710</v>
      </c>
      <c r="D164" s="568">
        <v>300</v>
      </c>
      <c r="E164" s="568">
        <v>30</v>
      </c>
      <c r="F164" s="568" t="s">
        <v>576</v>
      </c>
      <c r="G164" s="568">
        <v>100002180</v>
      </c>
      <c r="H164" s="568">
        <v>998736</v>
      </c>
      <c r="I164" s="431"/>
      <c r="J164" s="426">
        <v>18</v>
      </c>
      <c r="K164" s="430"/>
      <c r="L164" s="425" t="s">
        <v>783</v>
      </c>
      <c r="M164" s="425" t="s">
        <v>506</v>
      </c>
      <c r="N164" s="425">
        <v>1</v>
      </c>
      <c r="O164" s="427"/>
      <c r="P164" s="429" t="str">
        <f t="shared" si="42"/>
        <v>INCLUDED</v>
      </c>
      <c r="Q164" s="655">
        <f t="shared" si="43"/>
        <v>0</v>
      </c>
      <c r="R164" s="686">
        <f t="shared" si="52"/>
        <v>0</v>
      </c>
      <c r="S164" s="687">
        <f>Discount!$J$36</f>
        <v>0</v>
      </c>
      <c r="T164" s="686">
        <f t="shared" si="53"/>
        <v>0</v>
      </c>
      <c r="U164" s="688">
        <f t="shared" si="50"/>
        <v>0</v>
      </c>
      <c r="V164" s="689">
        <f t="shared" si="51"/>
        <v>0</v>
      </c>
      <c r="W164" s="690"/>
      <c r="X164" s="690"/>
      <c r="Y164" s="690"/>
      <c r="Z164" s="690"/>
      <c r="AA164" s="690"/>
    </row>
    <row r="165" spans="1:31" s="683" customFormat="1" ht="34.5" customHeight="1">
      <c r="A165" s="684" t="s">
        <v>560</v>
      </c>
      <c r="B165" s="605" t="str">
        <f>'Sch-1'!B17</f>
        <v>Extension of 400kV Parli (New) S/s</v>
      </c>
      <c r="C165" s="606"/>
      <c r="D165" s="606"/>
      <c r="E165" s="606"/>
      <c r="F165" s="607"/>
      <c r="G165" s="685"/>
      <c r="H165" s="685"/>
      <c r="I165" s="685"/>
      <c r="J165" s="685"/>
      <c r="K165" s="685"/>
      <c r="L165" s="685"/>
      <c r="M165" s="685"/>
      <c r="N165" s="685"/>
      <c r="O165" s="685"/>
      <c r="P165" s="685"/>
      <c r="Q165" s="680"/>
      <c r="V165" s="680"/>
      <c r="W165" s="680"/>
      <c r="X165" s="680"/>
      <c r="Y165" s="680"/>
      <c r="Z165" s="680"/>
      <c r="AA165" s="680"/>
      <c r="AB165" s="680"/>
      <c r="AC165" s="680"/>
      <c r="AD165" s="680"/>
      <c r="AE165" s="680"/>
    </row>
    <row r="166" spans="1:31" ht="31.5">
      <c r="A166" s="563">
        <v>1</v>
      </c>
      <c r="B166" s="568">
        <v>7000026766</v>
      </c>
      <c r="C166" s="568">
        <v>100</v>
      </c>
      <c r="D166" s="568">
        <v>20</v>
      </c>
      <c r="E166" s="568">
        <v>10</v>
      </c>
      <c r="F166" s="568" t="s">
        <v>565</v>
      </c>
      <c r="G166" s="568">
        <v>100000287</v>
      </c>
      <c r="H166" s="568">
        <v>998736</v>
      </c>
      <c r="I166" s="431"/>
      <c r="J166" s="426">
        <v>18</v>
      </c>
      <c r="K166" s="430"/>
      <c r="L166" s="425" t="s">
        <v>475</v>
      </c>
      <c r="M166" s="425" t="s">
        <v>470</v>
      </c>
      <c r="N166" s="425">
        <v>6</v>
      </c>
      <c r="O166" s="427"/>
      <c r="P166" s="429" t="str">
        <f t="shared" si="42"/>
        <v>INCLUDED</v>
      </c>
      <c r="Q166" s="655">
        <f t="shared" si="43"/>
        <v>0</v>
      </c>
      <c r="R166" s="686">
        <f t="shared" si="52"/>
        <v>0</v>
      </c>
      <c r="S166" s="687">
        <f>Discount!$J$36</f>
        <v>0</v>
      </c>
      <c r="T166" s="686">
        <f t="shared" si="53"/>
        <v>0</v>
      </c>
      <c r="U166" s="688">
        <f t="shared" si="50"/>
        <v>0</v>
      </c>
      <c r="V166" s="689">
        <f t="shared" si="51"/>
        <v>0</v>
      </c>
      <c r="W166" s="690"/>
      <c r="X166" s="690"/>
      <c r="Y166" s="690"/>
      <c r="Z166" s="690"/>
      <c r="AA166" s="690"/>
    </row>
    <row r="167" spans="1:31" ht="31.5">
      <c r="A167" s="563">
        <v>2</v>
      </c>
      <c r="B167" s="568">
        <v>7000026766</v>
      </c>
      <c r="C167" s="568">
        <v>100</v>
      </c>
      <c r="D167" s="568">
        <v>20</v>
      </c>
      <c r="E167" s="568">
        <v>20</v>
      </c>
      <c r="F167" s="568" t="s">
        <v>565</v>
      </c>
      <c r="G167" s="568">
        <v>100000274</v>
      </c>
      <c r="H167" s="568">
        <v>998736</v>
      </c>
      <c r="I167" s="431"/>
      <c r="J167" s="426">
        <v>18</v>
      </c>
      <c r="K167" s="430"/>
      <c r="L167" s="425" t="s">
        <v>474</v>
      </c>
      <c r="M167" s="425" t="s">
        <v>470</v>
      </c>
      <c r="N167" s="425">
        <v>6</v>
      </c>
      <c r="O167" s="427"/>
      <c r="P167" s="429" t="str">
        <f t="shared" si="42"/>
        <v>INCLUDED</v>
      </c>
      <c r="Q167" s="655">
        <f t="shared" si="43"/>
        <v>0</v>
      </c>
      <c r="R167" s="686">
        <f t="shared" si="52"/>
        <v>0</v>
      </c>
      <c r="S167" s="687">
        <f>Discount!$J$36</f>
        <v>0</v>
      </c>
      <c r="T167" s="686">
        <f t="shared" si="53"/>
        <v>0</v>
      </c>
      <c r="U167" s="688">
        <f t="shared" si="50"/>
        <v>0</v>
      </c>
      <c r="V167" s="689">
        <f t="shared" si="51"/>
        <v>0</v>
      </c>
      <c r="W167" s="690"/>
      <c r="X167" s="690"/>
      <c r="Y167" s="690"/>
      <c r="Z167" s="690"/>
      <c r="AA167" s="690"/>
    </row>
    <row r="168" spans="1:31" ht="31.5">
      <c r="A168" s="563">
        <v>3</v>
      </c>
      <c r="B168" s="568">
        <v>7000026766</v>
      </c>
      <c r="C168" s="568">
        <v>100</v>
      </c>
      <c r="D168" s="568">
        <v>20</v>
      </c>
      <c r="E168" s="568">
        <v>30</v>
      </c>
      <c r="F168" s="568" t="s">
        <v>565</v>
      </c>
      <c r="G168" s="568">
        <v>100000275</v>
      </c>
      <c r="H168" s="568">
        <v>998736</v>
      </c>
      <c r="I168" s="431"/>
      <c r="J168" s="426">
        <v>18</v>
      </c>
      <c r="K168" s="430"/>
      <c r="L168" s="425" t="s">
        <v>476</v>
      </c>
      <c r="M168" s="425" t="s">
        <v>470</v>
      </c>
      <c r="N168" s="425">
        <v>3</v>
      </c>
      <c r="O168" s="427"/>
      <c r="P168" s="429" t="str">
        <f t="shared" si="42"/>
        <v>INCLUDED</v>
      </c>
      <c r="Q168" s="655">
        <f t="shared" si="43"/>
        <v>0</v>
      </c>
      <c r="R168" s="686">
        <f t="shared" si="52"/>
        <v>0</v>
      </c>
      <c r="S168" s="687">
        <f>Discount!$J$36</f>
        <v>0</v>
      </c>
      <c r="T168" s="686">
        <f t="shared" si="53"/>
        <v>0</v>
      </c>
      <c r="U168" s="688">
        <f t="shared" si="50"/>
        <v>0</v>
      </c>
      <c r="V168" s="689">
        <f t="shared" si="51"/>
        <v>0</v>
      </c>
      <c r="W168" s="690"/>
      <c r="X168" s="690"/>
      <c r="Y168" s="690"/>
      <c r="Z168" s="690"/>
      <c r="AA168" s="690"/>
    </row>
    <row r="169" spans="1:31" ht="31.5">
      <c r="A169" s="563">
        <v>4</v>
      </c>
      <c r="B169" s="568">
        <v>7000026766</v>
      </c>
      <c r="C169" s="568">
        <v>100</v>
      </c>
      <c r="D169" s="568">
        <v>20</v>
      </c>
      <c r="E169" s="568">
        <v>40</v>
      </c>
      <c r="F169" s="568" t="s">
        <v>565</v>
      </c>
      <c r="G169" s="568">
        <v>100000340</v>
      </c>
      <c r="H169" s="568">
        <v>998736</v>
      </c>
      <c r="I169" s="431"/>
      <c r="J169" s="426">
        <v>18</v>
      </c>
      <c r="K169" s="430"/>
      <c r="L169" s="425" t="s">
        <v>721</v>
      </c>
      <c r="M169" s="425" t="s">
        <v>470</v>
      </c>
      <c r="N169" s="425">
        <v>12</v>
      </c>
      <c r="O169" s="427"/>
      <c r="P169" s="429" t="str">
        <f t="shared" si="42"/>
        <v>INCLUDED</v>
      </c>
      <c r="Q169" s="655">
        <f t="shared" si="43"/>
        <v>0</v>
      </c>
      <c r="R169" s="686">
        <f t="shared" si="52"/>
        <v>0</v>
      </c>
      <c r="S169" s="687">
        <f>Discount!$J$36</f>
        <v>0</v>
      </c>
      <c r="T169" s="686">
        <f t="shared" si="53"/>
        <v>0</v>
      </c>
      <c r="U169" s="688">
        <f t="shared" si="50"/>
        <v>0</v>
      </c>
      <c r="V169" s="689">
        <f t="shared" si="51"/>
        <v>0</v>
      </c>
      <c r="W169" s="690"/>
      <c r="X169" s="690"/>
      <c r="Y169" s="690"/>
      <c r="Z169" s="690"/>
      <c r="AA169" s="690"/>
    </row>
    <row r="170" spans="1:31" ht="31.5">
      <c r="A170" s="563">
        <v>5</v>
      </c>
      <c r="B170" s="568">
        <v>7000026766</v>
      </c>
      <c r="C170" s="568">
        <v>100</v>
      </c>
      <c r="D170" s="568">
        <v>20</v>
      </c>
      <c r="E170" s="568">
        <v>50</v>
      </c>
      <c r="F170" s="568" t="s">
        <v>565</v>
      </c>
      <c r="G170" s="568">
        <v>100002042</v>
      </c>
      <c r="H170" s="568">
        <v>998734</v>
      </c>
      <c r="I170" s="431"/>
      <c r="J170" s="426">
        <v>18</v>
      </c>
      <c r="K170" s="430"/>
      <c r="L170" s="425" t="s">
        <v>489</v>
      </c>
      <c r="M170" s="425" t="s">
        <v>470</v>
      </c>
      <c r="N170" s="425">
        <v>2</v>
      </c>
      <c r="O170" s="427"/>
      <c r="P170" s="429" t="str">
        <f t="shared" si="42"/>
        <v>INCLUDED</v>
      </c>
      <c r="Q170" s="655">
        <f t="shared" si="43"/>
        <v>0</v>
      </c>
      <c r="R170" s="686">
        <f t="shared" si="52"/>
        <v>0</v>
      </c>
      <c r="S170" s="687">
        <f>Discount!$J$36</f>
        <v>0</v>
      </c>
      <c r="T170" s="686">
        <f t="shared" si="53"/>
        <v>0</v>
      </c>
      <c r="U170" s="688">
        <f t="shared" si="50"/>
        <v>0</v>
      </c>
      <c r="V170" s="689">
        <f t="shared" si="51"/>
        <v>0</v>
      </c>
      <c r="W170" s="690"/>
      <c r="X170" s="690"/>
      <c r="Y170" s="690"/>
      <c r="Z170" s="690"/>
      <c r="AA170" s="690"/>
    </row>
    <row r="171" spans="1:31" ht="31.5">
      <c r="A171" s="563">
        <v>6</v>
      </c>
      <c r="B171" s="568">
        <v>7000026766</v>
      </c>
      <c r="C171" s="568">
        <v>100</v>
      </c>
      <c r="D171" s="568">
        <v>20</v>
      </c>
      <c r="E171" s="568">
        <v>60</v>
      </c>
      <c r="F171" s="568" t="s">
        <v>565</v>
      </c>
      <c r="G171" s="568">
        <v>100000883</v>
      </c>
      <c r="H171" s="568">
        <v>998734</v>
      </c>
      <c r="I171" s="431"/>
      <c r="J171" s="426">
        <v>18</v>
      </c>
      <c r="K171" s="430"/>
      <c r="L171" s="425" t="s">
        <v>490</v>
      </c>
      <c r="M171" s="425" t="s">
        <v>470</v>
      </c>
      <c r="N171" s="425">
        <v>12</v>
      </c>
      <c r="O171" s="427"/>
      <c r="P171" s="429" t="str">
        <f t="shared" si="42"/>
        <v>INCLUDED</v>
      </c>
      <c r="Q171" s="655">
        <f t="shared" si="43"/>
        <v>0</v>
      </c>
      <c r="R171" s="686">
        <f t="shared" si="52"/>
        <v>0</v>
      </c>
      <c r="S171" s="687">
        <f>Discount!$J$36</f>
        <v>0</v>
      </c>
      <c r="T171" s="686">
        <f t="shared" si="53"/>
        <v>0</v>
      </c>
      <c r="U171" s="688">
        <f t="shared" si="50"/>
        <v>0</v>
      </c>
      <c r="V171" s="689">
        <f t="shared" si="51"/>
        <v>0</v>
      </c>
      <c r="W171" s="690"/>
      <c r="X171" s="690"/>
      <c r="Y171" s="690"/>
      <c r="Z171" s="690"/>
      <c r="AA171" s="690"/>
    </row>
    <row r="172" spans="1:31" ht="31.5">
      <c r="A172" s="563">
        <v>7</v>
      </c>
      <c r="B172" s="568">
        <v>7000026766</v>
      </c>
      <c r="C172" s="568">
        <v>100</v>
      </c>
      <c r="D172" s="568">
        <v>20</v>
      </c>
      <c r="E172" s="568">
        <v>70</v>
      </c>
      <c r="F172" s="568" t="s">
        <v>565</v>
      </c>
      <c r="G172" s="568">
        <v>100000328</v>
      </c>
      <c r="H172" s="568">
        <v>998736</v>
      </c>
      <c r="I172" s="431"/>
      <c r="J172" s="426">
        <v>18</v>
      </c>
      <c r="K172" s="430"/>
      <c r="L172" s="425" t="s">
        <v>477</v>
      </c>
      <c r="M172" s="425" t="s">
        <v>470</v>
      </c>
      <c r="N172" s="425">
        <v>3</v>
      </c>
      <c r="O172" s="427"/>
      <c r="P172" s="429" t="str">
        <f t="shared" si="42"/>
        <v>INCLUDED</v>
      </c>
      <c r="Q172" s="655">
        <f t="shared" si="43"/>
        <v>0</v>
      </c>
      <c r="R172" s="686">
        <f t="shared" si="52"/>
        <v>0</v>
      </c>
      <c r="S172" s="687">
        <f>Discount!$J$36</f>
        <v>0</v>
      </c>
      <c r="T172" s="686">
        <f t="shared" si="53"/>
        <v>0</v>
      </c>
      <c r="U172" s="688">
        <f t="shared" si="50"/>
        <v>0</v>
      </c>
      <c r="V172" s="689">
        <f t="shared" si="51"/>
        <v>0</v>
      </c>
      <c r="W172" s="690"/>
      <c r="X172" s="690"/>
      <c r="Y172" s="690"/>
      <c r="Z172" s="690"/>
      <c r="AA172" s="690"/>
    </row>
    <row r="173" spans="1:31" ht="31.5">
      <c r="A173" s="563">
        <v>8</v>
      </c>
      <c r="B173" s="568">
        <v>7000026766</v>
      </c>
      <c r="C173" s="568">
        <v>100</v>
      </c>
      <c r="D173" s="568">
        <v>20</v>
      </c>
      <c r="E173" s="568">
        <v>80</v>
      </c>
      <c r="F173" s="568" t="s">
        <v>565</v>
      </c>
      <c r="G173" s="568">
        <v>100000266</v>
      </c>
      <c r="H173" s="568">
        <v>998736</v>
      </c>
      <c r="I173" s="431"/>
      <c r="J173" s="426">
        <v>18</v>
      </c>
      <c r="K173" s="430"/>
      <c r="L173" s="425" t="s">
        <v>812</v>
      </c>
      <c r="M173" s="425" t="s">
        <v>470</v>
      </c>
      <c r="N173" s="425">
        <v>1</v>
      </c>
      <c r="O173" s="427"/>
      <c r="P173" s="429" t="str">
        <f t="shared" si="42"/>
        <v>INCLUDED</v>
      </c>
      <c r="Q173" s="655">
        <f t="shared" si="43"/>
        <v>0</v>
      </c>
      <c r="R173" s="686">
        <f t="shared" si="52"/>
        <v>0</v>
      </c>
      <c r="S173" s="687">
        <f>Discount!$J$36</f>
        <v>0</v>
      </c>
      <c r="T173" s="686">
        <f t="shared" si="53"/>
        <v>0</v>
      </c>
      <c r="U173" s="688">
        <f t="shared" si="50"/>
        <v>0</v>
      </c>
      <c r="V173" s="689">
        <f t="shared" si="51"/>
        <v>0</v>
      </c>
      <c r="W173" s="690"/>
      <c r="X173" s="690"/>
      <c r="Y173" s="690"/>
      <c r="Z173" s="690"/>
      <c r="AA173" s="690"/>
    </row>
    <row r="174" spans="1:31" ht="31.5">
      <c r="A174" s="563">
        <v>9</v>
      </c>
      <c r="B174" s="568">
        <v>7000026766</v>
      </c>
      <c r="C174" s="568">
        <v>100</v>
      </c>
      <c r="D174" s="568">
        <v>20</v>
      </c>
      <c r="E174" s="568">
        <v>90</v>
      </c>
      <c r="F174" s="568" t="s">
        <v>565</v>
      </c>
      <c r="G174" s="568">
        <v>100000267</v>
      </c>
      <c r="H174" s="568">
        <v>998736</v>
      </c>
      <c r="I174" s="431"/>
      <c r="J174" s="426">
        <v>18</v>
      </c>
      <c r="K174" s="430"/>
      <c r="L174" s="425" t="s">
        <v>720</v>
      </c>
      <c r="M174" s="425" t="s">
        <v>470</v>
      </c>
      <c r="N174" s="425">
        <v>1</v>
      </c>
      <c r="O174" s="427"/>
      <c r="P174" s="429" t="str">
        <f t="shared" si="42"/>
        <v>INCLUDED</v>
      </c>
      <c r="Q174" s="655">
        <f t="shared" si="43"/>
        <v>0</v>
      </c>
      <c r="R174" s="686">
        <f t="shared" si="52"/>
        <v>0</v>
      </c>
      <c r="S174" s="687">
        <f>Discount!$J$36</f>
        <v>0</v>
      </c>
      <c r="T174" s="686">
        <f t="shared" si="53"/>
        <v>0</v>
      </c>
      <c r="U174" s="688">
        <f t="shared" si="50"/>
        <v>0</v>
      </c>
      <c r="V174" s="689">
        <f t="shared" si="51"/>
        <v>0</v>
      </c>
      <c r="W174" s="690"/>
      <c r="X174" s="690"/>
      <c r="Y174" s="690"/>
      <c r="Z174" s="690"/>
      <c r="AA174" s="690"/>
    </row>
    <row r="175" spans="1:31" ht="31.5">
      <c r="A175" s="563">
        <v>10</v>
      </c>
      <c r="B175" s="568">
        <v>7000026766</v>
      </c>
      <c r="C175" s="568">
        <v>170</v>
      </c>
      <c r="D175" s="568">
        <v>40</v>
      </c>
      <c r="E175" s="568">
        <v>10</v>
      </c>
      <c r="F175" s="568" t="s">
        <v>566</v>
      </c>
      <c r="G175" s="568">
        <v>100000337</v>
      </c>
      <c r="H175" s="568">
        <v>998731</v>
      </c>
      <c r="I175" s="431"/>
      <c r="J175" s="426">
        <v>18</v>
      </c>
      <c r="K175" s="430"/>
      <c r="L175" s="425" t="s">
        <v>813</v>
      </c>
      <c r="M175" s="425" t="s">
        <v>471</v>
      </c>
      <c r="N175" s="425">
        <v>1</v>
      </c>
      <c r="O175" s="427"/>
      <c r="P175" s="429" t="str">
        <f t="shared" si="42"/>
        <v>INCLUDED</v>
      </c>
      <c r="Q175" s="655">
        <f t="shared" si="43"/>
        <v>0</v>
      </c>
      <c r="R175" s="686">
        <f t="shared" si="52"/>
        <v>0</v>
      </c>
      <c r="S175" s="687">
        <f>Discount!$J$36</f>
        <v>0</v>
      </c>
      <c r="T175" s="686">
        <f t="shared" si="53"/>
        <v>0</v>
      </c>
      <c r="U175" s="688">
        <f t="shared" si="50"/>
        <v>0</v>
      </c>
      <c r="V175" s="689">
        <f t="shared" si="51"/>
        <v>0</v>
      </c>
      <c r="W175" s="690"/>
      <c r="X175" s="690"/>
      <c r="Y175" s="690"/>
      <c r="Z175" s="690"/>
      <c r="AA175" s="690"/>
    </row>
    <row r="176" spans="1:31" ht="31.5">
      <c r="A176" s="563">
        <v>11</v>
      </c>
      <c r="B176" s="568">
        <v>7000026766</v>
      </c>
      <c r="C176" s="568">
        <v>170</v>
      </c>
      <c r="D176" s="568">
        <v>40</v>
      </c>
      <c r="E176" s="568">
        <v>20</v>
      </c>
      <c r="F176" s="568" t="s">
        <v>566</v>
      </c>
      <c r="G176" s="568">
        <v>100000329</v>
      </c>
      <c r="H176" s="568">
        <v>998731</v>
      </c>
      <c r="I176" s="431"/>
      <c r="J176" s="426">
        <v>18</v>
      </c>
      <c r="K176" s="430"/>
      <c r="L176" s="425" t="s">
        <v>787</v>
      </c>
      <c r="M176" s="425" t="s">
        <v>471</v>
      </c>
      <c r="N176" s="425">
        <v>1</v>
      </c>
      <c r="O176" s="427"/>
      <c r="P176" s="429" t="str">
        <f t="shared" si="42"/>
        <v>INCLUDED</v>
      </c>
      <c r="Q176" s="655">
        <f t="shared" si="43"/>
        <v>0</v>
      </c>
      <c r="R176" s="686">
        <f t="shared" si="52"/>
        <v>0</v>
      </c>
      <c r="S176" s="687">
        <f>Discount!$J$36</f>
        <v>0</v>
      </c>
      <c r="T176" s="686">
        <f t="shared" si="53"/>
        <v>0</v>
      </c>
      <c r="U176" s="688">
        <f t="shared" si="50"/>
        <v>0</v>
      </c>
      <c r="V176" s="689">
        <f t="shared" si="51"/>
        <v>0</v>
      </c>
      <c r="W176" s="690"/>
      <c r="X176" s="690"/>
      <c r="Y176" s="690"/>
      <c r="Z176" s="690"/>
      <c r="AA176" s="690"/>
    </row>
    <row r="177" spans="1:27" ht="31.5">
      <c r="A177" s="563">
        <v>12</v>
      </c>
      <c r="B177" s="568">
        <v>7000026766</v>
      </c>
      <c r="C177" s="568">
        <v>170</v>
      </c>
      <c r="D177" s="568">
        <v>40</v>
      </c>
      <c r="E177" s="568">
        <v>30</v>
      </c>
      <c r="F177" s="568" t="s">
        <v>566</v>
      </c>
      <c r="G177" s="568">
        <v>100000335</v>
      </c>
      <c r="H177" s="568">
        <v>998731</v>
      </c>
      <c r="I177" s="431"/>
      <c r="J177" s="426">
        <v>18</v>
      </c>
      <c r="K177" s="430"/>
      <c r="L177" s="425" t="s">
        <v>814</v>
      </c>
      <c r="M177" s="425" t="s">
        <v>471</v>
      </c>
      <c r="N177" s="425">
        <v>1</v>
      </c>
      <c r="O177" s="427"/>
      <c r="P177" s="429" t="str">
        <f t="shared" si="42"/>
        <v>INCLUDED</v>
      </c>
      <c r="Q177" s="655">
        <f t="shared" si="43"/>
        <v>0</v>
      </c>
      <c r="R177" s="686">
        <f t="shared" si="52"/>
        <v>0</v>
      </c>
      <c r="S177" s="687">
        <f>Discount!$J$36</f>
        <v>0</v>
      </c>
      <c r="T177" s="686">
        <f t="shared" si="53"/>
        <v>0</v>
      </c>
      <c r="U177" s="688">
        <f t="shared" si="50"/>
        <v>0</v>
      </c>
      <c r="V177" s="689">
        <f t="shared" si="51"/>
        <v>0</v>
      </c>
      <c r="W177" s="690"/>
      <c r="X177" s="690"/>
      <c r="Y177" s="690"/>
      <c r="Z177" s="690"/>
      <c r="AA177" s="690"/>
    </row>
    <row r="178" spans="1:27" ht="31.5">
      <c r="A178" s="563">
        <v>13</v>
      </c>
      <c r="B178" s="568">
        <v>7000026766</v>
      </c>
      <c r="C178" s="568">
        <v>170</v>
      </c>
      <c r="D178" s="568">
        <v>40</v>
      </c>
      <c r="E178" s="568">
        <v>40</v>
      </c>
      <c r="F178" s="568" t="s">
        <v>566</v>
      </c>
      <c r="G178" s="568">
        <v>100017133</v>
      </c>
      <c r="H178" s="568">
        <v>998731</v>
      </c>
      <c r="I178" s="431"/>
      <c r="J178" s="426">
        <v>18</v>
      </c>
      <c r="K178" s="430"/>
      <c r="L178" s="425" t="s">
        <v>774</v>
      </c>
      <c r="M178" s="425" t="s">
        <v>470</v>
      </c>
      <c r="N178" s="425">
        <v>9</v>
      </c>
      <c r="O178" s="427"/>
      <c r="P178" s="429" t="str">
        <f t="shared" si="42"/>
        <v>INCLUDED</v>
      </c>
      <c r="Q178" s="655">
        <f t="shared" si="43"/>
        <v>0</v>
      </c>
      <c r="R178" s="686">
        <f t="shared" si="52"/>
        <v>0</v>
      </c>
      <c r="S178" s="687">
        <f>Discount!$J$36</f>
        <v>0</v>
      </c>
      <c r="T178" s="686">
        <f t="shared" si="53"/>
        <v>0</v>
      </c>
      <c r="U178" s="688">
        <f t="shared" si="50"/>
        <v>0</v>
      </c>
      <c r="V178" s="689">
        <f t="shared" si="51"/>
        <v>0</v>
      </c>
      <c r="W178" s="690"/>
      <c r="X178" s="690"/>
      <c r="Y178" s="690"/>
      <c r="Z178" s="690"/>
      <c r="AA178" s="690"/>
    </row>
    <row r="179" spans="1:27" ht="31.5">
      <c r="A179" s="563">
        <v>14</v>
      </c>
      <c r="B179" s="568">
        <v>7000026766</v>
      </c>
      <c r="C179" s="568">
        <v>170</v>
      </c>
      <c r="D179" s="568">
        <v>40</v>
      </c>
      <c r="E179" s="568">
        <v>50</v>
      </c>
      <c r="F179" s="568" t="s">
        <v>566</v>
      </c>
      <c r="G179" s="568">
        <v>100017126</v>
      </c>
      <c r="H179" s="568">
        <v>998731</v>
      </c>
      <c r="I179" s="431"/>
      <c r="J179" s="426">
        <v>18</v>
      </c>
      <c r="K179" s="430"/>
      <c r="L179" s="425" t="s">
        <v>773</v>
      </c>
      <c r="M179" s="425" t="s">
        <v>470</v>
      </c>
      <c r="N179" s="425">
        <v>9</v>
      </c>
      <c r="O179" s="427"/>
      <c r="P179" s="429" t="str">
        <f t="shared" si="42"/>
        <v>INCLUDED</v>
      </c>
      <c r="Q179" s="655">
        <f t="shared" si="43"/>
        <v>0</v>
      </c>
      <c r="R179" s="686">
        <f t="shared" si="52"/>
        <v>0</v>
      </c>
      <c r="S179" s="687">
        <f>Discount!$J$36</f>
        <v>0</v>
      </c>
      <c r="T179" s="686">
        <f t="shared" si="53"/>
        <v>0</v>
      </c>
      <c r="U179" s="688">
        <f t="shared" si="50"/>
        <v>0</v>
      </c>
      <c r="V179" s="689">
        <f t="shared" si="51"/>
        <v>0</v>
      </c>
      <c r="W179" s="690"/>
      <c r="X179" s="690"/>
      <c r="Y179" s="690"/>
      <c r="Z179" s="690"/>
      <c r="AA179" s="690"/>
    </row>
    <row r="180" spans="1:27" ht="31.5">
      <c r="A180" s="563">
        <v>15</v>
      </c>
      <c r="B180" s="568">
        <v>7000026766</v>
      </c>
      <c r="C180" s="568">
        <v>170</v>
      </c>
      <c r="D180" s="568">
        <v>40</v>
      </c>
      <c r="E180" s="568">
        <v>60</v>
      </c>
      <c r="F180" s="568" t="s">
        <v>566</v>
      </c>
      <c r="G180" s="568">
        <v>100017127</v>
      </c>
      <c r="H180" s="568">
        <v>998731</v>
      </c>
      <c r="I180" s="431"/>
      <c r="J180" s="426">
        <v>18</v>
      </c>
      <c r="K180" s="430"/>
      <c r="L180" s="425" t="s">
        <v>772</v>
      </c>
      <c r="M180" s="425" t="s">
        <v>470</v>
      </c>
      <c r="N180" s="425">
        <v>6</v>
      </c>
      <c r="O180" s="427"/>
      <c r="P180" s="429" t="str">
        <f t="shared" si="42"/>
        <v>INCLUDED</v>
      </c>
      <c r="Q180" s="655">
        <f t="shared" si="43"/>
        <v>0</v>
      </c>
      <c r="R180" s="686">
        <f t="shared" si="52"/>
        <v>0</v>
      </c>
      <c r="S180" s="687">
        <f>Discount!$J$36</f>
        <v>0</v>
      </c>
      <c r="T180" s="686">
        <f t="shared" si="53"/>
        <v>0</v>
      </c>
      <c r="U180" s="688">
        <f t="shared" si="50"/>
        <v>0</v>
      </c>
      <c r="V180" s="689">
        <f t="shared" si="51"/>
        <v>0</v>
      </c>
      <c r="W180" s="690"/>
      <c r="X180" s="690"/>
      <c r="Y180" s="690"/>
      <c r="Z180" s="690"/>
      <c r="AA180" s="690"/>
    </row>
    <row r="181" spans="1:27" ht="31.5">
      <c r="A181" s="563">
        <v>16</v>
      </c>
      <c r="B181" s="568">
        <v>7000026766</v>
      </c>
      <c r="C181" s="568">
        <v>230</v>
      </c>
      <c r="D181" s="568">
        <v>60</v>
      </c>
      <c r="E181" s="568">
        <v>10</v>
      </c>
      <c r="F181" s="568" t="s">
        <v>567</v>
      </c>
      <c r="G181" s="568">
        <v>100000730</v>
      </c>
      <c r="H181" s="568">
        <v>998736</v>
      </c>
      <c r="I181" s="431"/>
      <c r="J181" s="426">
        <v>18</v>
      </c>
      <c r="K181" s="430"/>
      <c r="L181" s="425" t="s">
        <v>487</v>
      </c>
      <c r="M181" s="425" t="s">
        <v>470</v>
      </c>
      <c r="N181" s="425">
        <v>1</v>
      </c>
      <c r="O181" s="427"/>
      <c r="P181" s="429" t="str">
        <f t="shared" si="42"/>
        <v>INCLUDED</v>
      </c>
      <c r="Q181" s="655">
        <f t="shared" si="43"/>
        <v>0</v>
      </c>
      <c r="R181" s="686">
        <f t="shared" si="52"/>
        <v>0</v>
      </c>
      <c r="S181" s="687">
        <f>Discount!$J$36</f>
        <v>0</v>
      </c>
      <c r="T181" s="686">
        <f t="shared" si="53"/>
        <v>0</v>
      </c>
      <c r="U181" s="688">
        <f t="shared" si="50"/>
        <v>0</v>
      </c>
      <c r="V181" s="689">
        <f t="shared" si="51"/>
        <v>0</v>
      </c>
      <c r="W181" s="690"/>
      <c r="X181" s="690"/>
      <c r="Y181" s="690"/>
      <c r="Z181" s="690"/>
      <c r="AA181" s="690"/>
    </row>
    <row r="182" spans="1:27" ht="31.5">
      <c r="A182" s="563">
        <v>17</v>
      </c>
      <c r="B182" s="568">
        <v>7000026766</v>
      </c>
      <c r="C182" s="568">
        <v>230</v>
      </c>
      <c r="D182" s="568">
        <v>60</v>
      </c>
      <c r="E182" s="568">
        <v>20</v>
      </c>
      <c r="F182" s="568" t="s">
        <v>567</v>
      </c>
      <c r="G182" s="568">
        <v>100016779</v>
      </c>
      <c r="H182" s="568">
        <v>998736</v>
      </c>
      <c r="I182" s="431"/>
      <c r="J182" s="426">
        <v>18</v>
      </c>
      <c r="K182" s="430"/>
      <c r="L182" s="425" t="s">
        <v>763</v>
      </c>
      <c r="M182" s="425" t="s">
        <v>470</v>
      </c>
      <c r="N182" s="425">
        <v>2</v>
      </c>
      <c r="O182" s="427"/>
      <c r="P182" s="429" t="str">
        <f t="shared" si="42"/>
        <v>INCLUDED</v>
      </c>
      <c r="Q182" s="655">
        <f t="shared" si="43"/>
        <v>0</v>
      </c>
      <c r="R182" s="686">
        <f t="shared" si="52"/>
        <v>0</v>
      </c>
      <c r="S182" s="687">
        <f>Discount!$J$36</f>
        <v>0</v>
      </c>
      <c r="T182" s="686">
        <f t="shared" si="53"/>
        <v>0</v>
      </c>
      <c r="U182" s="688">
        <f t="shared" si="50"/>
        <v>0</v>
      </c>
      <c r="V182" s="689">
        <f t="shared" si="51"/>
        <v>0</v>
      </c>
      <c r="W182" s="690"/>
      <c r="X182" s="690"/>
      <c r="Y182" s="690"/>
      <c r="Z182" s="690"/>
      <c r="AA182" s="690"/>
    </row>
    <row r="183" spans="1:27" ht="31.5">
      <c r="A183" s="563">
        <v>18</v>
      </c>
      <c r="B183" s="568">
        <v>7000026766</v>
      </c>
      <c r="C183" s="568">
        <v>230</v>
      </c>
      <c r="D183" s="568">
        <v>60</v>
      </c>
      <c r="E183" s="568">
        <v>30</v>
      </c>
      <c r="F183" s="568" t="s">
        <v>567</v>
      </c>
      <c r="G183" s="568">
        <v>100000735</v>
      </c>
      <c r="H183" s="568">
        <v>998736</v>
      </c>
      <c r="I183" s="431"/>
      <c r="J183" s="426">
        <v>18</v>
      </c>
      <c r="K183" s="430"/>
      <c r="L183" s="425" t="s">
        <v>764</v>
      </c>
      <c r="M183" s="425" t="s">
        <v>471</v>
      </c>
      <c r="N183" s="425">
        <v>1</v>
      </c>
      <c r="O183" s="427"/>
      <c r="P183" s="429" t="str">
        <f t="shared" si="42"/>
        <v>INCLUDED</v>
      </c>
      <c r="Q183" s="655">
        <f t="shared" si="43"/>
        <v>0</v>
      </c>
      <c r="R183" s="686">
        <f t="shared" si="52"/>
        <v>0</v>
      </c>
      <c r="S183" s="687">
        <f>Discount!$J$36</f>
        <v>0</v>
      </c>
      <c r="T183" s="686">
        <f t="shared" si="53"/>
        <v>0</v>
      </c>
      <c r="U183" s="688">
        <f t="shared" si="50"/>
        <v>0</v>
      </c>
      <c r="V183" s="689">
        <f t="shared" si="51"/>
        <v>0</v>
      </c>
      <c r="W183" s="690"/>
      <c r="X183" s="690"/>
      <c r="Y183" s="690"/>
      <c r="Z183" s="690"/>
      <c r="AA183" s="690"/>
    </row>
    <row r="184" spans="1:27" ht="31.5">
      <c r="A184" s="563">
        <v>19</v>
      </c>
      <c r="B184" s="568">
        <v>7000026766</v>
      </c>
      <c r="C184" s="568">
        <v>230</v>
      </c>
      <c r="D184" s="568">
        <v>60</v>
      </c>
      <c r="E184" s="568">
        <v>40</v>
      </c>
      <c r="F184" s="568" t="s">
        <v>567</v>
      </c>
      <c r="G184" s="568">
        <v>100038444</v>
      </c>
      <c r="H184" s="568">
        <v>998736</v>
      </c>
      <c r="I184" s="431"/>
      <c r="J184" s="426">
        <v>18</v>
      </c>
      <c r="K184" s="430"/>
      <c r="L184" s="425" t="s">
        <v>788</v>
      </c>
      <c r="M184" s="425" t="s">
        <v>470</v>
      </c>
      <c r="N184" s="425">
        <v>1</v>
      </c>
      <c r="O184" s="427"/>
      <c r="P184" s="429" t="str">
        <f t="shared" si="42"/>
        <v>INCLUDED</v>
      </c>
      <c r="Q184" s="655">
        <f t="shared" si="43"/>
        <v>0</v>
      </c>
      <c r="R184" s="686">
        <f t="shared" si="52"/>
        <v>0</v>
      </c>
      <c r="S184" s="687">
        <f>Discount!$J$36</f>
        <v>0</v>
      </c>
      <c r="T184" s="686">
        <f t="shared" si="53"/>
        <v>0</v>
      </c>
      <c r="U184" s="688">
        <f t="shared" ref="U184:U244" si="54">IF(K184="",J184*T184/100,K184*T184)</f>
        <v>0</v>
      </c>
      <c r="V184" s="689">
        <f t="shared" ref="V184:V244" si="55">O184*N184</f>
        <v>0</v>
      </c>
      <c r="W184" s="690"/>
      <c r="X184" s="690"/>
      <c r="Y184" s="690"/>
      <c r="Z184" s="690"/>
      <c r="AA184" s="690"/>
    </row>
    <row r="185" spans="1:27" ht="31.5">
      <c r="A185" s="563">
        <v>20</v>
      </c>
      <c r="B185" s="568">
        <v>7000026766</v>
      </c>
      <c r="C185" s="568">
        <v>230</v>
      </c>
      <c r="D185" s="568">
        <v>60</v>
      </c>
      <c r="E185" s="568">
        <v>50</v>
      </c>
      <c r="F185" s="568" t="s">
        <v>567</v>
      </c>
      <c r="G185" s="568">
        <v>100038446</v>
      </c>
      <c r="H185" s="568">
        <v>998736</v>
      </c>
      <c r="I185" s="431"/>
      <c r="J185" s="426">
        <v>18</v>
      </c>
      <c r="K185" s="430"/>
      <c r="L185" s="425" t="s">
        <v>815</v>
      </c>
      <c r="M185" s="425" t="s">
        <v>470</v>
      </c>
      <c r="N185" s="425">
        <v>1</v>
      </c>
      <c r="O185" s="427"/>
      <c r="P185" s="429" t="str">
        <f t="shared" si="42"/>
        <v>INCLUDED</v>
      </c>
      <c r="Q185" s="655">
        <f t="shared" si="43"/>
        <v>0</v>
      </c>
      <c r="R185" s="686">
        <f t="shared" si="52"/>
        <v>0</v>
      </c>
      <c r="S185" s="687">
        <f>Discount!$J$36</f>
        <v>0</v>
      </c>
      <c r="T185" s="686">
        <f t="shared" si="53"/>
        <v>0</v>
      </c>
      <c r="U185" s="688">
        <f t="shared" si="54"/>
        <v>0</v>
      </c>
      <c r="V185" s="689">
        <f t="shared" si="55"/>
        <v>0</v>
      </c>
      <c r="W185" s="690"/>
      <c r="X185" s="690"/>
      <c r="Y185" s="690"/>
      <c r="Z185" s="690"/>
      <c r="AA185" s="690"/>
    </row>
    <row r="186" spans="1:27">
      <c r="A186" s="563">
        <v>21</v>
      </c>
      <c r="B186" s="568">
        <v>7000026766</v>
      </c>
      <c r="C186" s="568">
        <v>290</v>
      </c>
      <c r="D186" s="568">
        <v>80</v>
      </c>
      <c r="E186" s="568">
        <v>10</v>
      </c>
      <c r="F186" s="568" t="s">
        <v>542</v>
      </c>
      <c r="G186" s="568">
        <v>100000886</v>
      </c>
      <c r="H186" s="568">
        <v>998734</v>
      </c>
      <c r="I186" s="431"/>
      <c r="J186" s="426">
        <v>18</v>
      </c>
      <c r="K186" s="430"/>
      <c r="L186" s="425" t="s">
        <v>491</v>
      </c>
      <c r="M186" s="425" t="s">
        <v>470</v>
      </c>
      <c r="N186" s="425">
        <v>2</v>
      </c>
      <c r="O186" s="427"/>
      <c r="P186" s="429" t="str">
        <f t="shared" si="42"/>
        <v>INCLUDED</v>
      </c>
      <c r="Q186" s="655">
        <f t="shared" si="43"/>
        <v>0</v>
      </c>
      <c r="R186" s="686">
        <f t="shared" si="52"/>
        <v>0</v>
      </c>
      <c r="S186" s="687">
        <f>Discount!$J$36</f>
        <v>0</v>
      </c>
      <c r="T186" s="686">
        <f t="shared" si="53"/>
        <v>0</v>
      </c>
      <c r="U186" s="688">
        <f t="shared" si="54"/>
        <v>0</v>
      </c>
      <c r="V186" s="689">
        <f t="shared" si="55"/>
        <v>0</v>
      </c>
      <c r="W186" s="690"/>
      <c r="X186" s="690"/>
      <c r="Y186" s="690"/>
      <c r="Z186" s="690"/>
      <c r="AA186" s="690"/>
    </row>
    <row r="187" spans="1:27">
      <c r="A187" s="563">
        <v>22</v>
      </c>
      <c r="B187" s="568">
        <v>7000026766</v>
      </c>
      <c r="C187" s="568">
        <v>290</v>
      </c>
      <c r="D187" s="568">
        <v>80</v>
      </c>
      <c r="E187" s="568">
        <v>20</v>
      </c>
      <c r="F187" s="568" t="s">
        <v>542</v>
      </c>
      <c r="G187" s="568">
        <v>100000888</v>
      </c>
      <c r="H187" s="568">
        <v>998734</v>
      </c>
      <c r="I187" s="431"/>
      <c r="J187" s="426">
        <v>18</v>
      </c>
      <c r="K187" s="430"/>
      <c r="L187" s="425" t="s">
        <v>789</v>
      </c>
      <c r="M187" s="425" t="s">
        <v>470</v>
      </c>
      <c r="N187" s="425">
        <v>2</v>
      </c>
      <c r="O187" s="427"/>
      <c r="P187" s="429" t="str">
        <f t="shared" si="42"/>
        <v>INCLUDED</v>
      </c>
      <c r="Q187" s="655">
        <f t="shared" si="43"/>
        <v>0</v>
      </c>
      <c r="R187" s="686">
        <f t="shared" si="52"/>
        <v>0</v>
      </c>
      <c r="S187" s="687">
        <f>Discount!$J$36</f>
        <v>0</v>
      </c>
      <c r="T187" s="686">
        <f t="shared" si="53"/>
        <v>0</v>
      </c>
      <c r="U187" s="688">
        <f t="shared" si="54"/>
        <v>0</v>
      </c>
      <c r="V187" s="689">
        <f t="shared" si="55"/>
        <v>0</v>
      </c>
      <c r="W187" s="690"/>
      <c r="X187" s="690"/>
      <c r="Y187" s="690"/>
      <c r="Z187" s="690"/>
      <c r="AA187" s="690"/>
    </row>
    <row r="188" spans="1:27">
      <c r="A188" s="563">
        <v>23</v>
      </c>
      <c r="B188" s="568">
        <v>7000026766</v>
      </c>
      <c r="C188" s="568">
        <v>290</v>
      </c>
      <c r="D188" s="568">
        <v>80</v>
      </c>
      <c r="E188" s="568">
        <v>30</v>
      </c>
      <c r="F188" s="568" t="s">
        <v>542</v>
      </c>
      <c r="G188" s="568">
        <v>100000890</v>
      </c>
      <c r="H188" s="568">
        <v>998734</v>
      </c>
      <c r="I188" s="431"/>
      <c r="J188" s="426">
        <v>18</v>
      </c>
      <c r="K188" s="430"/>
      <c r="L188" s="425" t="s">
        <v>790</v>
      </c>
      <c r="M188" s="425" t="s">
        <v>470</v>
      </c>
      <c r="N188" s="425">
        <v>2</v>
      </c>
      <c r="O188" s="427"/>
      <c r="P188" s="429" t="str">
        <f t="shared" si="42"/>
        <v>INCLUDED</v>
      </c>
      <c r="Q188" s="655">
        <f t="shared" si="43"/>
        <v>0</v>
      </c>
      <c r="R188" s="686">
        <f t="shared" si="52"/>
        <v>0</v>
      </c>
      <c r="S188" s="687">
        <f>Discount!$J$36</f>
        <v>0</v>
      </c>
      <c r="T188" s="686">
        <f t="shared" si="53"/>
        <v>0</v>
      </c>
      <c r="U188" s="688">
        <f t="shared" si="54"/>
        <v>0</v>
      </c>
      <c r="V188" s="689">
        <f t="shared" si="55"/>
        <v>0</v>
      </c>
      <c r="W188" s="690"/>
      <c r="X188" s="690"/>
      <c r="Y188" s="690"/>
      <c r="Z188" s="690"/>
      <c r="AA188" s="690"/>
    </row>
    <row r="189" spans="1:27">
      <c r="A189" s="563">
        <v>24</v>
      </c>
      <c r="B189" s="568">
        <v>7000026766</v>
      </c>
      <c r="C189" s="568">
        <v>290</v>
      </c>
      <c r="D189" s="568">
        <v>80</v>
      </c>
      <c r="E189" s="568">
        <v>40</v>
      </c>
      <c r="F189" s="568" t="s">
        <v>542</v>
      </c>
      <c r="G189" s="568">
        <v>100000891</v>
      </c>
      <c r="H189" s="568">
        <v>998734</v>
      </c>
      <c r="I189" s="431"/>
      <c r="J189" s="426">
        <v>18</v>
      </c>
      <c r="K189" s="430"/>
      <c r="L189" s="425" t="s">
        <v>492</v>
      </c>
      <c r="M189" s="425" t="s">
        <v>470</v>
      </c>
      <c r="N189" s="425">
        <v>2</v>
      </c>
      <c r="O189" s="427"/>
      <c r="P189" s="429" t="str">
        <f t="shared" si="42"/>
        <v>INCLUDED</v>
      </c>
      <c r="Q189" s="655">
        <f t="shared" si="43"/>
        <v>0</v>
      </c>
      <c r="R189" s="686">
        <f t="shared" si="52"/>
        <v>0</v>
      </c>
      <c r="S189" s="687">
        <f>Discount!$J$36</f>
        <v>0</v>
      </c>
      <c r="T189" s="686">
        <f t="shared" si="53"/>
        <v>0</v>
      </c>
      <c r="U189" s="688">
        <f t="shared" si="54"/>
        <v>0</v>
      </c>
      <c r="V189" s="689">
        <f t="shared" si="55"/>
        <v>0</v>
      </c>
      <c r="W189" s="690"/>
      <c r="X189" s="690"/>
      <c r="Y189" s="690"/>
      <c r="Z189" s="690"/>
      <c r="AA189" s="690"/>
    </row>
    <row r="190" spans="1:27">
      <c r="A190" s="563">
        <v>25</v>
      </c>
      <c r="B190" s="568">
        <v>7000026766</v>
      </c>
      <c r="C190" s="568">
        <v>290</v>
      </c>
      <c r="D190" s="568">
        <v>80</v>
      </c>
      <c r="E190" s="568">
        <v>50</v>
      </c>
      <c r="F190" s="568" t="s">
        <v>542</v>
      </c>
      <c r="G190" s="568">
        <v>100003517</v>
      </c>
      <c r="H190" s="568">
        <v>998734</v>
      </c>
      <c r="I190" s="431"/>
      <c r="J190" s="426">
        <v>18</v>
      </c>
      <c r="K190" s="430"/>
      <c r="L190" s="425" t="s">
        <v>791</v>
      </c>
      <c r="M190" s="425" t="s">
        <v>493</v>
      </c>
      <c r="N190" s="425">
        <v>1</v>
      </c>
      <c r="O190" s="427"/>
      <c r="P190" s="429" t="str">
        <f t="shared" si="42"/>
        <v>INCLUDED</v>
      </c>
      <c r="Q190" s="655">
        <f t="shared" si="43"/>
        <v>0</v>
      </c>
      <c r="R190" s="686">
        <f t="shared" si="52"/>
        <v>0</v>
      </c>
      <c r="S190" s="687">
        <f>Discount!$J$36</f>
        <v>0</v>
      </c>
      <c r="T190" s="686">
        <f t="shared" si="53"/>
        <v>0</v>
      </c>
      <c r="U190" s="688">
        <f t="shared" si="54"/>
        <v>0</v>
      </c>
      <c r="V190" s="689">
        <f t="shared" si="55"/>
        <v>0</v>
      </c>
      <c r="W190" s="690"/>
      <c r="X190" s="690"/>
      <c r="Y190" s="690"/>
      <c r="Z190" s="690"/>
      <c r="AA190" s="690"/>
    </row>
    <row r="191" spans="1:27" ht="47.25">
      <c r="A191" s="563">
        <v>26</v>
      </c>
      <c r="B191" s="568">
        <v>7000026766</v>
      </c>
      <c r="C191" s="568">
        <v>340</v>
      </c>
      <c r="D191" s="568">
        <v>100</v>
      </c>
      <c r="E191" s="568">
        <v>10</v>
      </c>
      <c r="F191" s="568" t="s">
        <v>568</v>
      </c>
      <c r="G191" s="568">
        <v>100001882</v>
      </c>
      <c r="H191" s="568">
        <v>995463</v>
      </c>
      <c r="I191" s="431"/>
      <c r="J191" s="426">
        <v>18</v>
      </c>
      <c r="K191" s="430"/>
      <c r="L191" s="425" t="s">
        <v>502</v>
      </c>
      <c r="M191" s="425" t="s">
        <v>471</v>
      </c>
      <c r="N191" s="425">
        <v>1</v>
      </c>
      <c r="O191" s="427"/>
      <c r="P191" s="429" t="str">
        <f t="shared" si="42"/>
        <v>INCLUDED</v>
      </c>
      <c r="Q191" s="655">
        <f t="shared" si="43"/>
        <v>0</v>
      </c>
      <c r="R191" s="686">
        <f t="shared" si="52"/>
        <v>0</v>
      </c>
      <c r="S191" s="687">
        <f>Discount!$J$36</f>
        <v>0</v>
      </c>
      <c r="T191" s="686">
        <f t="shared" si="53"/>
        <v>0</v>
      </c>
      <c r="U191" s="688">
        <f t="shared" si="54"/>
        <v>0</v>
      </c>
      <c r="V191" s="689">
        <f t="shared" si="55"/>
        <v>0</v>
      </c>
      <c r="W191" s="690"/>
      <c r="X191" s="690"/>
      <c r="Y191" s="690"/>
      <c r="Z191" s="690"/>
      <c r="AA191" s="690"/>
    </row>
    <row r="192" spans="1:27" ht="47.25">
      <c r="A192" s="563">
        <v>27</v>
      </c>
      <c r="B192" s="568">
        <v>7000026766</v>
      </c>
      <c r="C192" s="568">
        <v>340</v>
      </c>
      <c r="D192" s="568">
        <v>100</v>
      </c>
      <c r="E192" s="568">
        <v>20</v>
      </c>
      <c r="F192" s="568" t="s">
        <v>568</v>
      </c>
      <c r="G192" s="568">
        <v>100000975</v>
      </c>
      <c r="H192" s="568">
        <v>995461</v>
      </c>
      <c r="I192" s="431"/>
      <c r="J192" s="426">
        <v>18</v>
      </c>
      <c r="K192" s="430"/>
      <c r="L192" s="425" t="s">
        <v>504</v>
      </c>
      <c r="M192" s="425" t="s">
        <v>470</v>
      </c>
      <c r="N192" s="425">
        <v>1</v>
      </c>
      <c r="O192" s="427"/>
      <c r="P192" s="429" t="str">
        <f t="shared" si="42"/>
        <v>INCLUDED</v>
      </c>
      <c r="Q192" s="655">
        <f t="shared" si="43"/>
        <v>0</v>
      </c>
      <c r="R192" s="686">
        <f t="shared" si="52"/>
        <v>0</v>
      </c>
      <c r="S192" s="687">
        <f>Discount!$J$36</f>
        <v>0</v>
      </c>
      <c r="T192" s="686">
        <f t="shared" si="53"/>
        <v>0</v>
      </c>
      <c r="U192" s="688">
        <f t="shared" si="54"/>
        <v>0</v>
      </c>
      <c r="V192" s="689">
        <f t="shared" si="55"/>
        <v>0</v>
      </c>
      <c r="W192" s="690"/>
      <c r="X192" s="690"/>
      <c r="Y192" s="690"/>
      <c r="Z192" s="690"/>
      <c r="AA192" s="690"/>
    </row>
    <row r="193" spans="1:27" ht="47.25">
      <c r="A193" s="563">
        <v>28</v>
      </c>
      <c r="B193" s="568">
        <v>7000026766</v>
      </c>
      <c r="C193" s="568">
        <v>340</v>
      </c>
      <c r="D193" s="568">
        <v>100</v>
      </c>
      <c r="E193" s="568">
        <v>30</v>
      </c>
      <c r="F193" s="568" t="s">
        <v>568</v>
      </c>
      <c r="G193" s="568">
        <v>100002062</v>
      </c>
      <c r="H193" s="568">
        <v>995461</v>
      </c>
      <c r="I193" s="431"/>
      <c r="J193" s="426">
        <v>18</v>
      </c>
      <c r="K193" s="430"/>
      <c r="L193" s="425" t="s">
        <v>792</v>
      </c>
      <c r="M193" s="425" t="s">
        <v>471</v>
      </c>
      <c r="N193" s="425">
        <v>1</v>
      </c>
      <c r="O193" s="427"/>
      <c r="P193" s="429" t="str">
        <f t="shared" si="42"/>
        <v>INCLUDED</v>
      </c>
      <c r="Q193" s="655">
        <f t="shared" si="43"/>
        <v>0</v>
      </c>
      <c r="R193" s="686">
        <f t="shared" si="52"/>
        <v>0</v>
      </c>
      <c r="S193" s="687">
        <f>Discount!$J$36</f>
        <v>0</v>
      </c>
      <c r="T193" s="686">
        <f t="shared" si="53"/>
        <v>0</v>
      </c>
      <c r="U193" s="688">
        <f t="shared" si="54"/>
        <v>0</v>
      </c>
      <c r="V193" s="689">
        <f t="shared" si="55"/>
        <v>0</v>
      </c>
      <c r="W193" s="690"/>
      <c r="X193" s="690"/>
      <c r="Y193" s="690"/>
      <c r="Z193" s="690"/>
      <c r="AA193" s="690"/>
    </row>
    <row r="194" spans="1:27" ht="47.25">
      <c r="A194" s="563">
        <v>29</v>
      </c>
      <c r="B194" s="568">
        <v>7000026766</v>
      </c>
      <c r="C194" s="568">
        <v>340</v>
      </c>
      <c r="D194" s="568">
        <v>100</v>
      </c>
      <c r="E194" s="568">
        <v>40</v>
      </c>
      <c r="F194" s="568" t="s">
        <v>568</v>
      </c>
      <c r="G194" s="568">
        <v>100001116</v>
      </c>
      <c r="H194" s="568">
        <v>998739</v>
      </c>
      <c r="I194" s="431"/>
      <c r="J194" s="426">
        <v>18</v>
      </c>
      <c r="K194" s="430"/>
      <c r="L194" s="425" t="s">
        <v>507</v>
      </c>
      <c r="M194" s="425" t="s">
        <v>471</v>
      </c>
      <c r="N194" s="425">
        <v>1</v>
      </c>
      <c r="O194" s="427"/>
      <c r="P194" s="429" t="str">
        <f t="shared" si="42"/>
        <v>INCLUDED</v>
      </c>
      <c r="Q194" s="655">
        <f t="shared" si="43"/>
        <v>0</v>
      </c>
      <c r="R194" s="686">
        <f t="shared" si="52"/>
        <v>0</v>
      </c>
      <c r="S194" s="687">
        <f>Discount!$J$36</f>
        <v>0</v>
      </c>
      <c r="T194" s="686">
        <f t="shared" si="53"/>
        <v>0</v>
      </c>
      <c r="U194" s="688">
        <f t="shared" si="54"/>
        <v>0</v>
      </c>
      <c r="V194" s="689">
        <f t="shared" si="55"/>
        <v>0</v>
      </c>
      <c r="W194" s="690"/>
      <c r="X194" s="690"/>
      <c r="Y194" s="690"/>
      <c r="Z194" s="690"/>
      <c r="AA194" s="690"/>
    </row>
    <row r="195" spans="1:27" ht="31.5">
      <c r="A195" s="563">
        <v>30</v>
      </c>
      <c r="B195" s="568">
        <v>7000026766</v>
      </c>
      <c r="C195" s="568">
        <v>390</v>
      </c>
      <c r="D195" s="568">
        <v>120</v>
      </c>
      <c r="E195" s="568">
        <v>10</v>
      </c>
      <c r="F195" s="568" t="s">
        <v>569</v>
      </c>
      <c r="G195" s="568">
        <v>100004930</v>
      </c>
      <c r="H195" s="568">
        <v>998731</v>
      </c>
      <c r="I195" s="431"/>
      <c r="J195" s="426">
        <v>18</v>
      </c>
      <c r="K195" s="430"/>
      <c r="L195" s="425" t="s">
        <v>794</v>
      </c>
      <c r="M195" s="425" t="s">
        <v>470</v>
      </c>
      <c r="N195" s="425">
        <v>15</v>
      </c>
      <c r="O195" s="427"/>
      <c r="P195" s="429" t="str">
        <f t="shared" si="42"/>
        <v>INCLUDED</v>
      </c>
      <c r="Q195" s="655">
        <f t="shared" si="43"/>
        <v>0</v>
      </c>
      <c r="R195" s="686">
        <f t="shared" si="52"/>
        <v>0</v>
      </c>
      <c r="S195" s="687">
        <f>Discount!$J$36</f>
        <v>0</v>
      </c>
      <c r="T195" s="686">
        <f t="shared" si="53"/>
        <v>0</v>
      </c>
      <c r="U195" s="688">
        <f t="shared" si="54"/>
        <v>0</v>
      </c>
      <c r="V195" s="689">
        <f t="shared" si="55"/>
        <v>0</v>
      </c>
      <c r="W195" s="690"/>
      <c r="X195" s="690"/>
      <c r="Y195" s="690"/>
      <c r="Z195" s="690"/>
      <c r="AA195" s="690"/>
    </row>
    <row r="196" spans="1:27" ht="31.5">
      <c r="A196" s="563">
        <v>31</v>
      </c>
      <c r="B196" s="568">
        <v>7000026766</v>
      </c>
      <c r="C196" s="568">
        <v>390</v>
      </c>
      <c r="D196" s="568">
        <v>120</v>
      </c>
      <c r="E196" s="568">
        <v>20</v>
      </c>
      <c r="F196" s="568" t="s">
        <v>569</v>
      </c>
      <c r="G196" s="568">
        <v>100004931</v>
      </c>
      <c r="H196" s="568">
        <v>998731</v>
      </c>
      <c r="I196" s="431"/>
      <c r="J196" s="426">
        <v>18</v>
      </c>
      <c r="K196" s="430"/>
      <c r="L196" s="425" t="s">
        <v>795</v>
      </c>
      <c r="M196" s="425" t="s">
        <v>470</v>
      </c>
      <c r="N196" s="425">
        <v>15</v>
      </c>
      <c r="O196" s="427"/>
      <c r="P196" s="429" t="str">
        <f t="shared" si="42"/>
        <v>INCLUDED</v>
      </c>
      <c r="Q196" s="655">
        <f t="shared" si="43"/>
        <v>0</v>
      </c>
      <c r="R196" s="686">
        <f t="shared" si="52"/>
        <v>0</v>
      </c>
      <c r="S196" s="687">
        <f>Discount!$J$36</f>
        <v>0</v>
      </c>
      <c r="T196" s="686">
        <f t="shared" si="53"/>
        <v>0</v>
      </c>
      <c r="U196" s="688">
        <f t="shared" si="54"/>
        <v>0</v>
      </c>
      <c r="V196" s="689">
        <f t="shared" si="55"/>
        <v>0</v>
      </c>
      <c r="W196" s="690"/>
      <c r="X196" s="690"/>
      <c r="Y196" s="690"/>
      <c r="Z196" s="690"/>
      <c r="AA196" s="690"/>
    </row>
    <row r="197" spans="1:27" ht="31.5">
      <c r="A197" s="563">
        <v>32</v>
      </c>
      <c r="B197" s="568">
        <v>7000026766</v>
      </c>
      <c r="C197" s="568">
        <v>390</v>
      </c>
      <c r="D197" s="568">
        <v>120</v>
      </c>
      <c r="E197" s="568">
        <v>30</v>
      </c>
      <c r="F197" s="568" t="s">
        <v>569</v>
      </c>
      <c r="G197" s="568">
        <v>100001024</v>
      </c>
      <c r="H197" s="568">
        <v>998731</v>
      </c>
      <c r="I197" s="431"/>
      <c r="J197" s="426">
        <v>18</v>
      </c>
      <c r="K197" s="430"/>
      <c r="L197" s="425" t="s">
        <v>588</v>
      </c>
      <c r="M197" s="425" t="s">
        <v>470</v>
      </c>
      <c r="N197" s="425">
        <v>2</v>
      </c>
      <c r="O197" s="427"/>
      <c r="P197" s="429" t="str">
        <f t="shared" si="42"/>
        <v>INCLUDED</v>
      </c>
      <c r="Q197" s="655">
        <f t="shared" si="43"/>
        <v>0</v>
      </c>
      <c r="R197" s="686">
        <f t="shared" si="52"/>
        <v>0</v>
      </c>
      <c r="S197" s="687">
        <f>Discount!$J$36</f>
        <v>0</v>
      </c>
      <c r="T197" s="686">
        <f t="shared" si="53"/>
        <v>0</v>
      </c>
      <c r="U197" s="688">
        <f t="shared" si="54"/>
        <v>0</v>
      </c>
      <c r="V197" s="689">
        <f t="shared" si="55"/>
        <v>0</v>
      </c>
      <c r="W197" s="690"/>
      <c r="X197" s="690"/>
      <c r="Y197" s="690"/>
      <c r="Z197" s="690"/>
      <c r="AA197" s="690"/>
    </row>
    <row r="198" spans="1:27" ht="31.5">
      <c r="A198" s="563">
        <v>33</v>
      </c>
      <c r="B198" s="568">
        <v>7000026766</v>
      </c>
      <c r="C198" s="568">
        <v>390</v>
      </c>
      <c r="D198" s="568">
        <v>120</v>
      </c>
      <c r="E198" s="568">
        <v>40</v>
      </c>
      <c r="F198" s="568" t="s">
        <v>569</v>
      </c>
      <c r="G198" s="568">
        <v>100001021</v>
      </c>
      <c r="H198" s="568">
        <v>995461</v>
      </c>
      <c r="I198" s="431"/>
      <c r="J198" s="426">
        <v>18</v>
      </c>
      <c r="K198" s="430"/>
      <c r="L198" s="425" t="s">
        <v>508</v>
      </c>
      <c r="M198" s="425" t="s">
        <v>470</v>
      </c>
      <c r="N198" s="425">
        <v>1</v>
      </c>
      <c r="O198" s="427"/>
      <c r="P198" s="429" t="str">
        <f t="shared" ref="P198:P235" si="56">IF(O198=0, "INCLUDED", IF(ISERROR(N198*O198), O198, N198*O198))</f>
        <v>INCLUDED</v>
      </c>
      <c r="Q198" s="655">
        <f t="shared" ref="Q198:Q235" si="57">IF(P198="Included",0,P198)</f>
        <v>0</v>
      </c>
      <c r="R198" s="686">
        <f t="shared" ref="R198:R235" si="58">IF( K198="",J198*(IF(P198="Included",0,P198))/100,K198*(IF(P198="Included",0,P198)))</f>
        <v>0</v>
      </c>
      <c r="S198" s="687">
        <f>Discount!$J$36</f>
        <v>0</v>
      </c>
      <c r="T198" s="686">
        <f t="shared" ref="T198:T235" si="59">S198*Q198</f>
        <v>0</v>
      </c>
      <c r="U198" s="688">
        <f t="shared" si="54"/>
        <v>0</v>
      </c>
      <c r="V198" s="689">
        <f t="shared" si="55"/>
        <v>0</v>
      </c>
      <c r="W198" s="690"/>
      <c r="X198" s="690"/>
      <c r="Y198" s="690"/>
      <c r="Z198" s="690"/>
      <c r="AA198" s="690"/>
    </row>
    <row r="199" spans="1:27">
      <c r="A199" s="563">
        <v>34</v>
      </c>
      <c r="B199" s="568">
        <v>7000026766</v>
      </c>
      <c r="C199" s="568">
        <v>410</v>
      </c>
      <c r="D199" s="568">
        <v>140</v>
      </c>
      <c r="E199" s="568">
        <v>10</v>
      </c>
      <c r="F199" s="568" t="s">
        <v>570</v>
      </c>
      <c r="G199" s="568">
        <v>100003103</v>
      </c>
      <c r="H199" s="568">
        <v>998731</v>
      </c>
      <c r="I199" s="431"/>
      <c r="J199" s="426">
        <v>18</v>
      </c>
      <c r="K199" s="430"/>
      <c r="L199" s="425" t="s">
        <v>793</v>
      </c>
      <c r="M199" s="425" t="s">
        <v>493</v>
      </c>
      <c r="N199" s="425">
        <v>3</v>
      </c>
      <c r="O199" s="427"/>
      <c r="P199" s="429" t="str">
        <f t="shared" si="56"/>
        <v>INCLUDED</v>
      </c>
      <c r="Q199" s="655">
        <f t="shared" si="57"/>
        <v>0</v>
      </c>
      <c r="R199" s="686">
        <f t="shared" si="58"/>
        <v>0</v>
      </c>
      <c r="S199" s="687">
        <f>Discount!$J$36</f>
        <v>0</v>
      </c>
      <c r="T199" s="686">
        <f t="shared" si="59"/>
        <v>0</v>
      </c>
      <c r="U199" s="688">
        <f t="shared" si="54"/>
        <v>0</v>
      </c>
      <c r="V199" s="689">
        <f t="shared" si="55"/>
        <v>0</v>
      </c>
      <c r="W199" s="690"/>
      <c r="X199" s="690"/>
      <c r="Y199" s="690"/>
      <c r="Z199" s="690"/>
      <c r="AA199" s="690"/>
    </row>
    <row r="200" spans="1:27" ht="63">
      <c r="A200" s="563">
        <v>35</v>
      </c>
      <c r="B200" s="568">
        <v>7000026766</v>
      </c>
      <c r="C200" s="568">
        <v>430</v>
      </c>
      <c r="D200" s="568">
        <v>160</v>
      </c>
      <c r="E200" s="568">
        <v>10</v>
      </c>
      <c r="F200" s="568" t="s">
        <v>571</v>
      </c>
      <c r="G200" s="568">
        <v>100002500</v>
      </c>
      <c r="H200" s="568">
        <v>998731</v>
      </c>
      <c r="I200" s="431"/>
      <c r="J200" s="426">
        <v>18</v>
      </c>
      <c r="K200" s="430"/>
      <c r="L200" s="425" t="s">
        <v>780</v>
      </c>
      <c r="M200" s="425" t="s">
        <v>471</v>
      </c>
      <c r="N200" s="425">
        <v>1</v>
      </c>
      <c r="O200" s="427"/>
      <c r="P200" s="429" t="str">
        <f t="shared" si="56"/>
        <v>INCLUDED</v>
      </c>
      <c r="Q200" s="655">
        <f t="shared" si="57"/>
        <v>0</v>
      </c>
      <c r="R200" s="686">
        <f t="shared" si="58"/>
        <v>0</v>
      </c>
      <c r="S200" s="687">
        <f>Discount!$J$36</f>
        <v>0</v>
      </c>
      <c r="T200" s="686">
        <f t="shared" si="59"/>
        <v>0</v>
      </c>
      <c r="U200" s="688">
        <f t="shared" si="54"/>
        <v>0</v>
      </c>
      <c r="V200" s="689">
        <f t="shared" si="55"/>
        <v>0</v>
      </c>
      <c r="W200" s="690"/>
      <c r="X200" s="690"/>
      <c r="Y200" s="690"/>
      <c r="Z200" s="690"/>
      <c r="AA200" s="690"/>
    </row>
    <row r="201" spans="1:27" ht="47.25">
      <c r="A201" s="563">
        <v>36</v>
      </c>
      <c r="B201" s="568">
        <v>7000026766</v>
      </c>
      <c r="C201" s="568">
        <v>600</v>
      </c>
      <c r="D201" s="568">
        <v>240</v>
      </c>
      <c r="E201" s="568">
        <v>10</v>
      </c>
      <c r="F201" s="568" t="s">
        <v>717</v>
      </c>
      <c r="G201" s="568">
        <v>100004518</v>
      </c>
      <c r="H201" s="568">
        <v>995433</v>
      </c>
      <c r="I201" s="431"/>
      <c r="J201" s="426">
        <v>18</v>
      </c>
      <c r="K201" s="430"/>
      <c r="L201" s="425" t="s">
        <v>732</v>
      </c>
      <c r="M201" s="425" t="s">
        <v>733</v>
      </c>
      <c r="N201" s="425">
        <v>3492</v>
      </c>
      <c r="O201" s="427"/>
      <c r="P201" s="429" t="str">
        <f t="shared" si="56"/>
        <v>INCLUDED</v>
      </c>
      <c r="Q201" s="655">
        <f t="shared" si="57"/>
        <v>0</v>
      </c>
      <c r="R201" s="686">
        <f t="shared" si="58"/>
        <v>0</v>
      </c>
      <c r="S201" s="687">
        <f>Discount!$J$36</f>
        <v>0</v>
      </c>
      <c r="T201" s="686">
        <f t="shared" si="59"/>
        <v>0</v>
      </c>
      <c r="U201" s="688">
        <f t="shared" si="54"/>
        <v>0</v>
      </c>
      <c r="V201" s="689">
        <f t="shared" si="55"/>
        <v>0</v>
      </c>
      <c r="W201" s="690"/>
      <c r="X201" s="690"/>
      <c r="Y201" s="690"/>
      <c r="Z201" s="690"/>
      <c r="AA201" s="690"/>
    </row>
    <row r="202" spans="1:27" ht="47.25">
      <c r="A202" s="563">
        <v>37</v>
      </c>
      <c r="B202" s="568">
        <v>7000026766</v>
      </c>
      <c r="C202" s="568">
        <v>600</v>
      </c>
      <c r="D202" s="568">
        <v>240</v>
      </c>
      <c r="E202" s="568">
        <v>20</v>
      </c>
      <c r="F202" s="568" t="s">
        <v>717</v>
      </c>
      <c r="G202" s="568">
        <v>100011662</v>
      </c>
      <c r="H202" s="568">
        <v>995433</v>
      </c>
      <c r="I202" s="431"/>
      <c r="J202" s="426">
        <v>18</v>
      </c>
      <c r="K202" s="430"/>
      <c r="L202" s="425" t="s">
        <v>734</v>
      </c>
      <c r="M202" s="425" t="s">
        <v>733</v>
      </c>
      <c r="N202" s="425">
        <v>184</v>
      </c>
      <c r="O202" s="427"/>
      <c r="P202" s="429" t="str">
        <f t="shared" si="56"/>
        <v>INCLUDED</v>
      </c>
      <c r="Q202" s="655">
        <f t="shared" si="57"/>
        <v>0</v>
      </c>
      <c r="R202" s="686">
        <f t="shared" si="58"/>
        <v>0</v>
      </c>
      <c r="S202" s="687">
        <f>Discount!$J$36</f>
        <v>0</v>
      </c>
      <c r="T202" s="686">
        <f t="shared" si="59"/>
        <v>0</v>
      </c>
      <c r="U202" s="688">
        <f t="shared" si="54"/>
        <v>0</v>
      </c>
      <c r="V202" s="689">
        <f t="shared" si="55"/>
        <v>0</v>
      </c>
      <c r="W202" s="690"/>
      <c r="X202" s="690"/>
      <c r="Y202" s="690"/>
      <c r="Z202" s="690"/>
      <c r="AA202" s="690"/>
    </row>
    <row r="203" spans="1:27">
      <c r="A203" s="563">
        <v>38</v>
      </c>
      <c r="B203" s="568">
        <v>7000026766</v>
      </c>
      <c r="C203" s="568">
        <v>600</v>
      </c>
      <c r="D203" s="568">
        <v>240</v>
      </c>
      <c r="E203" s="568">
        <v>30</v>
      </c>
      <c r="F203" s="568" t="s">
        <v>717</v>
      </c>
      <c r="G203" s="568">
        <v>100001325</v>
      </c>
      <c r="H203" s="568">
        <v>995454</v>
      </c>
      <c r="I203" s="431"/>
      <c r="J203" s="426">
        <v>18</v>
      </c>
      <c r="K203" s="430"/>
      <c r="L203" s="425" t="s">
        <v>735</v>
      </c>
      <c r="M203" s="425" t="s">
        <v>733</v>
      </c>
      <c r="N203" s="425">
        <v>335</v>
      </c>
      <c r="O203" s="427"/>
      <c r="P203" s="429" t="str">
        <f t="shared" si="56"/>
        <v>INCLUDED</v>
      </c>
      <c r="Q203" s="655">
        <f t="shared" si="57"/>
        <v>0</v>
      </c>
      <c r="R203" s="686">
        <f t="shared" si="58"/>
        <v>0</v>
      </c>
      <c r="S203" s="687">
        <f>Discount!$J$36</f>
        <v>0</v>
      </c>
      <c r="T203" s="686">
        <f t="shared" si="59"/>
        <v>0</v>
      </c>
      <c r="U203" s="688">
        <f t="shared" si="54"/>
        <v>0</v>
      </c>
      <c r="V203" s="689">
        <f t="shared" si="55"/>
        <v>0</v>
      </c>
      <c r="W203" s="690"/>
      <c r="X203" s="690"/>
      <c r="Y203" s="690"/>
      <c r="Z203" s="690"/>
      <c r="AA203" s="690"/>
    </row>
    <row r="204" spans="1:27">
      <c r="A204" s="563">
        <v>39</v>
      </c>
      <c r="B204" s="568">
        <v>7000026766</v>
      </c>
      <c r="C204" s="568">
        <v>600</v>
      </c>
      <c r="D204" s="568">
        <v>240</v>
      </c>
      <c r="E204" s="568">
        <v>40</v>
      </c>
      <c r="F204" s="568" t="s">
        <v>717</v>
      </c>
      <c r="G204" s="568">
        <v>100001326</v>
      </c>
      <c r="H204" s="568">
        <v>995454</v>
      </c>
      <c r="I204" s="431"/>
      <c r="J204" s="426">
        <v>18</v>
      </c>
      <c r="K204" s="430"/>
      <c r="L204" s="425" t="s">
        <v>736</v>
      </c>
      <c r="M204" s="425" t="s">
        <v>733</v>
      </c>
      <c r="N204" s="425">
        <v>40</v>
      </c>
      <c r="O204" s="427"/>
      <c r="P204" s="429" t="str">
        <f t="shared" si="56"/>
        <v>INCLUDED</v>
      </c>
      <c r="Q204" s="655">
        <f t="shared" si="57"/>
        <v>0</v>
      </c>
      <c r="R204" s="686">
        <f t="shared" si="58"/>
        <v>0</v>
      </c>
      <c r="S204" s="687">
        <f>Discount!$J$36</f>
        <v>0</v>
      </c>
      <c r="T204" s="686">
        <f t="shared" si="59"/>
        <v>0</v>
      </c>
      <c r="U204" s="688">
        <f t="shared" si="54"/>
        <v>0</v>
      </c>
      <c r="V204" s="689">
        <f t="shared" si="55"/>
        <v>0</v>
      </c>
      <c r="W204" s="690"/>
      <c r="X204" s="690"/>
      <c r="Y204" s="690"/>
      <c r="Z204" s="690"/>
      <c r="AA204" s="690"/>
    </row>
    <row r="205" spans="1:27">
      <c r="A205" s="563">
        <v>40</v>
      </c>
      <c r="B205" s="568">
        <v>7000026766</v>
      </c>
      <c r="C205" s="568">
        <v>600</v>
      </c>
      <c r="D205" s="568">
        <v>240</v>
      </c>
      <c r="E205" s="568">
        <v>50</v>
      </c>
      <c r="F205" s="568" t="s">
        <v>717</v>
      </c>
      <c r="G205" s="568">
        <v>100001328</v>
      </c>
      <c r="H205" s="568">
        <v>995454</v>
      </c>
      <c r="I205" s="431"/>
      <c r="J205" s="426">
        <v>18</v>
      </c>
      <c r="K205" s="430"/>
      <c r="L205" s="425" t="s">
        <v>737</v>
      </c>
      <c r="M205" s="425" t="s">
        <v>733</v>
      </c>
      <c r="N205" s="425">
        <v>765</v>
      </c>
      <c r="O205" s="427"/>
      <c r="P205" s="429" t="str">
        <f t="shared" si="56"/>
        <v>INCLUDED</v>
      </c>
      <c r="Q205" s="655">
        <f t="shared" si="57"/>
        <v>0</v>
      </c>
      <c r="R205" s="686">
        <f t="shared" si="58"/>
        <v>0</v>
      </c>
      <c r="S205" s="687">
        <f>Discount!$J$36</f>
        <v>0</v>
      </c>
      <c r="T205" s="686">
        <f t="shared" si="59"/>
        <v>0</v>
      </c>
      <c r="U205" s="688">
        <f t="shared" si="54"/>
        <v>0</v>
      </c>
      <c r="V205" s="689">
        <f t="shared" si="55"/>
        <v>0</v>
      </c>
      <c r="W205" s="690"/>
      <c r="X205" s="690"/>
      <c r="Y205" s="690"/>
      <c r="Z205" s="690"/>
      <c r="AA205" s="690"/>
    </row>
    <row r="206" spans="1:27" ht="31.5">
      <c r="A206" s="563">
        <v>41</v>
      </c>
      <c r="B206" s="568">
        <v>7000026766</v>
      </c>
      <c r="C206" s="568">
        <v>600</v>
      </c>
      <c r="D206" s="568">
        <v>240</v>
      </c>
      <c r="E206" s="568">
        <v>60</v>
      </c>
      <c r="F206" s="568" t="s">
        <v>717</v>
      </c>
      <c r="G206" s="568">
        <v>100001327</v>
      </c>
      <c r="H206" s="568">
        <v>995454</v>
      </c>
      <c r="I206" s="431"/>
      <c r="J206" s="426">
        <v>18</v>
      </c>
      <c r="K206" s="430"/>
      <c r="L206" s="425" t="s">
        <v>738</v>
      </c>
      <c r="M206" s="425" t="s">
        <v>733</v>
      </c>
      <c r="N206" s="425">
        <v>1064</v>
      </c>
      <c r="O206" s="427"/>
      <c r="P206" s="429" t="str">
        <f t="shared" si="56"/>
        <v>INCLUDED</v>
      </c>
      <c r="Q206" s="655">
        <f t="shared" si="57"/>
        <v>0</v>
      </c>
      <c r="R206" s="686">
        <f t="shared" si="58"/>
        <v>0</v>
      </c>
      <c r="S206" s="687">
        <f>Discount!$J$36</f>
        <v>0</v>
      </c>
      <c r="T206" s="686">
        <f t="shared" si="59"/>
        <v>0</v>
      </c>
      <c r="U206" s="688">
        <f t="shared" si="54"/>
        <v>0</v>
      </c>
      <c r="V206" s="689">
        <f t="shared" si="55"/>
        <v>0</v>
      </c>
      <c r="W206" s="690"/>
      <c r="X206" s="690"/>
      <c r="Y206" s="690"/>
      <c r="Z206" s="690"/>
      <c r="AA206" s="690"/>
    </row>
    <row r="207" spans="1:27">
      <c r="A207" s="563">
        <v>42</v>
      </c>
      <c r="B207" s="568">
        <v>7000026766</v>
      </c>
      <c r="C207" s="568">
        <v>600</v>
      </c>
      <c r="D207" s="568">
        <v>240</v>
      </c>
      <c r="E207" s="568">
        <v>70</v>
      </c>
      <c r="F207" s="568" t="s">
        <v>717</v>
      </c>
      <c r="G207" s="568">
        <v>100001329</v>
      </c>
      <c r="H207" s="568">
        <v>995454</v>
      </c>
      <c r="I207" s="431"/>
      <c r="J207" s="426">
        <v>18</v>
      </c>
      <c r="K207" s="430"/>
      <c r="L207" s="425" t="s">
        <v>739</v>
      </c>
      <c r="M207" s="425" t="s">
        <v>536</v>
      </c>
      <c r="N207" s="425">
        <v>85</v>
      </c>
      <c r="O207" s="427"/>
      <c r="P207" s="429" t="str">
        <f t="shared" si="56"/>
        <v>INCLUDED</v>
      </c>
      <c r="Q207" s="655">
        <f t="shared" si="57"/>
        <v>0</v>
      </c>
      <c r="R207" s="686">
        <f t="shared" si="58"/>
        <v>0</v>
      </c>
      <c r="S207" s="687">
        <f>Discount!$J$36</f>
        <v>0</v>
      </c>
      <c r="T207" s="686">
        <f t="shared" si="59"/>
        <v>0</v>
      </c>
      <c r="U207" s="688">
        <f t="shared" si="54"/>
        <v>0</v>
      </c>
      <c r="V207" s="689">
        <f t="shared" si="55"/>
        <v>0</v>
      </c>
      <c r="W207" s="690"/>
      <c r="X207" s="690"/>
      <c r="Y207" s="690"/>
      <c r="Z207" s="690"/>
      <c r="AA207" s="690"/>
    </row>
    <row r="208" spans="1:27" ht="31.5">
      <c r="A208" s="563">
        <v>43</v>
      </c>
      <c r="B208" s="568">
        <v>7000026766</v>
      </c>
      <c r="C208" s="568">
        <v>600</v>
      </c>
      <c r="D208" s="568">
        <v>240</v>
      </c>
      <c r="E208" s="568">
        <v>80</v>
      </c>
      <c r="F208" s="568" t="s">
        <v>717</v>
      </c>
      <c r="G208" s="568">
        <v>100001331</v>
      </c>
      <c r="H208" s="568">
        <v>995455</v>
      </c>
      <c r="I208" s="431"/>
      <c r="J208" s="426">
        <v>18</v>
      </c>
      <c r="K208" s="430"/>
      <c r="L208" s="425" t="s">
        <v>741</v>
      </c>
      <c r="M208" s="425" t="s">
        <v>536</v>
      </c>
      <c r="N208" s="425">
        <v>2</v>
      </c>
      <c r="O208" s="427"/>
      <c r="P208" s="429" t="str">
        <f t="shared" si="56"/>
        <v>INCLUDED</v>
      </c>
      <c r="Q208" s="655">
        <f t="shared" si="57"/>
        <v>0</v>
      </c>
      <c r="R208" s="686">
        <f t="shared" si="58"/>
        <v>0</v>
      </c>
      <c r="S208" s="687">
        <f>Discount!$J$36</f>
        <v>0</v>
      </c>
      <c r="T208" s="686">
        <f t="shared" si="59"/>
        <v>0</v>
      </c>
      <c r="U208" s="688">
        <f t="shared" si="54"/>
        <v>0</v>
      </c>
      <c r="V208" s="689">
        <f t="shared" si="55"/>
        <v>0</v>
      </c>
      <c r="W208" s="690"/>
      <c r="X208" s="690"/>
      <c r="Y208" s="690"/>
      <c r="Z208" s="690"/>
      <c r="AA208" s="690"/>
    </row>
    <row r="209" spans="1:27">
      <c r="A209" s="563">
        <v>44</v>
      </c>
      <c r="B209" s="568">
        <v>7000026766</v>
      </c>
      <c r="C209" s="568">
        <v>600</v>
      </c>
      <c r="D209" s="568">
        <v>240</v>
      </c>
      <c r="E209" s="568">
        <v>90</v>
      </c>
      <c r="F209" s="568" t="s">
        <v>717</v>
      </c>
      <c r="G209" s="568">
        <v>100001714</v>
      </c>
      <c r="H209" s="568">
        <v>995428</v>
      </c>
      <c r="I209" s="431"/>
      <c r="J209" s="426">
        <v>18</v>
      </c>
      <c r="K209" s="430"/>
      <c r="L209" s="425" t="s">
        <v>742</v>
      </c>
      <c r="M209" s="425" t="s">
        <v>743</v>
      </c>
      <c r="N209" s="425">
        <v>10000</v>
      </c>
      <c r="O209" s="427"/>
      <c r="P209" s="429" t="str">
        <f t="shared" si="56"/>
        <v>INCLUDED</v>
      </c>
      <c r="Q209" s="655">
        <f t="shared" si="57"/>
        <v>0</v>
      </c>
      <c r="R209" s="686">
        <f t="shared" si="58"/>
        <v>0</v>
      </c>
      <c r="S209" s="687">
        <f>Discount!$J$36</f>
        <v>0</v>
      </c>
      <c r="T209" s="686">
        <f t="shared" si="59"/>
        <v>0</v>
      </c>
      <c r="U209" s="688">
        <f t="shared" si="54"/>
        <v>0</v>
      </c>
      <c r="V209" s="689">
        <f t="shared" si="55"/>
        <v>0</v>
      </c>
      <c r="W209" s="690"/>
      <c r="X209" s="690"/>
      <c r="Y209" s="690"/>
      <c r="Z209" s="690"/>
      <c r="AA209" s="690"/>
    </row>
    <row r="210" spans="1:27">
      <c r="A210" s="563">
        <v>45</v>
      </c>
      <c r="B210" s="568">
        <v>7000026766</v>
      </c>
      <c r="C210" s="568">
        <v>600</v>
      </c>
      <c r="D210" s="568">
        <v>240</v>
      </c>
      <c r="E210" s="568">
        <v>100</v>
      </c>
      <c r="F210" s="568" t="s">
        <v>717</v>
      </c>
      <c r="G210" s="568">
        <v>100001713</v>
      </c>
      <c r="H210" s="568">
        <v>995424</v>
      </c>
      <c r="I210" s="431"/>
      <c r="J210" s="426">
        <v>18</v>
      </c>
      <c r="K210" s="430"/>
      <c r="L210" s="425" t="s">
        <v>744</v>
      </c>
      <c r="M210" s="425" t="s">
        <v>743</v>
      </c>
      <c r="N210" s="425">
        <v>10000</v>
      </c>
      <c r="O210" s="427"/>
      <c r="P210" s="429" t="str">
        <f t="shared" si="56"/>
        <v>INCLUDED</v>
      </c>
      <c r="Q210" s="655">
        <f t="shared" si="57"/>
        <v>0</v>
      </c>
      <c r="R210" s="686">
        <f t="shared" si="58"/>
        <v>0</v>
      </c>
      <c r="S210" s="687">
        <f>Discount!$J$36</f>
        <v>0</v>
      </c>
      <c r="T210" s="686">
        <f t="shared" si="59"/>
        <v>0</v>
      </c>
      <c r="U210" s="688">
        <f t="shared" si="54"/>
        <v>0</v>
      </c>
      <c r="V210" s="689">
        <f t="shared" si="55"/>
        <v>0</v>
      </c>
      <c r="W210" s="690"/>
      <c r="X210" s="690"/>
      <c r="Y210" s="690"/>
      <c r="Z210" s="690"/>
      <c r="AA210" s="690"/>
    </row>
    <row r="211" spans="1:27" ht="31.5">
      <c r="A211" s="563">
        <v>46</v>
      </c>
      <c r="B211" s="568">
        <v>7000026766</v>
      </c>
      <c r="C211" s="568">
        <v>600</v>
      </c>
      <c r="D211" s="568">
        <v>240</v>
      </c>
      <c r="E211" s="568">
        <v>110</v>
      </c>
      <c r="F211" s="568" t="s">
        <v>717</v>
      </c>
      <c r="G211" s="568">
        <v>100001712</v>
      </c>
      <c r="H211" s="568">
        <v>995428</v>
      </c>
      <c r="I211" s="431"/>
      <c r="J211" s="426">
        <v>18</v>
      </c>
      <c r="K211" s="430"/>
      <c r="L211" s="425" t="s">
        <v>745</v>
      </c>
      <c r="M211" s="425" t="s">
        <v>743</v>
      </c>
      <c r="N211" s="425">
        <v>3000</v>
      </c>
      <c r="O211" s="427"/>
      <c r="P211" s="429" t="str">
        <f t="shared" si="56"/>
        <v>INCLUDED</v>
      </c>
      <c r="Q211" s="655">
        <f t="shared" si="57"/>
        <v>0</v>
      </c>
      <c r="R211" s="686">
        <f t="shared" si="58"/>
        <v>0</v>
      </c>
      <c r="S211" s="687">
        <f>Discount!$J$36</f>
        <v>0</v>
      </c>
      <c r="T211" s="686">
        <f t="shared" si="59"/>
        <v>0</v>
      </c>
      <c r="U211" s="688">
        <f t="shared" si="54"/>
        <v>0</v>
      </c>
      <c r="V211" s="689">
        <f t="shared" si="55"/>
        <v>0</v>
      </c>
      <c r="W211" s="690"/>
      <c r="X211" s="690"/>
      <c r="Y211" s="690"/>
      <c r="Z211" s="690"/>
      <c r="AA211" s="690"/>
    </row>
    <row r="212" spans="1:27" ht="31.5">
      <c r="A212" s="563">
        <v>47</v>
      </c>
      <c r="B212" s="568">
        <v>7000026766</v>
      </c>
      <c r="C212" s="568">
        <v>600</v>
      </c>
      <c r="D212" s="568">
        <v>240</v>
      </c>
      <c r="E212" s="568">
        <v>120</v>
      </c>
      <c r="F212" s="568" t="s">
        <v>717</v>
      </c>
      <c r="G212" s="568">
        <v>100001478</v>
      </c>
      <c r="H212" s="568">
        <v>995454</v>
      </c>
      <c r="I212" s="431"/>
      <c r="J212" s="426">
        <v>18</v>
      </c>
      <c r="K212" s="430"/>
      <c r="L212" s="425" t="s">
        <v>750</v>
      </c>
      <c r="M212" s="425" t="s">
        <v>518</v>
      </c>
      <c r="N212" s="425">
        <v>200</v>
      </c>
      <c r="O212" s="427"/>
      <c r="P212" s="429" t="str">
        <f t="shared" si="56"/>
        <v>INCLUDED</v>
      </c>
      <c r="Q212" s="655">
        <f t="shared" si="57"/>
        <v>0</v>
      </c>
      <c r="R212" s="686">
        <f t="shared" si="58"/>
        <v>0</v>
      </c>
      <c r="S212" s="687">
        <f>Discount!$J$36</f>
        <v>0</v>
      </c>
      <c r="T212" s="686">
        <f t="shared" si="59"/>
        <v>0</v>
      </c>
      <c r="U212" s="688">
        <f t="shared" si="54"/>
        <v>0</v>
      </c>
      <c r="V212" s="689">
        <f t="shared" si="55"/>
        <v>0</v>
      </c>
      <c r="W212" s="690"/>
      <c r="X212" s="690"/>
      <c r="Y212" s="690"/>
      <c r="Z212" s="690"/>
      <c r="AA212" s="690"/>
    </row>
    <row r="213" spans="1:27" ht="31.5">
      <c r="A213" s="563">
        <v>48</v>
      </c>
      <c r="B213" s="568">
        <v>7000026766</v>
      </c>
      <c r="C213" s="568">
        <v>600</v>
      </c>
      <c r="D213" s="568">
        <v>240</v>
      </c>
      <c r="E213" s="568">
        <v>130</v>
      </c>
      <c r="F213" s="568" t="s">
        <v>717</v>
      </c>
      <c r="G213" s="568">
        <v>100001479</v>
      </c>
      <c r="H213" s="568">
        <v>995454</v>
      </c>
      <c r="I213" s="431"/>
      <c r="J213" s="426">
        <v>18</v>
      </c>
      <c r="K213" s="430"/>
      <c r="L213" s="425" t="s">
        <v>751</v>
      </c>
      <c r="M213" s="425" t="s">
        <v>518</v>
      </c>
      <c r="N213" s="425">
        <v>100</v>
      </c>
      <c r="O213" s="427"/>
      <c r="P213" s="429" t="str">
        <f t="shared" si="56"/>
        <v>INCLUDED</v>
      </c>
      <c r="Q213" s="655">
        <f t="shared" si="57"/>
        <v>0</v>
      </c>
      <c r="R213" s="686">
        <f t="shared" si="58"/>
        <v>0</v>
      </c>
      <c r="S213" s="687">
        <f>Discount!$J$36</f>
        <v>0</v>
      </c>
      <c r="T213" s="686">
        <f t="shared" si="59"/>
        <v>0</v>
      </c>
      <c r="U213" s="688">
        <f t="shared" si="54"/>
        <v>0</v>
      </c>
      <c r="V213" s="689">
        <f t="shared" si="55"/>
        <v>0</v>
      </c>
      <c r="W213" s="690"/>
      <c r="X213" s="690"/>
      <c r="Y213" s="690"/>
      <c r="Z213" s="690"/>
      <c r="AA213" s="690"/>
    </row>
    <row r="214" spans="1:27" ht="31.5">
      <c r="A214" s="563">
        <v>49</v>
      </c>
      <c r="B214" s="568">
        <v>7000026766</v>
      </c>
      <c r="C214" s="568">
        <v>600</v>
      </c>
      <c r="D214" s="568">
        <v>240</v>
      </c>
      <c r="E214" s="568">
        <v>140</v>
      </c>
      <c r="F214" s="568" t="s">
        <v>717</v>
      </c>
      <c r="G214" s="568">
        <v>100001480</v>
      </c>
      <c r="H214" s="568">
        <v>995454</v>
      </c>
      <c r="I214" s="431"/>
      <c r="J214" s="426">
        <v>18</v>
      </c>
      <c r="K214" s="430"/>
      <c r="L214" s="425" t="s">
        <v>752</v>
      </c>
      <c r="M214" s="425" t="s">
        <v>518</v>
      </c>
      <c r="N214" s="425">
        <v>50</v>
      </c>
      <c r="O214" s="427"/>
      <c r="P214" s="429" t="str">
        <f t="shared" si="56"/>
        <v>INCLUDED</v>
      </c>
      <c r="Q214" s="655">
        <f t="shared" si="57"/>
        <v>0</v>
      </c>
      <c r="R214" s="686">
        <f t="shared" si="58"/>
        <v>0</v>
      </c>
      <c r="S214" s="687">
        <f>Discount!$J$36</f>
        <v>0</v>
      </c>
      <c r="T214" s="686">
        <f t="shared" si="59"/>
        <v>0</v>
      </c>
      <c r="U214" s="688">
        <f t="shared" si="54"/>
        <v>0</v>
      </c>
      <c r="V214" s="689">
        <f t="shared" si="55"/>
        <v>0</v>
      </c>
      <c r="W214" s="690"/>
      <c r="X214" s="690"/>
      <c r="Y214" s="690"/>
      <c r="Z214" s="690"/>
      <c r="AA214" s="690"/>
    </row>
    <row r="215" spans="1:27" ht="47.25">
      <c r="A215" s="563">
        <v>50</v>
      </c>
      <c r="B215" s="568">
        <v>7000026766</v>
      </c>
      <c r="C215" s="568">
        <v>600</v>
      </c>
      <c r="D215" s="568">
        <v>240</v>
      </c>
      <c r="E215" s="568">
        <v>150</v>
      </c>
      <c r="F215" s="568" t="s">
        <v>717</v>
      </c>
      <c r="G215" s="568">
        <v>100003437</v>
      </c>
      <c r="H215" s="568">
        <v>995454</v>
      </c>
      <c r="I215" s="431"/>
      <c r="J215" s="426">
        <v>18</v>
      </c>
      <c r="K215" s="430"/>
      <c r="L215" s="425" t="s">
        <v>796</v>
      </c>
      <c r="M215" s="425" t="s">
        <v>743</v>
      </c>
      <c r="N215" s="425">
        <v>27</v>
      </c>
      <c r="O215" s="427"/>
      <c r="P215" s="429" t="str">
        <f t="shared" si="56"/>
        <v>INCLUDED</v>
      </c>
      <c r="Q215" s="655">
        <f t="shared" si="57"/>
        <v>0</v>
      </c>
      <c r="R215" s="686">
        <f t="shared" si="58"/>
        <v>0</v>
      </c>
      <c r="S215" s="687">
        <f>Discount!$J$36</f>
        <v>0</v>
      </c>
      <c r="T215" s="686">
        <f t="shared" si="59"/>
        <v>0</v>
      </c>
      <c r="U215" s="688">
        <f t="shared" si="54"/>
        <v>0</v>
      </c>
      <c r="V215" s="689">
        <f t="shared" si="55"/>
        <v>0</v>
      </c>
      <c r="W215" s="690"/>
      <c r="X215" s="690"/>
      <c r="Y215" s="690"/>
      <c r="Z215" s="690"/>
      <c r="AA215" s="690"/>
    </row>
    <row r="216" spans="1:27" ht="47.25">
      <c r="A216" s="563">
        <v>51</v>
      </c>
      <c r="B216" s="568">
        <v>7000026766</v>
      </c>
      <c r="C216" s="568">
        <v>600</v>
      </c>
      <c r="D216" s="568">
        <v>240</v>
      </c>
      <c r="E216" s="568">
        <v>160</v>
      </c>
      <c r="F216" s="568" t="s">
        <v>717</v>
      </c>
      <c r="G216" s="568">
        <v>100008110</v>
      </c>
      <c r="H216" s="568">
        <v>995421</v>
      </c>
      <c r="I216" s="431"/>
      <c r="J216" s="426">
        <v>18</v>
      </c>
      <c r="K216" s="430"/>
      <c r="L216" s="425" t="s">
        <v>816</v>
      </c>
      <c r="M216" s="425" t="s">
        <v>743</v>
      </c>
      <c r="N216" s="425">
        <v>5625</v>
      </c>
      <c r="O216" s="427"/>
      <c r="P216" s="429" t="str">
        <f t="shared" si="56"/>
        <v>INCLUDED</v>
      </c>
      <c r="Q216" s="655">
        <f t="shared" si="57"/>
        <v>0</v>
      </c>
      <c r="R216" s="686">
        <f t="shared" si="58"/>
        <v>0</v>
      </c>
      <c r="S216" s="687">
        <f>Discount!$J$36</f>
        <v>0</v>
      </c>
      <c r="T216" s="686">
        <f t="shared" si="59"/>
        <v>0</v>
      </c>
      <c r="U216" s="688">
        <f t="shared" si="54"/>
        <v>0</v>
      </c>
      <c r="V216" s="689">
        <f t="shared" si="55"/>
        <v>0</v>
      </c>
      <c r="W216" s="690"/>
      <c r="X216" s="690"/>
      <c r="Y216" s="690"/>
      <c r="Z216" s="690"/>
      <c r="AA216" s="690"/>
    </row>
    <row r="217" spans="1:27" ht="173.25">
      <c r="A217" s="563">
        <v>52</v>
      </c>
      <c r="B217" s="568">
        <v>7000026766</v>
      </c>
      <c r="C217" s="568">
        <v>600</v>
      </c>
      <c r="D217" s="568">
        <v>240</v>
      </c>
      <c r="E217" s="568">
        <v>170</v>
      </c>
      <c r="F217" s="568" t="s">
        <v>717</v>
      </c>
      <c r="G217" s="568">
        <v>100002911</v>
      </c>
      <c r="H217" s="568">
        <v>995432</v>
      </c>
      <c r="I217" s="431"/>
      <c r="J217" s="426">
        <v>18</v>
      </c>
      <c r="K217" s="430"/>
      <c r="L217" s="425" t="s">
        <v>817</v>
      </c>
      <c r="M217" s="425" t="s">
        <v>733</v>
      </c>
      <c r="N217" s="425">
        <v>10000</v>
      </c>
      <c r="O217" s="427"/>
      <c r="P217" s="429" t="str">
        <f t="shared" si="56"/>
        <v>INCLUDED</v>
      </c>
      <c r="Q217" s="655">
        <f t="shared" si="57"/>
        <v>0</v>
      </c>
      <c r="R217" s="686">
        <f t="shared" si="58"/>
        <v>0</v>
      </c>
      <c r="S217" s="687">
        <f>Discount!$J$36</f>
        <v>0</v>
      </c>
      <c r="T217" s="686">
        <f t="shared" si="59"/>
        <v>0</v>
      </c>
      <c r="U217" s="688">
        <f t="shared" si="54"/>
        <v>0</v>
      </c>
      <c r="V217" s="689">
        <f t="shared" si="55"/>
        <v>0</v>
      </c>
      <c r="W217" s="690"/>
      <c r="X217" s="690"/>
      <c r="Y217" s="690"/>
      <c r="Z217" s="690"/>
      <c r="AA217" s="690"/>
    </row>
    <row r="218" spans="1:27">
      <c r="A218" s="563">
        <v>53</v>
      </c>
      <c r="B218" s="568">
        <v>7000026766</v>
      </c>
      <c r="C218" s="568">
        <v>600</v>
      </c>
      <c r="D218" s="568">
        <v>240</v>
      </c>
      <c r="E218" s="568">
        <v>180</v>
      </c>
      <c r="F218" s="568" t="s">
        <v>717</v>
      </c>
      <c r="G218" s="568">
        <v>100001412</v>
      </c>
      <c r="H218" s="568">
        <v>995462</v>
      </c>
      <c r="I218" s="431"/>
      <c r="J218" s="426">
        <v>18</v>
      </c>
      <c r="K218" s="430"/>
      <c r="L218" s="425" t="s">
        <v>818</v>
      </c>
      <c r="M218" s="425" t="s">
        <v>518</v>
      </c>
      <c r="N218" s="425">
        <v>750</v>
      </c>
      <c r="O218" s="427"/>
      <c r="P218" s="429" t="str">
        <f t="shared" si="56"/>
        <v>INCLUDED</v>
      </c>
      <c r="Q218" s="655">
        <f t="shared" si="57"/>
        <v>0</v>
      </c>
      <c r="R218" s="686">
        <f t="shared" si="58"/>
        <v>0</v>
      </c>
      <c r="S218" s="687">
        <f>Discount!$J$36</f>
        <v>0</v>
      </c>
      <c r="T218" s="686">
        <f t="shared" si="59"/>
        <v>0</v>
      </c>
      <c r="U218" s="688">
        <f t="shared" si="54"/>
        <v>0</v>
      </c>
      <c r="V218" s="689">
        <f t="shared" si="55"/>
        <v>0</v>
      </c>
      <c r="W218" s="690"/>
      <c r="X218" s="690"/>
      <c r="Y218" s="690"/>
      <c r="Z218" s="690"/>
      <c r="AA218" s="690"/>
    </row>
    <row r="219" spans="1:27">
      <c r="A219" s="563">
        <v>54</v>
      </c>
      <c r="B219" s="568">
        <v>7000026766</v>
      </c>
      <c r="C219" s="568">
        <v>600</v>
      </c>
      <c r="D219" s="568">
        <v>240</v>
      </c>
      <c r="E219" s="568">
        <v>190</v>
      </c>
      <c r="F219" s="568" t="s">
        <v>717</v>
      </c>
      <c r="G219" s="568">
        <v>100001413</v>
      </c>
      <c r="H219" s="568">
        <v>995462</v>
      </c>
      <c r="I219" s="431"/>
      <c r="J219" s="426">
        <v>18</v>
      </c>
      <c r="K219" s="430"/>
      <c r="L219" s="425" t="s">
        <v>819</v>
      </c>
      <c r="M219" s="425" t="s">
        <v>518</v>
      </c>
      <c r="N219" s="425">
        <v>1500</v>
      </c>
      <c r="O219" s="427"/>
      <c r="P219" s="429" t="str">
        <f t="shared" si="56"/>
        <v>INCLUDED</v>
      </c>
      <c r="Q219" s="655">
        <f t="shared" si="57"/>
        <v>0</v>
      </c>
      <c r="R219" s="686">
        <f t="shared" si="58"/>
        <v>0</v>
      </c>
      <c r="S219" s="687">
        <f>Discount!$J$36</f>
        <v>0</v>
      </c>
      <c r="T219" s="686">
        <f t="shared" si="59"/>
        <v>0</v>
      </c>
      <c r="U219" s="688">
        <f t="shared" si="54"/>
        <v>0</v>
      </c>
      <c r="V219" s="689">
        <f t="shared" si="55"/>
        <v>0</v>
      </c>
      <c r="W219" s="690"/>
      <c r="X219" s="690"/>
      <c r="Y219" s="690"/>
      <c r="Z219" s="690"/>
      <c r="AA219" s="690"/>
    </row>
    <row r="220" spans="1:27">
      <c r="A220" s="563">
        <v>55</v>
      </c>
      <c r="B220" s="568">
        <v>7000026766</v>
      </c>
      <c r="C220" s="568">
        <v>600</v>
      </c>
      <c r="D220" s="568">
        <v>240</v>
      </c>
      <c r="E220" s="568">
        <v>200</v>
      </c>
      <c r="F220" s="568" t="s">
        <v>717</v>
      </c>
      <c r="G220" s="568">
        <v>100001414</v>
      </c>
      <c r="H220" s="568">
        <v>995462</v>
      </c>
      <c r="I220" s="431"/>
      <c r="J220" s="426">
        <v>18</v>
      </c>
      <c r="K220" s="430"/>
      <c r="L220" s="425" t="s">
        <v>820</v>
      </c>
      <c r="M220" s="425" t="s">
        <v>518</v>
      </c>
      <c r="N220" s="425">
        <v>400</v>
      </c>
      <c r="O220" s="427"/>
      <c r="P220" s="429" t="str">
        <f t="shared" si="56"/>
        <v>INCLUDED</v>
      </c>
      <c r="Q220" s="655">
        <f t="shared" si="57"/>
        <v>0</v>
      </c>
      <c r="R220" s="686">
        <f t="shared" si="58"/>
        <v>0</v>
      </c>
      <c r="S220" s="687">
        <f>Discount!$J$36</f>
        <v>0</v>
      </c>
      <c r="T220" s="686">
        <f t="shared" si="59"/>
        <v>0</v>
      </c>
      <c r="U220" s="688">
        <f t="shared" si="54"/>
        <v>0</v>
      </c>
      <c r="V220" s="689">
        <f t="shared" si="55"/>
        <v>0</v>
      </c>
      <c r="W220" s="690"/>
      <c r="X220" s="690"/>
      <c r="Y220" s="690"/>
      <c r="Z220" s="690"/>
      <c r="AA220" s="690"/>
    </row>
    <row r="221" spans="1:27">
      <c r="A221" s="563">
        <v>56</v>
      </c>
      <c r="B221" s="568">
        <v>7000026766</v>
      </c>
      <c r="C221" s="568">
        <v>600</v>
      </c>
      <c r="D221" s="568">
        <v>240</v>
      </c>
      <c r="E221" s="568">
        <v>210</v>
      </c>
      <c r="F221" s="568" t="s">
        <v>717</v>
      </c>
      <c r="G221" s="568">
        <v>100001415</v>
      </c>
      <c r="H221" s="568">
        <v>995462</v>
      </c>
      <c r="I221" s="431"/>
      <c r="J221" s="426">
        <v>18</v>
      </c>
      <c r="K221" s="430"/>
      <c r="L221" s="425" t="s">
        <v>821</v>
      </c>
      <c r="M221" s="425" t="s">
        <v>518</v>
      </c>
      <c r="N221" s="425">
        <v>400</v>
      </c>
      <c r="O221" s="427"/>
      <c r="P221" s="429" t="str">
        <f t="shared" si="56"/>
        <v>INCLUDED</v>
      </c>
      <c r="Q221" s="655">
        <f t="shared" si="57"/>
        <v>0</v>
      </c>
      <c r="R221" s="686">
        <f t="shared" si="58"/>
        <v>0</v>
      </c>
      <c r="S221" s="687">
        <f>Discount!$J$36</f>
        <v>0</v>
      </c>
      <c r="T221" s="686">
        <f t="shared" si="59"/>
        <v>0</v>
      </c>
      <c r="U221" s="688">
        <f t="shared" si="54"/>
        <v>0</v>
      </c>
      <c r="V221" s="689">
        <f t="shared" si="55"/>
        <v>0</v>
      </c>
      <c r="W221" s="690"/>
      <c r="X221" s="690"/>
      <c r="Y221" s="690"/>
      <c r="Z221" s="690"/>
      <c r="AA221" s="690"/>
    </row>
    <row r="222" spans="1:27" ht="31.5">
      <c r="A222" s="563">
        <v>57</v>
      </c>
      <c r="B222" s="568">
        <v>7000026766</v>
      </c>
      <c r="C222" s="568">
        <v>600</v>
      </c>
      <c r="D222" s="568">
        <v>240</v>
      </c>
      <c r="E222" s="568">
        <v>220</v>
      </c>
      <c r="F222" s="568" t="s">
        <v>717</v>
      </c>
      <c r="G222" s="568">
        <v>100020960</v>
      </c>
      <c r="H222" s="568">
        <v>995461</v>
      </c>
      <c r="I222" s="431"/>
      <c r="J222" s="426">
        <v>18</v>
      </c>
      <c r="K222" s="430"/>
      <c r="L222" s="425" t="s">
        <v>755</v>
      </c>
      <c r="M222" s="425" t="s">
        <v>518</v>
      </c>
      <c r="N222" s="425">
        <v>100</v>
      </c>
      <c r="O222" s="427"/>
      <c r="P222" s="429" t="str">
        <f t="shared" si="56"/>
        <v>INCLUDED</v>
      </c>
      <c r="Q222" s="655">
        <f t="shared" si="57"/>
        <v>0</v>
      </c>
      <c r="R222" s="686">
        <f t="shared" si="58"/>
        <v>0</v>
      </c>
      <c r="S222" s="687">
        <f>Discount!$J$36</f>
        <v>0</v>
      </c>
      <c r="T222" s="686">
        <f t="shared" si="59"/>
        <v>0</v>
      </c>
      <c r="U222" s="688">
        <f t="shared" si="54"/>
        <v>0</v>
      </c>
      <c r="V222" s="689">
        <f t="shared" si="55"/>
        <v>0</v>
      </c>
      <c r="W222" s="690"/>
      <c r="X222" s="690"/>
      <c r="Y222" s="690"/>
      <c r="Z222" s="690"/>
      <c r="AA222" s="690"/>
    </row>
    <row r="223" spans="1:27" ht="31.5">
      <c r="A223" s="563">
        <v>58</v>
      </c>
      <c r="B223" s="568">
        <v>7000026766</v>
      </c>
      <c r="C223" s="568">
        <v>600</v>
      </c>
      <c r="D223" s="568">
        <v>240</v>
      </c>
      <c r="E223" s="568">
        <v>230</v>
      </c>
      <c r="F223" s="568" t="s">
        <v>717</v>
      </c>
      <c r="G223" s="568">
        <v>100020961</v>
      </c>
      <c r="H223" s="568">
        <v>995461</v>
      </c>
      <c r="I223" s="431"/>
      <c r="J223" s="426">
        <v>18</v>
      </c>
      <c r="K223" s="430"/>
      <c r="L223" s="425" t="s">
        <v>756</v>
      </c>
      <c r="M223" s="425" t="s">
        <v>518</v>
      </c>
      <c r="N223" s="425">
        <v>100</v>
      </c>
      <c r="O223" s="427"/>
      <c r="P223" s="429" t="str">
        <f t="shared" si="56"/>
        <v>INCLUDED</v>
      </c>
      <c r="Q223" s="655">
        <f t="shared" si="57"/>
        <v>0</v>
      </c>
      <c r="R223" s="686">
        <f t="shared" si="58"/>
        <v>0</v>
      </c>
      <c r="S223" s="687">
        <f>Discount!$J$36</f>
        <v>0</v>
      </c>
      <c r="T223" s="686">
        <f t="shared" si="59"/>
        <v>0</v>
      </c>
      <c r="U223" s="688">
        <f t="shared" ref="U223:U235" si="60">IF(K223="",J223*T223/100,K223*T223)</f>
        <v>0</v>
      </c>
      <c r="V223" s="689">
        <f t="shared" ref="V223:V235" si="61">O223*N223</f>
        <v>0</v>
      </c>
      <c r="W223" s="690"/>
      <c r="X223" s="690"/>
      <c r="Y223" s="690"/>
      <c r="Z223" s="690"/>
      <c r="AA223" s="690"/>
    </row>
    <row r="224" spans="1:27" ht="31.5">
      <c r="A224" s="563">
        <v>59</v>
      </c>
      <c r="B224" s="568">
        <v>7000026766</v>
      </c>
      <c r="C224" s="568">
        <v>600</v>
      </c>
      <c r="D224" s="568">
        <v>240</v>
      </c>
      <c r="E224" s="568">
        <v>240</v>
      </c>
      <c r="F224" s="568" t="s">
        <v>717</v>
      </c>
      <c r="G224" s="568">
        <v>100020962</v>
      </c>
      <c r="H224" s="568">
        <v>995461</v>
      </c>
      <c r="I224" s="431"/>
      <c r="J224" s="426">
        <v>18</v>
      </c>
      <c r="K224" s="430"/>
      <c r="L224" s="425" t="s">
        <v>757</v>
      </c>
      <c r="M224" s="425" t="s">
        <v>518</v>
      </c>
      <c r="N224" s="425">
        <v>50</v>
      </c>
      <c r="O224" s="427"/>
      <c r="P224" s="429" t="str">
        <f t="shared" si="56"/>
        <v>INCLUDED</v>
      </c>
      <c r="Q224" s="655">
        <f t="shared" si="57"/>
        <v>0</v>
      </c>
      <c r="R224" s="686">
        <f t="shared" si="58"/>
        <v>0</v>
      </c>
      <c r="S224" s="687">
        <f>Discount!$J$36</f>
        <v>0</v>
      </c>
      <c r="T224" s="686">
        <f t="shared" si="59"/>
        <v>0</v>
      </c>
      <c r="U224" s="688">
        <f t="shared" si="60"/>
        <v>0</v>
      </c>
      <c r="V224" s="689">
        <f t="shared" si="61"/>
        <v>0</v>
      </c>
      <c r="W224" s="690"/>
      <c r="X224" s="690"/>
      <c r="Y224" s="690"/>
      <c r="Z224" s="690"/>
      <c r="AA224" s="690"/>
    </row>
    <row r="225" spans="1:27" ht="47.25">
      <c r="A225" s="563">
        <v>60</v>
      </c>
      <c r="B225" s="568">
        <v>7000026766</v>
      </c>
      <c r="C225" s="568">
        <v>610</v>
      </c>
      <c r="D225" s="568">
        <v>250</v>
      </c>
      <c r="E225" s="568">
        <v>10</v>
      </c>
      <c r="F225" s="568" t="s">
        <v>716</v>
      </c>
      <c r="G225" s="568">
        <v>100001210</v>
      </c>
      <c r="H225" s="568">
        <v>995455</v>
      </c>
      <c r="I225" s="431"/>
      <c r="J225" s="426">
        <v>18</v>
      </c>
      <c r="K225" s="430"/>
      <c r="L225" s="425" t="s">
        <v>728</v>
      </c>
      <c r="M225" s="425" t="s">
        <v>536</v>
      </c>
      <c r="N225" s="425">
        <v>105</v>
      </c>
      <c r="O225" s="427"/>
      <c r="P225" s="429" t="str">
        <f t="shared" si="56"/>
        <v>INCLUDED</v>
      </c>
      <c r="Q225" s="655">
        <f t="shared" si="57"/>
        <v>0</v>
      </c>
      <c r="R225" s="686">
        <f t="shared" si="58"/>
        <v>0</v>
      </c>
      <c r="S225" s="687">
        <f>Discount!$J$36</f>
        <v>0</v>
      </c>
      <c r="T225" s="686">
        <f t="shared" si="59"/>
        <v>0</v>
      </c>
      <c r="U225" s="688">
        <f t="shared" si="60"/>
        <v>0</v>
      </c>
      <c r="V225" s="689">
        <f t="shared" si="61"/>
        <v>0</v>
      </c>
      <c r="W225" s="690"/>
      <c r="X225" s="690"/>
      <c r="Y225" s="690"/>
      <c r="Z225" s="690"/>
      <c r="AA225" s="690"/>
    </row>
    <row r="226" spans="1:27" ht="31.5">
      <c r="A226" s="563">
        <v>61</v>
      </c>
      <c r="B226" s="568">
        <v>7000026766</v>
      </c>
      <c r="C226" s="568">
        <v>610</v>
      </c>
      <c r="D226" s="568">
        <v>250</v>
      </c>
      <c r="E226" s="568">
        <v>20</v>
      </c>
      <c r="F226" s="568" t="s">
        <v>716</v>
      </c>
      <c r="G226" s="568">
        <v>100001680</v>
      </c>
      <c r="H226" s="568">
        <v>995455</v>
      </c>
      <c r="I226" s="431"/>
      <c r="J226" s="426">
        <v>18</v>
      </c>
      <c r="K226" s="430"/>
      <c r="L226" s="425" t="s">
        <v>730</v>
      </c>
      <c r="M226" s="425" t="s">
        <v>536</v>
      </c>
      <c r="N226" s="425">
        <v>9</v>
      </c>
      <c r="O226" s="427"/>
      <c r="P226" s="429" t="str">
        <f t="shared" si="56"/>
        <v>INCLUDED</v>
      </c>
      <c r="Q226" s="655">
        <f t="shared" si="57"/>
        <v>0</v>
      </c>
      <c r="R226" s="686">
        <f t="shared" si="58"/>
        <v>0</v>
      </c>
      <c r="S226" s="687">
        <f>Discount!$J$36</f>
        <v>0</v>
      </c>
      <c r="T226" s="686">
        <f t="shared" si="59"/>
        <v>0</v>
      </c>
      <c r="U226" s="688">
        <f t="shared" si="60"/>
        <v>0</v>
      </c>
      <c r="V226" s="689">
        <f t="shared" si="61"/>
        <v>0</v>
      </c>
      <c r="W226" s="690"/>
      <c r="X226" s="690"/>
      <c r="Y226" s="690"/>
      <c r="Z226" s="690"/>
      <c r="AA226" s="690"/>
    </row>
    <row r="227" spans="1:27" ht="31.5">
      <c r="A227" s="563">
        <v>62</v>
      </c>
      <c r="B227" s="568">
        <v>7000026766</v>
      </c>
      <c r="C227" s="568">
        <v>610</v>
      </c>
      <c r="D227" s="568">
        <v>250</v>
      </c>
      <c r="E227" s="568">
        <v>30</v>
      </c>
      <c r="F227" s="568" t="s">
        <v>716</v>
      </c>
      <c r="G227" s="568">
        <v>100001681</v>
      </c>
      <c r="H227" s="568">
        <v>995455</v>
      </c>
      <c r="I227" s="431"/>
      <c r="J227" s="426">
        <v>18</v>
      </c>
      <c r="K227" s="430"/>
      <c r="L227" s="425" t="s">
        <v>731</v>
      </c>
      <c r="M227" s="425" t="s">
        <v>536</v>
      </c>
      <c r="N227" s="425">
        <v>5</v>
      </c>
      <c r="O227" s="427"/>
      <c r="P227" s="429" t="str">
        <f t="shared" si="56"/>
        <v>INCLUDED</v>
      </c>
      <c r="Q227" s="655">
        <f t="shared" si="57"/>
        <v>0</v>
      </c>
      <c r="R227" s="686">
        <f t="shared" si="58"/>
        <v>0</v>
      </c>
      <c r="S227" s="687">
        <f>Discount!$J$36</f>
        <v>0</v>
      </c>
      <c r="T227" s="686">
        <f t="shared" si="59"/>
        <v>0</v>
      </c>
      <c r="U227" s="688">
        <f t="shared" si="60"/>
        <v>0</v>
      </c>
      <c r="V227" s="689">
        <f t="shared" si="61"/>
        <v>0</v>
      </c>
      <c r="W227" s="690"/>
      <c r="X227" s="690"/>
      <c r="Y227" s="690"/>
      <c r="Z227" s="690"/>
      <c r="AA227" s="690"/>
    </row>
    <row r="228" spans="1:27" ht="63">
      <c r="A228" s="563">
        <v>63</v>
      </c>
      <c r="B228" s="568">
        <v>7000026766</v>
      </c>
      <c r="C228" s="568">
        <v>730</v>
      </c>
      <c r="D228" s="568">
        <v>270</v>
      </c>
      <c r="E228" s="568">
        <v>10</v>
      </c>
      <c r="F228" s="568" t="s">
        <v>786</v>
      </c>
      <c r="G228" s="568">
        <v>100002812</v>
      </c>
      <c r="H228" s="568">
        <v>998734</v>
      </c>
      <c r="I228" s="431"/>
      <c r="J228" s="426">
        <v>18</v>
      </c>
      <c r="K228" s="430"/>
      <c r="L228" s="425" t="s">
        <v>797</v>
      </c>
      <c r="M228" s="425" t="s">
        <v>470</v>
      </c>
      <c r="N228" s="425">
        <v>1</v>
      </c>
      <c r="O228" s="427"/>
      <c r="P228" s="429" t="str">
        <f t="shared" si="56"/>
        <v>INCLUDED</v>
      </c>
      <c r="Q228" s="655">
        <f t="shared" si="57"/>
        <v>0</v>
      </c>
      <c r="R228" s="686">
        <f t="shared" si="58"/>
        <v>0</v>
      </c>
      <c r="S228" s="687">
        <f>Discount!$J$36</f>
        <v>0</v>
      </c>
      <c r="T228" s="686">
        <f t="shared" si="59"/>
        <v>0</v>
      </c>
      <c r="U228" s="688">
        <f t="shared" si="60"/>
        <v>0</v>
      </c>
      <c r="V228" s="689">
        <f t="shared" si="61"/>
        <v>0</v>
      </c>
      <c r="W228" s="690"/>
      <c r="X228" s="690"/>
      <c r="Y228" s="690"/>
      <c r="Z228" s="690"/>
      <c r="AA228" s="690"/>
    </row>
    <row r="229" spans="1:27">
      <c r="A229" s="563">
        <v>64</v>
      </c>
      <c r="B229" s="568">
        <v>7000026766</v>
      </c>
      <c r="C229" s="568">
        <v>730</v>
      </c>
      <c r="D229" s="568">
        <v>270</v>
      </c>
      <c r="E229" s="568">
        <v>20</v>
      </c>
      <c r="F229" s="568" t="s">
        <v>786</v>
      </c>
      <c r="G229" s="568">
        <v>170000433</v>
      </c>
      <c r="H229" s="568">
        <v>998734</v>
      </c>
      <c r="I229" s="431"/>
      <c r="J229" s="426">
        <v>18</v>
      </c>
      <c r="K229" s="430"/>
      <c r="L229" s="425" t="s">
        <v>798</v>
      </c>
      <c r="M229" s="425" t="s">
        <v>470</v>
      </c>
      <c r="N229" s="425">
        <v>4</v>
      </c>
      <c r="O229" s="427"/>
      <c r="P229" s="429" t="str">
        <f t="shared" si="56"/>
        <v>INCLUDED</v>
      </c>
      <c r="Q229" s="655">
        <f t="shared" si="57"/>
        <v>0</v>
      </c>
      <c r="R229" s="686">
        <f t="shared" si="58"/>
        <v>0</v>
      </c>
      <c r="S229" s="687">
        <f>Discount!$J$36</f>
        <v>0</v>
      </c>
      <c r="T229" s="686">
        <f t="shared" si="59"/>
        <v>0</v>
      </c>
      <c r="U229" s="688">
        <f t="shared" si="60"/>
        <v>0</v>
      </c>
      <c r="V229" s="689">
        <f t="shared" si="61"/>
        <v>0</v>
      </c>
      <c r="W229" s="690"/>
      <c r="X229" s="690"/>
      <c r="Y229" s="690"/>
      <c r="Z229" s="690"/>
      <c r="AA229" s="690"/>
    </row>
    <row r="230" spans="1:27">
      <c r="A230" s="563">
        <v>65</v>
      </c>
      <c r="B230" s="568">
        <v>7000026766</v>
      </c>
      <c r="C230" s="568">
        <v>730</v>
      </c>
      <c r="D230" s="568">
        <v>270</v>
      </c>
      <c r="E230" s="568">
        <v>30</v>
      </c>
      <c r="F230" s="568" t="s">
        <v>786</v>
      </c>
      <c r="G230" s="568">
        <v>100002825</v>
      </c>
      <c r="H230" s="568">
        <v>998734</v>
      </c>
      <c r="I230" s="431"/>
      <c r="J230" s="426">
        <v>18</v>
      </c>
      <c r="K230" s="430"/>
      <c r="L230" s="425" t="s">
        <v>799</v>
      </c>
      <c r="M230" s="425" t="s">
        <v>471</v>
      </c>
      <c r="N230" s="425">
        <v>2</v>
      </c>
      <c r="O230" s="427"/>
      <c r="P230" s="429" t="str">
        <f t="shared" si="56"/>
        <v>INCLUDED</v>
      </c>
      <c r="Q230" s="655">
        <f t="shared" si="57"/>
        <v>0</v>
      </c>
      <c r="R230" s="686">
        <f t="shared" si="58"/>
        <v>0</v>
      </c>
      <c r="S230" s="687">
        <f>Discount!$J$36</f>
        <v>0</v>
      </c>
      <c r="T230" s="686">
        <f t="shared" si="59"/>
        <v>0</v>
      </c>
      <c r="U230" s="688">
        <f t="shared" si="60"/>
        <v>0</v>
      </c>
      <c r="V230" s="689">
        <f t="shared" si="61"/>
        <v>0</v>
      </c>
      <c r="W230" s="690"/>
      <c r="X230" s="690"/>
      <c r="Y230" s="690"/>
      <c r="Z230" s="690"/>
      <c r="AA230" s="690"/>
    </row>
    <row r="231" spans="1:27">
      <c r="A231" s="563">
        <v>66</v>
      </c>
      <c r="B231" s="568">
        <v>7000026766</v>
      </c>
      <c r="C231" s="568">
        <v>730</v>
      </c>
      <c r="D231" s="568">
        <v>270</v>
      </c>
      <c r="E231" s="568">
        <v>40</v>
      </c>
      <c r="F231" s="568" t="s">
        <v>786</v>
      </c>
      <c r="G231" s="568">
        <v>170000550</v>
      </c>
      <c r="H231" s="568">
        <v>998336</v>
      </c>
      <c r="I231" s="431"/>
      <c r="J231" s="426">
        <v>18</v>
      </c>
      <c r="K231" s="430"/>
      <c r="L231" s="425" t="s">
        <v>800</v>
      </c>
      <c r="M231" s="425" t="s">
        <v>470</v>
      </c>
      <c r="N231" s="425">
        <v>2</v>
      </c>
      <c r="O231" s="427"/>
      <c r="P231" s="429" t="str">
        <f t="shared" si="56"/>
        <v>INCLUDED</v>
      </c>
      <c r="Q231" s="655">
        <f t="shared" si="57"/>
        <v>0</v>
      </c>
      <c r="R231" s="686">
        <f t="shared" si="58"/>
        <v>0</v>
      </c>
      <c r="S231" s="687">
        <f>Discount!$J$36</f>
        <v>0</v>
      </c>
      <c r="T231" s="686">
        <f t="shared" si="59"/>
        <v>0</v>
      </c>
      <c r="U231" s="688">
        <f t="shared" si="60"/>
        <v>0</v>
      </c>
      <c r="V231" s="689">
        <f t="shared" si="61"/>
        <v>0</v>
      </c>
      <c r="W231" s="690"/>
      <c r="X231" s="690"/>
      <c r="Y231" s="690"/>
      <c r="Z231" s="690"/>
      <c r="AA231" s="690"/>
    </row>
    <row r="232" spans="1:27">
      <c r="A232" s="563">
        <v>67</v>
      </c>
      <c r="B232" s="568">
        <v>7000026766</v>
      </c>
      <c r="C232" s="568">
        <v>730</v>
      </c>
      <c r="D232" s="568">
        <v>270</v>
      </c>
      <c r="E232" s="568">
        <v>50</v>
      </c>
      <c r="F232" s="568" t="s">
        <v>786</v>
      </c>
      <c r="G232" s="568">
        <v>100002829</v>
      </c>
      <c r="H232" s="568">
        <v>998734</v>
      </c>
      <c r="I232" s="431"/>
      <c r="J232" s="426">
        <v>18</v>
      </c>
      <c r="K232" s="430"/>
      <c r="L232" s="425" t="s">
        <v>801</v>
      </c>
      <c r="M232" s="425" t="s">
        <v>471</v>
      </c>
      <c r="N232" s="425">
        <v>1</v>
      </c>
      <c r="O232" s="427"/>
      <c r="P232" s="429" t="str">
        <f t="shared" si="56"/>
        <v>INCLUDED</v>
      </c>
      <c r="Q232" s="655">
        <f t="shared" si="57"/>
        <v>0</v>
      </c>
      <c r="R232" s="686">
        <f t="shared" si="58"/>
        <v>0</v>
      </c>
      <c r="S232" s="687">
        <f>Discount!$J$36</f>
        <v>0</v>
      </c>
      <c r="T232" s="686">
        <f t="shared" si="59"/>
        <v>0</v>
      </c>
      <c r="U232" s="688">
        <f t="shared" si="60"/>
        <v>0</v>
      </c>
      <c r="V232" s="689">
        <f t="shared" si="61"/>
        <v>0</v>
      </c>
      <c r="W232" s="690"/>
      <c r="X232" s="690"/>
      <c r="Y232" s="690"/>
      <c r="Z232" s="690"/>
      <c r="AA232" s="690"/>
    </row>
    <row r="233" spans="1:27">
      <c r="A233" s="563">
        <v>68</v>
      </c>
      <c r="B233" s="568">
        <v>7000026766</v>
      </c>
      <c r="C233" s="568">
        <v>730</v>
      </c>
      <c r="D233" s="568">
        <v>270</v>
      </c>
      <c r="E233" s="568">
        <v>60</v>
      </c>
      <c r="F233" s="568" t="s">
        <v>786</v>
      </c>
      <c r="G233" s="568">
        <v>170000375</v>
      </c>
      <c r="H233" s="568">
        <v>998734</v>
      </c>
      <c r="I233" s="431"/>
      <c r="J233" s="426">
        <v>18</v>
      </c>
      <c r="K233" s="430"/>
      <c r="L233" s="425" t="s">
        <v>802</v>
      </c>
      <c r="M233" s="425" t="s">
        <v>470</v>
      </c>
      <c r="N233" s="425">
        <v>1</v>
      </c>
      <c r="O233" s="427"/>
      <c r="P233" s="429" t="str">
        <f t="shared" si="56"/>
        <v>INCLUDED</v>
      </c>
      <c r="Q233" s="655">
        <f t="shared" si="57"/>
        <v>0</v>
      </c>
      <c r="R233" s="686">
        <f t="shared" si="58"/>
        <v>0</v>
      </c>
      <c r="S233" s="687">
        <f>Discount!$J$36</f>
        <v>0</v>
      </c>
      <c r="T233" s="686">
        <f t="shared" si="59"/>
        <v>0</v>
      </c>
      <c r="U233" s="688">
        <f t="shared" si="60"/>
        <v>0</v>
      </c>
      <c r="V233" s="689">
        <f t="shared" si="61"/>
        <v>0</v>
      </c>
      <c r="W233" s="690"/>
      <c r="X233" s="690"/>
      <c r="Y233" s="690"/>
      <c r="Z233" s="690"/>
      <c r="AA233" s="690"/>
    </row>
    <row r="234" spans="1:27" ht="31.5">
      <c r="A234" s="563">
        <v>69</v>
      </c>
      <c r="B234" s="568">
        <v>7000026766</v>
      </c>
      <c r="C234" s="568">
        <v>730</v>
      </c>
      <c r="D234" s="568">
        <v>270</v>
      </c>
      <c r="E234" s="568">
        <v>70</v>
      </c>
      <c r="F234" s="568" t="s">
        <v>786</v>
      </c>
      <c r="G234" s="568">
        <v>170004394</v>
      </c>
      <c r="H234" s="568">
        <v>998336</v>
      </c>
      <c r="I234" s="431"/>
      <c r="J234" s="426">
        <v>18</v>
      </c>
      <c r="K234" s="430"/>
      <c r="L234" s="425" t="s">
        <v>803</v>
      </c>
      <c r="M234" s="425" t="s">
        <v>493</v>
      </c>
      <c r="N234" s="425">
        <v>1</v>
      </c>
      <c r="O234" s="427"/>
      <c r="P234" s="429" t="str">
        <f t="shared" si="56"/>
        <v>INCLUDED</v>
      </c>
      <c r="Q234" s="655">
        <f t="shared" si="57"/>
        <v>0</v>
      </c>
      <c r="R234" s="686">
        <f t="shared" si="58"/>
        <v>0</v>
      </c>
      <c r="S234" s="687">
        <f>Discount!$J$36</f>
        <v>0</v>
      </c>
      <c r="T234" s="686">
        <f t="shared" si="59"/>
        <v>0</v>
      </c>
      <c r="U234" s="688">
        <f t="shared" si="60"/>
        <v>0</v>
      </c>
      <c r="V234" s="689">
        <f t="shared" si="61"/>
        <v>0</v>
      </c>
      <c r="W234" s="690"/>
      <c r="X234" s="690"/>
      <c r="Y234" s="690"/>
      <c r="Z234" s="690"/>
      <c r="AA234" s="690"/>
    </row>
    <row r="235" spans="1:27" ht="31.5">
      <c r="A235" s="563">
        <v>70</v>
      </c>
      <c r="B235" s="568">
        <v>7000026766</v>
      </c>
      <c r="C235" s="568">
        <v>730</v>
      </c>
      <c r="D235" s="568">
        <v>270</v>
      </c>
      <c r="E235" s="568">
        <v>80</v>
      </c>
      <c r="F235" s="568" t="s">
        <v>786</v>
      </c>
      <c r="G235" s="568">
        <v>170000356</v>
      </c>
      <c r="H235" s="568">
        <v>998336</v>
      </c>
      <c r="I235" s="431"/>
      <c r="J235" s="426">
        <v>18</v>
      </c>
      <c r="K235" s="430"/>
      <c r="L235" s="425" t="s">
        <v>804</v>
      </c>
      <c r="M235" s="425" t="s">
        <v>470</v>
      </c>
      <c r="N235" s="425">
        <v>1</v>
      </c>
      <c r="O235" s="427"/>
      <c r="P235" s="429" t="str">
        <f t="shared" si="56"/>
        <v>INCLUDED</v>
      </c>
      <c r="Q235" s="655">
        <f t="shared" si="57"/>
        <v>0</v>
      </c>
      <c r="R235" s="686">
        <f t="shared" si="58"/>
        <v>0</v>
      </c>
      <c r="S235" s="687">
        <f>Discount!$J$36</f>
        <v>0</v>
      </c>
      <c r="T235" s="686">
        <f t="shared" si="59"/>
        <v>0</v>
      </c>
      <c r="U235" s="688">
        <f t="shared" si="60"/>
        <v>0</v>
      </c>
      <c r="V235" s="689">
        <f t="shared" si="61"/>
        <v>0</v>
      </c>
      <c r="W235" s="690"/>
      <c r="X235" s="690"/>
      <c r="Y235" s="690"/>
      <c r="Z235" s="690"/>
      <c r="AA235" s="690"/>
    </row>
    <row r="236" spans="1:27" ht="31.5">
      <c r="A236" s="563">
        <v>71</v>
      </c>
      <c r="B236" s="568">
        <v>7000026766</v>
      </c>
      <c r="C236" s="568">
        <v>800</v>
      </c>
      <c r="D236" s="568">
        <v>290</v>
      </c>
      <c r="E236" s="568">
        <v>10</v>
      </c>
      <c r="F236" s="568" t="s">
        <v>579</v>
      </c>
      <c r="G236" s="568">
        <v>170000502</v>
      </c>
      <c r="H236" s="568">
        <v>998713</v>
      </c>
      <c r="I236" s="431"/>
      <c r="J236" s="426">
        <v>18</v>
      </c>
      <c r="K236" s="430"/>
      <c r="L236" s="425" t="s">
        <v>805</v>
      </c>
      <c r="M236" s="425" t="s">
        <v>470</v>
      </c>
      <c r="N236" s="425">
        <v>1</v>
      </c>
      <c r="O236" s="427"/>
      <c r="P236" s="429" t="str">
        <f t="shared" si="42"/>
        <v>INCLUDED</v>
      </c>
      <c r="Q236" s="655">
        <f t="shared" si="43"/>
        <v>0</v>
      </c>
      <c r="R236" s="686">
        <f t="shared" si="52"/>
        <v>0</v>
      </c>
      <c r="S236" s="687">
        <f>Discount!$J$36</f>
        <v>0</v>
      </c>
      <c r="T236" s="686">
        <f t="shared" si="53"/>
        <v>0</v>
      </c>
      <c r="U236" s="688">
        <f t="shared" si="54"/>
        <v>0</v>
      </c>
      <c r="V236" s="689">
        <f t="shared" si="55"/>
        <v>0</v>
      </c>
      <c r="W236" s="690"/>
      <c r="X236" s="690"/>
      <c r="Y236" s="690"/>
      <c r="Z236" s="690"/>
      <c r="AA236" s="690"/>
    </row>
    <row r="237" spans="1:27" ht="31.5">
      <c r="A237" s="563">
        <v>72</v>
      </c>
      <c r="B237" s="568">
        <v>7000026766</v>
      </c>
      <c r="C237" s="568">
        <v>800</v>
      </c>
      <c r="D237" s="568">
        <v>290</v>
      </c>
      <c r="E237" s="568">
        <v>20</v>
      </c>
      <c r="F237" s="568" t="s">
        <v>579</v>
      </c>
      <c r="G237" s="568">
        <v>170000530</v>
      </c>
      <c r="H237" s="568">
        <v>998734</v>
      </c>
      <c r="I237" s="431"/>
      <c r="J237" s="426">
        <v>18</v>
      </c>
      <c r="K237" s="430"/>
      <c r="L237" s="425" t="s">
        <v>806</v>
      </c>
      <c r="M237" s="425" t="s">
        <v>470</v>
      </c>
      <c r="N237" s="425">
        <v>1</v>
      </c>
      <c r="O237" s="427"/>
      <c r="P237" s="429" t="str">
        <f t="shared" si="42"/>
        <v>INCLUDED</v>
      </c>
      <c r="Q237" s="655">
        <f t="shared" si="43"/>
        <v>0</v>
      </c>
      <c r="R237" s="686">
        <f t="shared" si="52"/>
        <v>0</v>
      </c>
      <c r="S237" s="687">
        <f>Discount!$J$36</f>
        <v>0</v>
      </c>
      <c r="T237" s="686">
        <f t="shared" si="53"/>
        <v>0</v>
      </c>
      <c r="U237" s="688">
        <f t="shared" si="54"/>
        <v>0</v>
      </c>
      <c r="V237" s="689">
        <f t="shared" si="55"/>
        <v>0</v>
      </c>
      <c r="W237" s="690"/>
      <c r="X237" s="690"/>
      <c r="Y237" s="690"/>
      <c r="Z237" s="690"/>
      <c r="AA237" s="690"/>
    </row>
    <row r="238" spans="1:27" ht="31.5">
      <c r="A238" s="563">
        <v>73</v>
      </c>
      <c r="B238" s="568">
        <v>7000026766</v>
      </c>
      <c r="C238" s="568">
        <v>800</v>
      </c>
      <c r="D238" s="568">
        <v>290</v>
      </c>
      <c r="E238" s="568">
        <v>30</v>
      </c>
      <c r="F238" s="568" t="s">
        <v>579</v>
      </c>
      <c r="G238" s="568">
        <v>170004701</v>
      </c>
      <c r="H238" s="568">
        <v>998734</v>
      </c>
      <c r="I238" s="431"/>
      <c r="J238" s="426">
        <v>18</v>
      </c>
      <c r="K238" s="430"/>
      <c r="L238" s="425" t="s">
        <v>807</v>
      </c>
      <c r="M238" s="425" t="s">
        <v>470</v>
      </c>
      <c r="N238" s="425">
        <v>1</v>
      </c>
      <c r="O238" s="427"/>
      <c r="P238" s="429" t="str">
        <f t="shared" si="42"/>
        <v>INCLUDED</v>
      </c>
      <c r="Q238" s="655">
        <f t="shared" si="43"/>
        <v>0</v>
      </c>
      <c r="R238" s="686">
        <f t="shared" si="52"/>
        <v>0</v>
      </c>
      <c r="S238" s="687">
        <f>Discount!$J$36</f>
        <v>0</v>
      </c>
      <c r="T238" s="686">
        <f t="shared" si="53"/>
        <v>0</v>
      </c>
      <c r="U238" s="688">
        <f t="shared" si="54"/>
        <v>0</v>
      </c>
      <c r="V238" s="689">
        <f t="shared" si="55"/>
        <v>0</v>
      </c>
      <c r="W238" s="690"/>
      <c r="X238" s="690"/>
      <c r="Y238" s="690"/>
      <c r="Z238" s="690"/>
      <c r="AA238" s="690"/>
    </row>
    <row r="239" spans="1:27" ht="31.5">
      <c r="A239" s="563">
        <v>74</v>
      </c>
      <c r="B239" s="568">
        <v>7000026766</v>
      </c>
      <c r="C239" s="568">
        <v>800</v>
      </c>
      <c r="D239" s="568">
        <v>290</v>
      </c>
      <c r="E239" s="568">
        <v>40</v>
      </c>
      <c r="F239" s="568" t="s">
        <v>579</v>
      </c>
      <c r="G239" s="568">
        <v>170004700</v>
      </c>
      <c r="H239" s="568">
        <v>998734</v>
      </c>
      <c r="I239" s="431"/>
      <c r="J239" s="426">
        <v>18</v>
      </c>
      <c r="K239" s="430"/>
      <c r="L239" s="425" t="s">
        <v>808</v>
      </c>
      <c r="M239" s="425" t="s">
        <v>470</v>
      </c>
      <c r="N239" s="425">
        <v>1</v>
      </c>
      <c r="O239" s="427"/>
      <c r="P239" s="429" t="str">
        <f t="shared" si="42"/>
        <v>INCLUDED</v>
      </c>
      <c r="Q239" s="655">
        <f t="shared" si="43"/>
        <v>0</v>
      </c>
      <c r="R239" s="686">
        <f t="shared" si="52"/>
        <v>0</v>
      </c>
      <c r="S239" s="687">
        <f>Discount!$J$36</f>
        <v>0</v>
      </c>
      <c r="T239" s="686">
        <f t="shared" si="53"/>
        <v>0</v>
      </c>
      <c r="U239" s="688">
        <f t="shared" si="54"/>
        <v>0</v>
      </c>
      <c r="V239" s="689">
        <f t="shared" si="55"/>
        <v>0</v>
      </c>
      <c r="W239" s="690"/>
      <c r="X239" s="690"/>
      <c r="Y239" s="690"/>
      <c r="Z239" s="690"/>
      <c r="AA239" s="690"/>
    </row>
    <row r="240" spans="1:27" ht="31.5">
      <c r="A240" s="563">
        <v>75</v>
      </c>
      <c r="B240" s="568">
        <v>7000026766</v>
      </c>
      <c r="C240" s="568">
        <v>800</v>
      </c>
      <c r="D240" s="568">
        <v>290</v>
      </c>
      <c r="E240" s="568">
        <v>50</v>
      </c>
      <c r="F240" s="568" t="s">
        <v>579</v>
      </c>
      <c r="G240" s="568">
        <v>170000504</v>
      </c>
      <c r="H240" s="568">
        <v>998713</v>
      </c>
      <c r="I240" s="431"/>
      <c r="J240" s="426">
        <v>18</v>
      </c>
      <c r="K240" s="430"/>
      <c r="L240" s="425" t="s">
        <v>809</v>
      </c>
      <c r="M240" s="425" t="s">
        <v>505</v>
      </c>
      <c r="N240" s="425">
        <v>1</v>
      </c>
      <c r="O240" s="427"/>
      <c r="P240" s="429" t="str">
        <f t="shared" si="42"/>
        <v>INCLUDED</v>
      </c>
      <c r="Q240" s="655">
        <f t="shared" si="43"/>
        <v>0</v>
      </c>
      <c r="R240" s="686">
        <f t="shared" si="52"/>
        <v>0</v>
      </c>
      <c r="S240" s="687">
        <f>Discount!$J$36</f>
        <v>0</v>
      </c>
      <c r="T240" s="686">
        <f t="shared" si="53"/>
        <v>0</v>
      </c>
      <c r="U240" s="688">
        <f t="shared" si="54"/>
        <v>0</v>
      </c>
      <c r="V240" s="689">
        <f t="shared" si="55"/>
        <v>0</v>
      </c>
      <c r="W240" s="690"/>
      <c r="X240" s="690"/>
      <c r="Y240" s="690"/>
      <c r="Z240" s="690"/>
      <c r="AA240" s="690"/>
    </row>
    <row r="241" spans="1:31" ht="31.5">
      <c r="A241" s="563">
        <v>76</v>
      </c>
      <c r="B241" s="568">
        <v>7000026766</v>
      </c>
      <c r="C241" s="568">
        <v>800</v>
      </c>
      <c r="D241" s="568">
        <v>290</v>
      </c>
      <c r="E241" s="568">
        <v>60</v>
      </c>
      <c r="F241" s="568" t="s">
        <v>579</v>
      </c>
      <c r="G241" s="568">
        <v>170003449</v>
      </c>
      <c r="H241" s="568">
        <v>998316</v>
      </c>
      <c r="I241" s="431"/>
      <c r="J241" s="426">
        <v>18</v>
      </c>
      <c r="K241" s="430"/>
      <c r="L241" s="425" t="s">
        <v>810</v>
      </c>
      <c r="M241" s="425" t="s">
        <v>470</v>
      </c>
      <c r="N241" s="425">
        <v>2</v>
      </c>
      <c r="O241" s="427"/>
      <c r="P241" s="429" t="str">
        <f t="shared" ref="P241:P242" si="62">IF(O241=0, "INCLUDED", IF(ISERROR(N241*O241), O241, N241*O241))</f>
        <v>INCLUDED</v>
      </c>
      <c r="Q241" s="655">
        <f t="shared" ref="Q241:Q242" si="63">IF(P241="Included",0,P241)</f>
        <v>0</v>
      </c>
      <c r="R241" s="686">
        <f t="shared" ref="R241:R242" si="64">IF( K241="",J241*(IF(P241="Included",0,P241))/100,K241*(IF(P241="Included",0,P241)))</f>
        <v>0</v>
      </c>
      <c r="S241" s="687">
        <f>Discount!$J$36</f>
        <v>0</v>
      </c>
      <c r="T241" s="686">
        <f t="shared" ref="T241:T242" si="65">S241*Q241</f>
        <v>0</v>
      </c>
      <c r="U241" s="688">
        <f t="shared" ref="U241:U242" si="66">IF(K241="",J241*T241/100,K241*T241)</f>
        <v>0</v>
      </c>
      <c r="V241" s="689">
        <f t="shared" ref="V241:V242" si="67">O241*N241</f>
        <v>0</v>
      </c>
      <c r="W241" s="690"/>
      <c r="X241" s="690"/>
      <c r="Y241" s="690"/>
      <c r="Z241" s="690"/>
      <c r="AA241" s="690"/>
    </row>
    <row r="242" spans="1:31" ht="31.5">
      <c r="A242" s="563">
        <v>77</v>
      </c>
      <c r="B242" s="568">
        <v>7000026766</v>
      </c>
      <c r="C242" s="568">
        <v>800</v>
      </c>
      <c r="D242" s="568">
        <v>290</v>
      </c>
      <c r="E242" s="568">
        <v>70</v>
      </c>
      <c r="F242" s="568" t="s">
        <v>579</v>
      </c>
      <c r="G242" s="568">
        <v>170000501</v>
      </c>
      <c r="H242" s="568">
        <v>998734</v>
      </c>
      <c r="I242" s="431"/>
      <c r="J242" s="426">
        <v>18</v>
      </c>
      <c r="K242" s="430"/>
      <c r="L242" s="425" t="s">
        <v>811</v>
      </c>
      <c r="M242" s="425" t="s">
        <v>505</v>
      </c>
      <c r="N242" s="425">
        <v>1</v>
      </c>
      <c r="O242" s="427"/>
      <c r="P242" s="429" t="str">
        <f t="shared" si="62"/>
        <v>INCLUDED</v>
      </c>
      <c r="Q242" s="655">
        <f t="shared" si="63"/>
        <v>0</v>
      </c>
      <c r="R242" s="686">
        <f t="shared" si="64"/>
        <v>0</v>
      </c>
      <c r="S242" s="687">
        <f>Discount!$J$36</f>
        <v>0</v>
      </c>
      <c r="T242" s="686">
        <f t="shared" si="65"/>
        <v>0</v>
      </c>
      <c r="U242" s="688">
        <f t="shared" si="66"/>
        <v>0</v>
      </c>
      <c r="V242" s="689">
        <f t="shared" si="67"/>
        <v>0</v>
      </c>
      <c r="W242" s="690"/>
      <c r="X242" s="690"/>
      <c r="Y242" s="690"/>
      <c r="Z242" s="690"/>
      <c r="AA242" s="690"/>
    </row>
    <row r="243" spans="1:31">
      <c r="A243" s="563">
        <v>78</v>
      </c>
      <c r="B243" s="568">
        <v>7000026766</v>
      </c>
      <c r="C243" s="568">
        <v>830</v>
      </c>
      <c r="D243" s="568">
        <v>310</v>
      </c>
      <c r="E243" s="568">
        <v>10</v>
      </c>
      <c r="F243" s="568" t="s">
        <v>576</v>
      </c>
      <c r="G243" s="568">
        <v>100002181</v>
      </c>
      <c r="H243" s="568">
        <v>998736</v>
      </c>
      <c r="I243" s="431"/>
      <c r="J243" s="426">
        <v>18</v>
      </c>
      <c r="K243" s="430"/>
      <c r="L243" s="425" t="s">
        <v>781</v>
      </c>
      <c r="M243" s="425" t="s">
        <v>506</v>
      </c>
      <c r="N243" s="425">
        <v>1</v>
      </c>
      <c r="O243" s="427"/>
      <c r="P243" s="429" t="str">
        <f t="shared" si="42"/>
        <v>INCLUDED</v>
      </c>
      <c r="Q243" s="655">
        <f t="shared" si="43"/>
        <v>0</v>
      </c>
      <c r="R243" s="686">
        <f t="shared" si="52"/>
        <v>0</v>
      </c>
      <c r="S243" s="687">
        <f>Discount!$J$36</f>
        <v>0</v>
      </c>
      <c r="T243" s="686">
        <f t="shared" si="53"/>
        <v>0</v>
      </c>
      <c r="U243" s="688">
        <f t="shared" si="54"/>
        <v>0</v>
      </c>
      <c r="V243" s="689">
        <f t="shared" si="55"/>
        <v>0</v>
      </c>
      <c r="W243" s="690"/>
      <c r="X243" s="690"/>
      <c r="Y243" s="690"/>
      <c r="Z243" s="690"/>
      <c r="AA243" s="690"/>
    </row>
    <row r="244" spans="1:31">
      <c r="A244" s="563">
        <v>79</v>
      </c>
      <c r="B244" s="568">
        <v>7000026766</v>
      </c>
      <c r="C244" s="568">
        <v>830</v>
      </c>
      <c r="D244" s="568">
        <v>310</v>
      </c>
      <c r="E244" s="568">
        <v>20</v>
      </c>
      <c r="F244" s="568" t="s">
        <v>576</v>
      </c>
      <c r="G244" s="568">
        <v>100002182</v>
      </c>
      <c r="H244" s="568">
        <v>998736</v>
      </c>
      <c r="I244" s="431"/>
      <c r="J244" s="426">
        <v>18</v>
      </c>
      <c r="K244" s="430"/>
      <c r="L244" s="425" t="s">
        <v>782</v>
      </c>
      <c r="M244" s="425" t="s">
        <v>506</v>
      </c>
      <c r="N244" s="425">
        <v>1</v>
      </c>
      <c r="O244" s="427"/>
      <c r="P244" s="429" t="str">
        <f t="shared" si="42"/>
        <v>INCLUDED</v>
      </c>
      <c r="Q244" s="655">
        <f t="shared" si="43"/>
        <v>0</v>
      </c>
      <c r="R244" s="686">
        <f t="shared" si="52"/>
        <v>0</v>
      </c>
      <c r="S244" s="687">
        <f>Discount!$J$36</f>
        <v>0</v>
      </c>
      <c r="T244" s="686">
        <f t="shared" si="53"/>
        <v>0</v>
      </c>
      <c r="U244" s="688">
        <f t="shared" si="54"/>
        <v>0</v>
      </c>
      <c r="V244" s="689">
        <f t="shared" si="55"/>
        <v>0</v>
      </c>
      <c r="W244" s="690"/>
      <c r="X244" s="690"/>
      <c r="Y244" s="690"/>
      <c r="Z244" s="690"/>
      <c r="AA244" s="690"/>
    </row>
    <row r="245" spans="1:31" s="683" customFormat="1" ht="34.5" customHeight="1">
      <c r="A245" s="684" t="s">
        <v>562</v>
      </c>
      <c r="B245" s="685" t="s">
        <v>559</v>
      </c>
      <c r="C245" s="685"/>
      <c r="D245" s="685"/>
      <c r="E245" s="685"/>
      <c r="F245" s="685"/>
      <c r="G245" s="685"/>
      <c r="H245" s="685"/>
      <c r="I245" s="685"/>
      <c r="J245" s="685"/>
      <c r="K245" s="685"/>
      <c r="L245" s="685"/>
      <c r="M245" s="685"/>
      <c r="N245" s="685"/>
      <c r="O245" s="685"/>
      <c r="P245" s="685"/>
      <c r="Q245" s="680"/>
      <c r="V245" s="680"/>
      <c r="W245" s="680"/>
      <c r="X245" s="680"/>
      <c r="Y245" s="680"/>
      <c r="Z245" s="680"/>
      <c r="AA245" s="680"/>
      <c r="AB245" s="680"/>
      <c r="AC245" s="680"/>
      <c r="AD245" s="680"/>
      <c r="AE245" s="680"/>
    </row>
    <row r="246" spans="1:31" ht="31.5">
      <c r="A246" s="563">
        <v>1</v>
      </c>
      <c r="B246" s="568">
        <v>7000026864</v>
      </c>
      <c r="C246" s="568">
        <v>40</v>
      </c>
      <c r="D246" s="568">
        <v>20</v>
      </c>
      <c r="E246" s="568">
        <v>10</v>
      </c>
      <c r="F246" s="568" t="s">
        <v>679</v>
      </c>
      <c r="G246" s="568">
        <v>100000328</v>
      </c>
      <c r="H246" s="568">
        <v>998736</v>
      </c>
      <c r="I246" s="431"/>
      <c r="J246" s="426">
        <v>18</v>
      </c>
      <c r="K246" s="430"/>
      <c r="L246" s="425" t="s">
        <v>477</v>
      </c>
      <c r="M246" s="425" t="s">
        <v>470</v>
      </c>
      <c r="N246" s="425">
        <v>3</v>
      </c>
      <c r="O246" s="427"/>
      <c r="P246" s="429" t="str">
        <f t="shared" ref="P246:P279" si="68">IF(O246=0, "INCLUDED", IF(ISERROR(N246*O246), O246, N246*O246))</f>
        <v>INCLUDED</v>
      </c>
      <c r="Q246" s="655">
        <f t="shared" ref="Q246:Q279" si="69">IF(P246="Included",0,P246)</f>
        <v>0</v>
      </c>
      <c r="R246" s="686">
        <f t="shared" ref="R246:R250" si="70">IF( K246="",J246*(IF(P246="Included",0,P246))/100,K246*(IF(P246="Included",0,P246)))</f>
        <v>0</v>
      </c>
      <c r="S246" s="687">
        <f>Discount!$J$36</f>
        <v>0</v>
      </c>
      <c r="T246" s="686">
        <f t="shared" ref="T246:T250" si="71">S246*Q246</f>
        <v>0</v>
      </c>
      <c r="U246" s="688">
        <f t="shared" ref="U246:U285" si="72">IF(K246="",J246*T246/100,K246*T246)</f>
        <v>0</v>
      </c>
      <c r="V246" s="689">
        <f t="shared" ref="V246:V285" si="73">O246*N246</f>
        <v>0</v>
      </c>
      <c r="W246" s="690"/>
      <c r="X246" s="690"/>
      <c r="Y246" s="690"/>
      <c r="Z246" s="690"/>
      <c r="AA246" s="690"/>
    </row>
    <row r="247" spans="1:31" ht="31.5">
      <c r="A247" s="563">
        <v>2</v>
      </c>
      <c r="B247" s="568">
        <v>7000026864</v>
      </c>
      <c r="C247" s="568">
        <v>40</v>
      </c>
      <c r="D247" s="568">
        <v>20</v>
      </c>
      <c r="E247" s="568">
        <v>20</v>
      </c>
      <c r="F247" s="568" t="s">
        <v>679</v>
      </c>
      <c r="G247" s="568">
        <v>100000484</v>
      </c>
      <c r="H247" s="568">
        <v>998736</v>
      </c>
      <c r="I247" s="431"/>
      <c r="J247" s="426">
        <v>18</v>
      </c>
      <c r="K247" s="430"/>
      <c r="L247" s="425" t="s">
        <v>479</v>
      </c>
      <c r="M247" s="425" t="s">
        <v>470</v>
      </c>
      <c r="N247" s="425">
        <v>3</v>
      </c>
      <c r="O247" s="427"/>
      <c r="P247" s="429" t="str">
        <f t="shared" si="68"/>
        <v>INCLUDED</v>
      </c>
      <c r="Q247" s="655">
        <f t="shared" si="69"/>
        <v>0</v>
      </c>
      <c r="R247" s="686">
        <f t="shared" si="70"/>
        <v>0</v>
      </c>
      <c r="S247" s="687">
        <f>Discount!$J$36</f>
        <v>0</v>
      </c>
      <c r="T247" s="686">
        <f t="shared" si="71"/>
        <v>0</v>
      </c>
      <c r="U247" s="688">
        <f t="shared" si="72"/>
        <v>0</v>
      </c>
      <c r="V247" s="689">
        <f t="shared" si="73"/>
        <v>0</v>
      </c>
      <c r="W247" s="690"/>
      <c r="X247" s="690"/>
      <c r="Y247" s="690"/>
      <c r="Z247" s="690"/>
      <c r="AA247" s="690"/>
    </row>
    <row r="248" spans="1:31" ht="31.5">
      <c r="A248" s="563">
        <v>3</v>
      </c>
      <c r="B248" s="568">
        <v>7000026864</v>
      </c>
      <c r="C248" s="568">
        <v>40</v>
      </c>
      <c r="D248" s="568">
        <v>20</v>
      </c>
      <c r="E248" s="568">
        <v>30</v>
      </c>
      <c r="F248" s="568" t="s">
        <v>679</v>
      </c>
      <c r="G248" s="568">
        <v>100000498</v>
      </c>
      <c r="H248" s="568">
        <v>998736</v>
      </c>
      <c r="I248" s="431"/>
      <c r="J248" s="426">
        <v>18</v>
      </c>
      <c r="K248" s="430"/>
      <c r="L248" s="425" t="s">
        <v>822</v>
      </c>
      <c r="M248" s="425" t="s">
        <v>470</v>
      </c>
      <c r="N248" s="425">
        <v>21</v>
      </c>
      <c r="O248" s="427"/>
      <c r="P248" s="429" t="str">
        <f t="shared" si="68"/>
        <v>INCLUDED</v>
      </c>
      <c r="Q248" s="655">
        <f t="shared" si="69"/>
        <v>0</v>
      </c>
      <c r="R248" s="686">
        <f t="shared" si="70"/>
        <v>0</v>
      </c>
      <c r="S248" s="687">
        <f>Discount!$J$36</f>
        <v>0</v>
      </c>
      <c r="T248" s="686">
        <f t="shared" si="71"/>
        <v>0</v>
      </c>
      <c r="U248" s="688">
        <f t="shared" si="72"/>
        <v>0</v>
      </c>
      <c r="V248" s="689">
        <f t="shared" si="73"/>
        <v>0</v>
      </c>
      <c r="W248" s="690"/>
      <c r="X248" s="690"/>
      <c r="Y248" s="690"/>
      <c r="Z248" s="690"/>
      <c r="AA248" s="690"/>
    </row>
    <row r="249" spans="1:31" ht="31.5">
      <c r="A249" s="563">
        <v>4</v>
      </c>
      <c r="B249" s="568">
        <v>7000026864</v>
      </c>
      <c r="C249" s="568">
        <v>70</v>
      </c>
      <c r="D249" s="568">
        <v>40</v>
      </c>
      <c r="E249" s="568">
        <v>20</v>
      </c>
      <c r="F249" s="568" t="s">
        <v>680</v>
      </c>
      <c r="G249" s="568">
        <v>100002390</v>
      </c>
      <c r="H249" s="568">
        <v>998736</v>
      </c>
      <c r="I249" s="431"/>
      <c r="J249" s="426">
        <v>18</v>
      </c>
      <c r="K249" s="430"/>
      <c r="L249" s="425" t="s">
        <v>823</v>
      </c>
      <c r="M249" s="425" t="s">
        <v>470</v>
      </c>
      <c r="N249" s="425">
        <v>6</v>
      </c>
      <c r="O249" s="427"/>
      <c r="P249" s="429" t="str">
        <f t="shared" si="68"/>
        <v>INCLUDED</v>
      </c>
      <c r="Q249" s="655">
        <f t="shared" si="69"/>
        <v>0</v>
      </c>
      <c r="R249" s="686">
        <f t="shared" si="70"/>
        <v>0</v>
      </c>
      <c r="S249" s="687">
        <f>Discount!$J$36</f>
        <v>0</v>
      </c>
      <c r="T249" s="686">
        <f t="shared" si="71"/>
        <v>0</v>
      </c>
      <c r="U249" s="688">
        <f t="shared" si="72"/>
        <v>0</v>
      </c>
      <c r="V249" s="689">
        <f t="shared" si="73"/>
        <v>0</v>
      </c>
      <c r="W249" s="690"/>
      <c r="X249" s="690"/>
      <c r="Y249" s="690"/>
      <c r="Z249" s="690"/>
      <c r="AA249" s="690"/>
    </row>
    <row r="250" spans="1:31" ht="31.5">
      <c r="A250" s="563">
        <v>5</v>
      </c>
      <c r="B250" s="568">
        <v>7000026864</v>
      </c>
      <c r="C250" s="568">
        <v>70</v>
      </c>
      <c r="D250" s="568">
        <v>40</v>
      </c>
      <c r="E250" s="568">
        <v>30</v>
      </c>
      <c r="F250" s="568" t="s">
        <v>680</v>
      </c>
      <c r="G250" s="568">
        <v>100026389</v>
      </c>
      <c r="H250" s="568">
        <v>998736</v>
      </c>
      <c r="I250" s="431"/>
      <c r="J250" s="426">
        <v>18</v>
      </c>
      <c r="K250" s="430"/>
      <c r="L250" s="425" t="s">
        <v>824</v>
      </c>
      <c r="M250" s="425" t="s">
        <v>518</v>
      </c>
      <c r="N250" s="425">
        <v>1200</v>
      </c>
      <c r="O250" s="427"/>
      <c r="P250" s="429" t="str">
        <f t="shared" si="68"/>
        <v>INCLUDED</v>
      </c>
      <c r="Q250" s="655">
        <f t="shared" si="69"/>
        <v>0</v>
      </c>
      <c r="R250" s="686">
        <f t="shared" si="70"/>
        <v>0</v>
      </c>
      <c r="S250" s="687">
        <f>Discount!$J$36</f>
        <v>0</v>
      </c>
      <c r="T250" s="686">
        <f t="shared" si="71"/>
        <v>0</v>
      </c>
      <c r="U250" s="688">
        <f t="shared" si="72"/>
        <v>0</v>
      </c>
      <c r="V250" s="689">
        <f t="shared" si="73"/>
        <v>0</v>
      </c>
      <c r="W250" s="690"/>
      <c r="X250" s="690"/>
      <c r="Y250" s="690"/>
      <c r="Z250" s="690"/>
      <c r="AA250" s="690"/>
    </row>
    <row r="251" spans="1:31" ht="31.5">
      <c r="A251" s="563">
        <v>6</v>
      </c>
      <c r="B251" s="568">
        <v>7000026864</v>
      </c>
      <c r="C251" s="568">
        <v>100</v>
      </c>
      <c r="D251" s="568">
        <v>60</v>
      </c>
      <c r="E251" s="568">
        <v>10</v>
      </c>
      <c r="F251" s="568" t="s">
        <v>681</v>
      </c>
      <c r="G251" s="568">
        <v>100002188</v>
      </c>
      <c r="H251" s="568">
        <v>998731</v>
      </c>
      <c r="I251" s="431"/>
      <c r="J251" s="426">
        <v>18</v>
      </c>
      <c r="K251" s="430"/>
      <c r="L251" s="425" t="s">
        <v>825</v>
      </c>
      <c r="M251" s="425" t="s">
        <v>471</v>
      </c>
      <c r="N251" s="425">
        <v>1</v>
      </c>
      <c r="O251" s="427"/>
      <c r="P251" s="429" t="str">
        <f t="shared" si="68"/>
        <v>INCLUDED</v>
      </c>
      <c r="Q251" s="655">
        <f t="shared" si="69"/>
        <v>0</v>
      </c>
      <c r="R251" s="686">
        <f>IF( K251="",J251*(IF(P251="Included",0,P251))/100,K251*(IF(P251="Included",0,P251)))</f>
        <v>0</v>
      </c>
      <c r="S251" s="687">
        <f>Discount!$J$36</f>
        <v>0</v>
      </c>
      <c r="T251" s="686">
        <f>S251*Q251</f>
        <v>0</v>
      </c>
      <c r="U251" s="688">
        <f t="shared" si="72"/>
        <v>0</v>
      </c>
      <c r="V251" s="689">
        <f t="shared" si="73"/>
        <v>0</v>
      </c>
      <c r="W251" s="690"/>
      <c r="X251" s="690"/>
      <c r="Y251" s="690"/>
      <c r="Z251" s="690"/>
      <c r="AA251" s="690"/>
    </row>
    <row r="252" spans="1:31" ht="31.5">
      <c r="A252" s="563">
        <v>7</v>
      </c>
      <c r="B252" s="568">
        <v>7000026864</v>
      </c>
      <c r="C252" s="568">
        <v>100</v>
      </c>
      <c r="D252" s="568">
        <v>60</v>
      </c>
      <c r="E252" s="568">
        <v>20</v>
      </c>
      <c r="F252" s="568" t="s">
        <v>681</v>
      </c>
      <c r="G252" s="568">
        <v>100002306</v>
      </c>
      <c r="H252" s="568">
        <v>998731</v>
      </c>
      <c r="I252" s="431"/>
      <c r="J252" s="426">
        <v>18</v>
      </c>
      <c r="K252" s="430"/>
      <c r="L252" s="425" t="s">
        <v>826</v>
      </c>
      <c r="M252" s="425" t="s">
        <v>471</v>
      </c>
      <c r="N252" s="425">
        <v>1</v>
      </c>
      <c r="O252" s="427"/>
      <c r="P252" s="429" t="str">
        <f t="shared" si="68"/>
        <v>INCLUDED</v>
      </c>
      <c r="Q252" s="655">
        <f t="shared" si="69"/>
        <v>0</v>
      </c>
      <c r="R252" s="686">
        <f t="shared" ref="R252:R293" si="74">IF( K252="",J252*(IF(P252="Included",0,P252))/100,K252*(IF(P252="Included",0,P252)))</f>
        <v>0</v>
      </c>
      <c r="S252" s="687">
        <f>Discount!$J$36</f>
        <v>0</v>
      </c>
      <c r="T252" s="686">
        <f t="shared" ref="T252:T293" si="75">S252*Q252</f>
        <v>0</v>
      </c>
      <c r="U252" s="688">
        <f t="shared" si="72"/>
        <v>0</v>
      </c>
      <c r="V252" s="689">
        <f t="shared" si="73"/>
        <v>0</v>
      </c>
      <c r="W252" s="690"/>
      <c r="X252" s="690"/>
      <c r="Y252" s="690"/>
      <c r="Z252" s="690"/>
      <c r="AA252" s="690"/>
    </row>
    <row r="253" spans="1:31" ht="31.5">
      <c r="A253" s="563">
        <v>8</v>
      </c>
      <c r="B253" s="568">
        <v>7000026864</v>
      </c>
      <c r="C253" s="568">
        <v>290</v>
      </c>
      <c r="D253" s="568">
        <v>100</v>
      </c>
      <c r="E253" s="568">
        <v>10</v>
      </c>
      <c r="F253" s="568" t="s">
        <v>683</v>
      </c>
      <c r="G253" s="568">
        <v>100000743</v>
      </c>
      <c r="H253" s="568">
        <v>998736</v>
      </c>
      <c r="I253" s="431"/>
      <c r="J253" s="426">
        <v>18</v>
      </c>
      <c r="K253" s="430"/>
      <c r="L253" s="425" t="s">
        <v>827</v>
      </c>
      <c r="M253" s="425" t="s">
        <v>471</v>
      </c>
      <c r="N253" s="425">
        <v>1</v>
      </c>
      <c r="O253" s="427"/>
      <c r="P253" s="429" t="str">
        <f t="shared" si="68"/>
        <v>INCLUDED</v>
      </c>
      <c r="Q253" s="655">
        <f t="shared" si="69"/>
        <v>0</v>
      </c>
      <c r="R253" s="686">
        <f t="shared" si="74"/>
        <v>0</v>
      </c>
      <c r="S253" s="687">
        <f>Discount!$J$36</f>
        <v>0</v>
      </c>
      <c r="T253" s="686">
        <f t="shared" si="75"/>
        <v>0</v>
      </c>
      <c r="U253" s="688">
        <f t="shared" si="72"/>
        <v>0</v>
      </c>
      <c r="V253" s="689">
        <f t="shared" si="73"/>
        <v>0</v>
      </c>
      <c r="W253" s="690"/>
      <c r="X253" s="690"/>
      <c r="Y253" s="690"/>
      <c r="Z253" s="690"/>
      <c r="AA253" s="690"/>
    </row>
    <row r="254" spans="1:31">
      <c r="A254" s="563">
        <v>9</v>
      </c>
      <c r="B254" s="568">
        <v>7000026864</v>
      </c>
      <c r="C254" s="568">
        <v>290</v>
      </c>
      <c r="D254" s="568">
        <v>100</v>
      </c>
      <c r="E254" s="568">
        <v>20</v>
      </c>
      <c r="F254" s="568" t="s">
        <v>683</v>
      </c>
      <c r="G254" s="568">
        <v>100002070</v>
      </c>
      <c r="H254" s="568">
        <v>998736</v>
      </c>
      <c r="I254" s="431"/>
      <c r="J254" s="426">
        <v>18</v>
      </c>
      <c r="K254" s="430"/>
      <c r="L254" s="425" t="s">
        <v>828</v>
      </c>
      <c r="M254" s="425" t="s">
        <v>470</v>
      </c>
      <c r="N254" s="425">
        <v>1</v>
      </c>
      <c r="O254" s="427"/>
      <c r="P254" s="429" t="str">
        <f t="shared" si="68"/>
        <v>INCLUDED</v>
      </c>
      <c r="Q254" s="655">
        <f t="shared" si="69"/>
        <v>0</v>
      </c>
      <c r="R254" s="686">
        <f t="shared" si="74"/>
        <v>0</v>
      </c>
      <c r="S254" s="687">
        <f>Discount!$J$36</f>
        <v>0</v>
      </c>
      <c r="T254" s="686">
        <f t="shared" si="75"/>
        <v>0</v>
      </c>
      <c r="U254" s="688">
        <f t="shared" si="72"/>
        <v>0</v>
      </c>
      <c r="V254" s="689">
        <f t="shared" si="73"/>
        <v>0</v>
      </c>
      <c r="W254" s="690"/>
      <c r="X254" s="690"/>
      <c r="Y254" s="690"/>
      <c r="Z254" s="690"/>
      <c r="AA254" s="690"/>
    </row>
    <row r="255" spans="1:31">
      <c r="A255" s="563">
        <v>10</v>
      </c>
      <c r="B255" s="568">
        <v>7000026864</v>
      </c>
      <c r="C255" s="568">
        <v>290</v>
      </c>
      <c r="D255" s="568">
        <v>100</v>
      </c>
      <c r="E255" s="568">
        <v>30</v>
      </c>
      <c r="F255" s="568" t="s">
        <v>683</v>
      </c>
      <c r="G255" s="568">
        <v>100002069</v>
      </c>
      <c r="H255" s="568">
        <v>998736</v>
      </c>
      <c r="I255" s="431"/>
      <c r="J255" s="426">
        <v>18</v>
      </c>
      <c r="K255" s="430"/>
      <c r="L255" s="425" t="s">
        <v>766</v>
      </c>
      <c r="M255" s="425" t="s">
        <v>470</v>
      </c>
      <c r="N255" s="425">
        <v>1</v>
      </c>
      <c r="O255" s="427"/>
      <c r="P255" s="429" t="str">
        <f t="shared" si="68"/>
        <v>INCLUDED</v>
      </c>
      <c r="Q255" s="655">
        <f t="shared" si="69"/>
        <v>0</v>
      </c>
      <c r="R255" s="686">
        <f t="shared" si="74"/>
        <v>0</v>
      </c>
      <c r="S255" s="687">
        <f>Discount!$J$36</f>
        <v>0</v>
      </c>
      <c r="T255" s="686">
        <f t="shared" si="75"/>
        <v>0</v>
      </c>
      <c r="U255" s="688">
        <f t="shared" si="72"/>
        <v>0</v>
      </c>
      <c r="V255" s="689">
        <f t="shared" si="73"/>
        <v>0</v>
      </c>
      <c r="W255" s="690"/>
      <c r="X255" s="690"/>
      <c r="Y255" s="690"/>
      <c r="Z255" s="690"/>
      <c r="AA255" s="690"/>
    </row>
    <row r="256" spans="1:31">
      <c r="A256" s="563">
        <v>11</v>
      </c>
      <c r="B256" s="568">
        <v>7000026864</v>
      </c>
      <c r="C256" s="568">
        <v>290</v>
      </c>
      <c r="D256" s="568">
        <v>100</v>
      </c>
      <c r="E256" s="568">
        <v>40</v>
      </c>
      <c r="F256" s="568" t="s">
        <v>683</v>
      </c>
      <c r="G256" s="568">
        <v>100000731</v>
      </c>
      <c r="H256" s="568">
        <v>998736</v>
      </c>
      <c r="I256" s="431"/>
      <c r="J256" s="426">
        <v>18</v>
      </c>
      <c r="K256" s="430"/>
      <c r="L256" s="425" t="s">
        <v>829</v>
      </c>
      <c r="M256" s="425" t="s">
        <v>470</v>
      </c>
      <c r="N256" s="425">
        <v>1</v>
      </c>
      <c r="O256" s="427"/>
      <c r="P256" s="429" t="str">
        <f t="shared" si="68"/>
        <v>INCLUDED</v>
      </c>
      <c r="Q256" s="655">
        <f t="shared" si="69"/>
        <v>0</v>
      </c>
      <c r="R256" s="686">
        <f t="shared" si="74"/>
        <v>0</v>
      </c>
      <c r="S256" s="687">
        <f>Discount!$J$36</f>
        <v>0</v>
      </c>
      <c r="T256" s="686">
        <f t="shared" si="75"/>
        <v>0</v>
      </c>
      <c r="U256" s="688">
        <f t="shared" si="72"/>
        <v>0</v>
      </c>
      <c r="V256" s="689">
        <f t="shared" si="73"/>
        <v>0</v>
      </c>
      <c r="W256" s="690"/>
      <c r="X256" s="690"/>
      <c r="Y256" s="690"/>
      <c r="Z256" s="690"/>
      <c r="AA256" s="690"/>
    </row>
    <row r="257" spans="1:27">
      <c r="A257" s="563">
        <v>12</v>
      </c>
      <c r="B257" s="568">
        <v>7000026864</v>
      </c>
      <c r="C257" s="568">
        <v>290</v>
      </c>
      <c r="D257" s="568">
        <v>100</v>
      </c>
      <c r="E257" s="568">
        <v>50</v>
      </c>
      <c r="F257" s="568" t="s">
        <v>683</v>
      </c>
      <c r="G257" s="568">
        <v>100000736</v>
      </c>
      <c r="H257" s="568">
        <v>998736</v>
      </c>
      <c r="I257" s="431"/>
      <c r="J257" s="426">
        <v>18</v>
      </c>
      <c r="K257" s="430"/>
      <c r="L257" s="425" t="s">
        <v>706</v>
      </c>
      <c r="M257" s="425" t="s">
        <v>470</v>
      </c>
      <c r="N257" s="425">
        <v>1</v>
      </c>
      <c r="O257" s="427"/>
      <c r="P257" s="429" t="str">
        <f t="shared" si="68"/>
        <v>INCLUDED</v>
      </c>
      <c r="Q257" s="655">
        <f t="shared" si="69"/>
        <v>0</v>
      </c>
      <c r="R257" s="686">
        <f t="shared" si="74"/>
        <v>0</v>
      </c>
      <c r="S257" s="687">
        <f>Discount!$J$36</f>
        <v>0</v>
      </c>
      <c r="T257" s="686">
        <f t="shared" si="75"/>
        <v>0</v>
      </c>
      <c r="U257" s="688">
        <f t="shared" si="72"/>
        <v>0</v>
      </c>
      <c r="V257" s="689">
        <f t="shared" si="73"/>
        <v>0</v>
      </c>
      <c r="W257" s="690"/>
      <c r="X257" s="690"/>
      <c r="Y257" s="690"/>
      <c r="Z257" s="690"/>
      <c r="AA257" s="690"/>
    </row>
    <row r="258" spans="1:27" ht="31.5">
      <c r="A258" s="563">
        <v>13</v>
      </c>
      <c r="B258" s="568">
        <v>7000026864</v>
      </c>
      <c r="C258" s="568">
        <v>340</v>
      </c>
      <c r="D258" s="568">
        <v>120</v>
      </c>
      <c r="E258" s="568">
        <v>10</v>
      </c>
      <c r="F258" s="568" t="s">
        <v>569</v>
      </c>
      <c r="G258" s="568">
        <v>100001021</v>
      </c>
      <c r="H258" s="568">
        <v>995461</v>
      </c>
      <c r="I258" s="431"/>
      <c r="J258" s="426">
        <v>18</v>
      </c>
      <c r="K258" s="430"/>
      <c r="L258" s="425" t="s">
        <v>508</v>
      </c>
      <c r="M258" s="425" t="s">
        <v>470</v>
      </c>
      <c r="N258" s="425">
        <v>1</v>
      </c>
      <c r="O258" s="427"/>
      <c r="P258" s="429" t="str">
        <f t="shared" si="68"/>
        <v>INCLUDED</v>
      </c>
      <c r="Q258" s="655">
        <f t="shared" si="69"/>
        <v>0</v>
      </c>
      <c r="R258" s="686">
        <f t="shared" si="74"/>
        <v>0</v>
      </c>
      <c r="S258" s="687">
        <f>Discount!$J$36</f>
        <v>0</v>
      </c>
      <c r="T258" s="686">
        <f t="shared" si="75"/>
        <v>0</v>
      </c>
      <c r="U258" s="688">
        <f t="shared" si="72"/>
        <v>0</v>
      </c>
      <c r="V258" s="689">
        <f t="shared" si="73"/>
        <v>0</v>
      </c>
      <c r="W258" s="690"/>
      <c r="X258" s="690"/>
      <c r="Y258" s="690"/>
      <c r="Z258" s="690"/>
      <c r="AA258" s="690"/>
    </row>
    <row r="259" spans="1:27" ht="31.5">
      <c r="A259" s="563">
        <v>14</v>
      </c>
      <c r="B259" s="568">
        <v>7000026864</v>
      </c>
      <c r="C259" s="568">
        <v>340</v>
      </c>
      <c r="D259" s="568">
        <v>120</v>
      </c>
      <c r="E259" s="568">
        <v>20</v>
      </c>
      <c r="F259" s="568" t="s">
        <v>569</v>
      </c>
      <c r="G259" s="568">
        <v>100001024</v>
      </c>
      <c r="H259" s="568">
        <v>998731</v>
      </c>
      <c r="I259" s="431"/>
      <c r="J259" s="426">
        <v>18</v>
      </c>
      <c r="K259" s="430"/>
      <c r="L259" s="425" t="s">
        <v>588</v>
      </c>
      <c r="M259" s="425" t="s">
        <v>470</v>
      </c>
      <c r="N259" s="425">
        <v>1</v>
      </c>
      <c r="O259" s="427"/>
      <c r="P259" s="429" t="str">
        <f t="shared" si="68"/>
        <v>INCLUDED</v>
      </c>
      <c r="Q259" s="655">
        <f t="shared" si="69"/>
        <v>0</v>
      </c>
      <c r="R259" s="686">
        <f t="shared" si="74"/>
        <v>0</v>
      </c>
      <c r="S259" s="687">
        <f>Discount!$J$36</f>
        <v>0</v>
      </c>
      <c r="T259" s="686">
        <f t="shared" si="75"/>
        <v>0</v>
      </c>
      <c r="U259" s="688">
        <f t="shared" si="72"/>
        <v>0</v>
      </c>
      <c r="V259" s="689">
        <f t="shared" si="73"/>
        <v>0</v>
      </c>
      <c r="W259" s="690"/>
      <c r="X259" s="690"/>
      <c r="Y259" s="690"/>
      <c r="Z259" s="690"/>
      <c r="AA259" s="690"/>
    </row>
    <row r="260" spans="1:27" ht="31.5">
      <c r="A260" s="563">
        <v>15</v>
      </c>
      <c r="B260" s="568">
        <v>7000026864</v>
      </c>
      <c r="C260" s="568">
        <v>340</v>
      </c>
      <c r="D260" s="568">
        <v>120</v>
      </c>
      <c r="E260" s="568">
        <v>30</v>
      </c>
      <c r="F260" s="568" t="s">
        <v>569</v>
      </c>
      <c r="G260" s="568">
        <v>100004852</v>
      </c>
      <c r="H260" s="568">
        <v>998731</v>
      </c>
      <c r="I260" s="431"/>
      <c r="J260" s="426">
        <v>18</v>
      </c>
      <c r="K260" s="430"/>
      <c r="L260" s="425" t="s">
        <v>777</v>
      </c>
      <c r="M260" s="425" t="s">
        <v>470</v>
      </c>
      <c r="N260" s="425">
        <v>10</v>
      </c>
      <c r="O260" s="427"/>
      <c r="P260" s="429" t="str">
        <f t="shared" si="68"/>
        <v>INCLUDED</v>
      </c>
      <c r="Q260" s="655">
        <f t="shared" si="69"/>
        <v>0</v>
      </c>
      <c r="R260" s="686">
        <f t="shared" si="74"/>
        <v>0</v>
      </c>
      <c r="S260" s="687">
        <f>Discount!$J$36</f>
        <v>0</v>
      </c>
      <c r="T260" s="686">
        <f t="shared" si="75"/>
        <v>0</v>
      </c>
      <c r="U260" s="688">
        <f t="shared" si="72"/>
        <v>0</v>
      </c>
      <c r="V260" s="689">
        <f t="shared" si="73"/>
        <v>0</v>
      </c>
      <c r="W260" s="690"/>
      <c r="X260" s="690"/>
      <c r="Y260" s="690"/>
      <c r="Z260" s="690"/>
      <c r="AA260" s="690"/>
    </row>
    <row r="261" spans="1:27" ht="31.5">
      <c r="A261" s="563">
        <v>16</v>
      </c>
      <c r="B261" s="568">
        <v>7000026864</v>
      </c>
      <c r="C261" s="568">
        <v>340</v>
      </c>
      <c r="D261" s="568">
        <v>120</v>
      </c>
      <c r="E261" s="568">
        <v>40</v>
      </c>
      <c r="F261" s="568" t="s">
        <v>569</v>
      </c>
      <c r="G261" s="568">
        <v>100004926</v>
      </c>
      <c r="H261" s="568">
        <v>998731</v>
      </c>
      <c r="I261" s="431"/>
      <c r="J261" s="426">
        <v>18</v>
      </c>
      <c r="K261" s="430"/>
      <c r="L261" s="425" t="s">
        <v>778</v>
      </c>
      <c r="M261" s="425" t="s">
        <v>470</v>
      </c>
      <c r="N261" s="425">
        <v>10</v>
      </c>
      <c r="O261" s="427"/>
      <c r="P261" s="429" t="str">
        <f t="shared" si="68"/>
        <v>INCLUDED</v>
      </c>
      <c r="Q261" s="655">
        <f t="shared" si="69"/>
        <v>0</v>
      </c>
      <c r="R261" s="686">
        <f t="shared" si="74"/>
        <v>0</v>
      </c>
      <c r="S261" s="687">
        <f>Discount!$J$36</f>
        <v>0</v>
      </c>
      <c r="T261" s="686">
        <f t="shared" si="75"/>
        <v>0</v>
      </c>
      <c r="U261" s="688">
        <f t="shared" si="72"/>
        <v>0</v>
      </c>
      <c r="V261" s="689">
        <f t="shared" si="73"/>
        <v>0</v>
      </c>
      <c r="W261" s="690"/>
      <c r="X261" s="690"/>
      <c r="Y261" s="690"/>
      <c r="Z261" s="690"/>
      <c r="AA261" s="690"/>
    </row>
    <row r="262" spans="1:27" ht="31.5">
      <c r="A262" s="563">
        <v>17</v>
      </c>
      <c r="B262" s="568">
        <v>7000026864</v>
      </c>
      <c r="C262" s="568">
        <v>450</v>
      </c>
      <c r="D262" s="568">
        <v>160</v>
      </c>
      <c r="E262" s="568">
        <v>10</v>
      </c>
      <c r="F262" s="568" t="s">
        <v>684</v>
      </c>
      <c r="G262" s="568">
        <v>100000983</v>
      </c>
      <c r="H262" s="568">
        <v>998736</v>
      </c>
      <c r="I262" s="431"/>
      <c r="J262" s="426">
        <v>18</v>
      </c>
      <c r="K262" s="430"/>
      <c r="L262" s="425" t="s">
        <v>830</v>
      </c>
      <c r="M262" s="425" t="s">
        <v>471</v>
      </c>
      <c r="N262" s="425">
        <v>1</v>
      </c>
      <c r="O262" s="427"/>
      <c r="P262" s="429" t="str">
        <f t="shared" si="68"/>
        <v>INCLUDED</v>
      </c>
      <c r="Q262" s="655">
        <f t="shared" si="69"/>
        <v>0</v>
      </c>
      <c r="R262" s="686">
        <f t="shared" si="74"/>
        <v>0</v>
      </c>
      <c r="S262" s="687">
        <f>Discount!$J$36</f>
        <v>0</v>
      </c>
      <c r="T262" s="686">
        <f t="shared" si="75"/>
        <v>0</v>
      </c>
      <c r="U262" s="688">
        <f t="shared" si="72"/>
        <v>0</v>
      </c>
      <c r="V262" s="689">
        <f t="shared" si="73"/>
        <v>0</v>
      </c>
      <c r="W262" s="690"/>
      <c r="X262" s="690"/>
      <c r="Y262" s="690"/>
      <c r="Z262" s="690"/>
      <c r="AA262" s="690"/>
    </row>
    <row r="263" spans="1:27" ht="63">
      <c r="A263" s="563">
        <v>18</v>
      </c>
      <c r="B263" s="568">
        <v>7000026864</v>
      </c>
      <c r="C263" s="568">
        <v>470</v>
      </c>
      <c r="D263" s="568">
        <v>180</v>
      </c>
      <c r="E263" s="568">
        <v>10</v>
      </c>
      <c r="F263" s="568" t="s">
        <v>571</v>
      </c>
      <c r="G263" s="568">
        <v>100002500</v>
      </c>
      <c r="H263" s="568">
        <v>998731</v>
      </c>
      <c r="I263" s="431"/>
      <c r="J263" s="426">
        <v>18</v>
      </c>
      <c r="K263" s="430"/>
      <c r="L263" s="425" t="s">
        <v>780</v>
      </c>
      <c r="M263" s="425" t="s">
        <v>471</v>
      </c>
      <c r="N263" s="425">
        <v>1</v>
      </c>
      <c r="O263" s="427"/>
      <c r="P263" s="429" t="str">
        <f t="shared" si="68"/>
        <v>INCLUDED</v>
      </c>
      <c r="Q263" s="655">
        <f t="shared" si="69"/>
        <v>0</v>
      </c>
      <c r="R263" s="686">
        <f t="shared" si="74"/>
        <v>0</v>
      </c>
      <c r="S263" s="687">
        <f>Discount!$J$36</f>
        <v>0</v>
      </c>
      <c r="T263" s="686">
        <f t="shared" si="75"/>
        <v>0</v>
      </c>
      <c r="U263" s="688">
        <f t="shared" si="72"/>
        <v>0</v>
      </c>
      <c r="V263" s="689">
        <f t="shared" si="73"/>
        <v>0</v>
      </c>
      <c r="W263" s="690"/>
      <c r="X263" s="690"/>
      <c r="Y263" s="690"/>
      <c r="Z263" s="690"/>
      <c r="AA263" s="690"/>
    </row>
    <row r="264" spans="1:27" ht="47.25">
      <c r="A264" s="563">
        <v>19</v>
      </c>
      <c r="B264" s="568">
        <v>7000026864</v>
      </c>
      <c r="C264" s="568">
        <v>520</v>
      </c>
      <c r="D264" s="568">
        <v>200</v>
      </c>
      <c r="E264" s="568">
        <v>10</v>
      </c>
      <c r="F264" s="568" t="s">
        <v>568</v>
      </c>
      <c r="G264" s="568">
        <v>100001882</v>
      </c>
      <c r="H264" s="568">
        <v>995463</v>
      </c>
      <c r="I264" s="431"/>
      <c r="J264" s="426">
        <v>18</v>
      </c>
      <c r="K264" s="430"/>
      <c r="L264" s="425" t="s">
        <v>502</v>
      </c>
      <c r="M264" s="425" t="s">
        <v>471</v>
      </c>
      <c r="N264" s="425">
        <v>1</v>
      </c>
      <c r="O264" s="427"/>
      <c r="P264" s="429" t="str">
        <f t="shared" si="68"/>
        <v>INCLUDED</v>
      </c>
      <c r="Q264" s="655">
        <f t="shared" si="69"/>
        <v>0</v>
      </c>
      <c r="R264" s="686">
        <f t="shared" si="74"/>
        <v>0</v>
      </c>
      <c r="S264" s="687">
        <f>Discount!$J$36</f>
        <v>0</v>
      </c>
      <c r="T264" s="686">
        <f t="shared" si="75"/>
        <v>0</v>
      </c>
      <c r="U264" s="688">
        <f t="shared" si="72"/>
        <v>0</v>
      </c>
      <c r="V264" s="689">
        <f t="shared" si="73"/>
        <v>0</v>
      </c>
      <c r="W264" s="690"/>
      <c r="X264" s="690"/>
      <c r="Y264" s="690"/>
      <c r="Z264" s="690"/>
      <c r="AA264" s="690"/>
    </row>
    <row r="265" spans="1:27" ht="47.25">
      <c r="A265" s="563">
        <v>20</v>
      </c>
      <c r="B265" s="568">
        <v>7000026864</v>
      </c>
      <c r="C265" s="568">
        <v>520</v>
      </c>
      <c r="D265" s="568">
        <v>200</v>
      </c>
      <c r="E265" s="568">
        <v>20</v>
      </c>
      <c r="F265" s="568" t="s">
        <v>568</v>
      </c>
      <c r="G265" s="568">
        <v>100000975</v>
      </c>
      <c r="H265" s="568">
        <v>995461</v>
      </c>
      <c r="I265" s="431"/>
      <c r="J265" s="426">
        <v>18</v>
      </c>
      <c r="K265" s="430"/>
      <c r="L265" s="425" t="s">
        <v>504</v>
      </c>
      <c r="M265" s="425" t="s">
        <v>470</v>
      </c>
      <c r="N265" s="425">
        <v>2</v>
      </c>
      <c r="O265" s="427"/>
      <c r="P265" s="429" t="str">
        <f t="shared" si="68"/>
        <v>INCLUDED</v>
      </c>
      <c r="Q265" s="655">
        <f t="shared" si="69"/>
        <v>0</v>
      </c>
      <c r="R265" s="686">
        <f t="shared" si="74"/>
        <v>0</v>
      </c>
      <c r="S265" s="687">
        <f>Discount!$J$36</f>
        <v>0</v>
      </c>
      <c r="T265" s="686">
        <f t="shared" si="75"/>
        <v>0</v>
      </c>
      <c r="U265" s="688">
        <f t="shared" si="72"/>
        <v>0</v>
      </c>
      <c r="V265" s="689">
        <f t="shared" si="73"/>
        <v>0</v>
      </c>
      <c r="W265" s="690"/>
      <c r="X265" s="690"/>
      <c r="Y265" s="690"/>
      <c r="Z265" s="690"/>
      <c r="AA265" s="690"/>
    </row>
    <row r="266" spans="1:27" ht="47.25">
      <c r="A266" s="563">
        <v>21</v>
      </c>
      <c r="B266" s="568">
        <v>7000026864</v>
      </c>
      <c r="C266" s="568">
        <v>520</v>
      </c>
      <c r="D266" s="568">
        <v>200</v>
      </c>
      <c r="E266" s="568">
        <v>30</v>
      </c>
      <c r="F266" s="568" t="s">
        <v>568</v>
      </c>
      <c r="G266" s="568">
        <v>100002062</v>
      </c>
      <c r="H266" s="568">
        <v>995461</v>
      </c>
      <c r="I266" s="431"/>
      <c r="J266" s="426">
        <v>18</v>
      </c>
      <c r="K266" s="430"/>
      <c r="L266" s="425" t="s">
        <v>792</v>
      </c>
      <c r="M266" s="425" t="s">
        <v>471</v>
      </c>
      <c r="N266" s="425">
        <v>1</v>
      </c>
      <c r="O266" s="427"/>
      <c r="P266" s="429" t="str">
        <f t="shared" si="68"/>
        <v>INCLUDED</v>
      </c>
      <c r="Q266" s="655">
        <f t="shared" si="69"/>
        <v>0</v>
      </c>
      <c r="R266" s="686">
        <f t="shared" si="74"/>
        <v>0</v>
      </c>
      <c r="S266" s="687">
        <f>Discount!$J$36</f>
        <v>0</v>
      </c>
      <c r="T266" s="686">
        <f t="shared" si="75"/>
        <v>0</v>
      </c>
      <c r="U266" s="688">
        <f t="shared" si="72"/>
        <v>0</v>
      </c>
      <c r="V266" s="689">
        <f t="shared" si="73"/>
        <v>0</v>
      </c>
      <c r="W266" s="690"/>
      <c r="X266" s="690"/>
      <c r="Y266" s="690"/>
      <c r="Z266" s="690"/>
      <c r="AA266" s="690"/>
    </row>
    <row r="267" spans="1:27" ht="47.25">
      <c r="A267" s="563">
        <v>22</v>
      </c>
      <c r="B267" s="568">
        <v>7000026864</v>
      </c>
      <c r="C267" s="568">
        <v>520</v>
      </c>
      <c r="D267" s="568">
        <v>200</v>
      </c>
      <c r="E267" s="568">
        <v>40</v>
      </c>
      <c r="F267" s="568" t="s">
        <v>568</v>
      </c>
      <c r="G267" s="568">
        <v>100001116</v>
      </c>
      <c r="H267" s="568">
        <v>998739</v>
      </c>
      <c r="I267" s="431"/>
      <c r="J267" s="426">
        <v>18</v>
      </c>
      <c r="K267" s="430"/>
      <c r="L267" s="425" t="s">
        <v>507</v>
      </c>
      <c r="M267" s="425" t="s">
        <v>471</v>
      </c>
      <c r="N267" s="425">
        <v>1</v>
      </c>
      <c r="O267" s="427"/>
      <c r="P267" s="429" t="str">
        <f t="shared" si="68"/>
        <v>INCLUDED</v>
      </c>
      <c r="Q267" s="655">
        <f t="shared" si="69"/>
        <v>0</v>
      </c>
      <c r="R267" s="686">
        <f t="shared" si="74"/>
        <v>0</v>
      </c>
      <c r="S267" s="687">
        <f>Discount!$J$36</f>
        <v>0</v>
      </c>
      <c r="T267" s="686">
        <f t="shared" si="75"/>
        <v>0</v>
      </c>
      <c r="U267" s="688">
        <f t="shared" si="72"/>
        <v>0</v>
      </c>
      <c r="V267" s="689">
        <f t="shared" si="73"/>
        <v>0</v>
      </c>
      <c r="W267" s="690"/>
      <c r="X267" s="690"/>
      <c r="Y267" s="690"/>
      <c r="Z267" s="690"/>
      <c r="AA267" s="690"/>
    </row>
    <row r="268" spans="1:27" ht="47.25">
      <c r="A268" s="563">
        <v>23</v>
      </c>
      <c r="B268" s="568">
        <v>7000026864</v>
      </c>
      <c r="C268" s="568">
        <v>560</v>
      </c>
      <c r="D268" s="568">
        <v>220</v>
      </c>
      <c r="E268" s="568">
        <v>10</v>
      </c>
      <c r="F268" s="568" t="s">
        <v>717</v>
      </c>
      <c r="G268" s="568">
        <v>100004518</v>
      </c>
      <c r="H268" s="568">
        <v>995433</v>
      </c>
      <c r="I268" s="431"/>
      <c r="J268" s="426">
        <v>18</v>
      </c>
      <c r="K268" s="430"/>
      <c r="L268" s="425" t="s">
        <v>732</v>
      </c>
      <c r="M268" s="425" t="s">
        <v>733</v>
      </c>
      <c r="N268" s="425">
        <v>2138</v>
      </c>
      <c r="O268" s="427"/>
      <c r="P268" s="429" t="str">
        <f t="shared" si="68"/>
        <v>INCLUDED</v>
      </c>
      <c r="Q268" s="655">
        <f t="shared" si="69"/>
        <v>0</v>
      </c>
      <c r="R268" s="686">
        <f t="shared" si="74"/>
        <v>0</v>
      </c>
      <c r="S268" s="687">
        <f>Discount!$J$36</f>
        <v>0</v>
      </c>
      <c r="T268" s="686">
        <f t="shared" si="75"/>
        <v>0</v>
      </c>
      <c r="U268" s="688">
        <f t="shared" si="72"/>
        <v>0</v>
      </c>
      <c r="V268" s="689">
        <f t="shared" si="73"/>
        <v>0</v>
      </c>
      <c r="W268" s="690"/>
      <c r="X268" s="690"/>
      <c r="Y268" s="690"/>
      <c r="Z268" s="690"/>
      <c r="AA268" s="690"/>
    </row>
    <row r="269" spans="1:27" ht="47.25">
      <c r="A269" s="563">
        <v>24</v>
      </c>
      <c r="B269" s="568">
        <v>7000026864</v>
      </c>
      <c r="C269" s="568">
        <v>560</v>
      </c>
      <c r="D269" s="568">
        <v>220</v>
      </c>
      <c r="E269" s="568">
        <v>20</v>
      </c>
      <c r="F269" s="568" t="s">
        <v>717</v>
      </c>
      <c r="G269" s="568">
        <v>100011662</v>
      </c>
      <c r="H269" s="568">
        <v>995433</v>
      </c>
      <c r="I269" s="431"/>
      <c r="J269" s="426">
        <v>18</v>
      </c>
      <c r="K269" s="430"/>
      <c r="L269" s="425" t="s">
        <v>734</v>
      </c>
      <c r="M269" s="425" t="s">
        <v>733</v>
      </c>
      <c r="N269" s="425">
        <v>112</v>
      </c>
      <c r="O269" s="427"/>
      <c r="P269" s="429" t="str">
        <f t="shared" si="68"/>
        <v>INCLUDED</v>
      </c>
      <c r="Q269" s="655">
        <f t="shared" si="69"/>
        <v>0</v>
      </c>
      <c r="R269" s="686">
        <f t="shared" si="74"/>
        <v>0</v>
      </c>
      <c r="S269" s="687">
        <f>Discount!$J$36</f>
        <v>0</v>
      </c>
      <c r="T269" s="686">
        <f t="shared" si="75"/>
        <v>0</v>
      </c>
      <c r="U269" s="688">
        <f t="shared" si="72"/>
        <v>0</v>
      </c>
      <c r="V269" s="689">
        <f t="shared" si="73"/>
        <v>0</v>
      </c>
      <c r="W269" s="690"/>
      <c r="X269" s="690"/>
      <c r="Y269" s="690"/>
      <c r="Z269" s="690"/>
      <c r="AA269" s="690"/>
    </row>
    <row r="270" spans="1:27">
      <c r="A270" s="563">
        <v>25</v>
      </c>
      <c r="B270" s="568">
        <v>7000026864</v>
      </c>
      <c r="C270" s="568">
        <v>560</v>
      </c>
      <c r="D270" s="568">
        <v>220</v>
      </c>
      <c r="E270" s="568">
        <v>30</v>
      </c>
      <c r="F270" s="568" t="s">
        <v>717</v>
      </c>
      <c r="G270" s="568">
        <v>100001325</v>
      </c>
      <c r="H270" s="568">
        <v>995454</v>
      </c>
      <c r="I270" s="431"/>
      <c r="J270" s="426">
        <v>18</v>
      </c>
      <c r="K270" s="430"/>
      <c r="L270" s="425" t="s">
        <v>735</v>
      </c>
      <c r="M270" s="425" t="s">
        <v>733</v>
      </c>
      <c r="N270" s="425">
        <v>98</v>
      </c>
      <c r="O270" s="427"/>
      <c r="P270" s="429" t="str">
        <f t="shared" si="68"/>
        <v>INCLUDED</v>
      </c>
      <c r="Q270" s="655">
        <f t="shared" si="69"/>
        <v>0</v>
      </c>
      <c r="R270" s="686">
        <f t="shared" si="74"/>
        <v>0</v>
      </c>
      <c r="S270" s="687">
        <f>Discount!$J$36</f>
        <v>0</v>
      </c>
      <c r="T270" s="686">
        <f t="shared" si="75"/>
        <v>0</v>
      </c>
      <c r="U270" s="688">
        <f t="shared" si="72"/>
        <v>0</v>
      </c>
      <c r="V270" s="689">
        <f t="shared" si="73"/>
        <v>0</v>
      </c>
      <c r="W270" s="690"/>
      <c r="X270" s="690"/>
      <c r="Y270" s="690"/>
      <c r="Z270" s="690"/>
      <c r="AA270" s="690"/>
    </row>
    <row r="271" spans="1:27">
      <c r="A271" s="563">
        <v>26</v>
      </c>
      <c r="B271" s="568">
        <v>7000026864</v>
      </c>
      <c r="C271" s="568">
        <v>560</v>
      </c>
      <c r="D271" s="568">
        <v>220</v>
      </c>
      <c r="E271" s="568">
        <v>40</v>
      </c>
      <c r="F271" s="568" t="s">
        <v>717</v>
      </c>
      <c r="G271" s="568">
        <v>100001326</v>
      </c>
      <c r="H271" s="568">
        <v>995454</v>
      </c>
      <c r="I271" s="431"/>
      <c r="J271" s="426">
        <v>18</v>
      </c>
      <c r="K271" s="430"/>
      <c r="L271" s="425" t="s">
        <v>736</v>
      </c>
      <c r="M271" s="425" t="s">
        <v>733</v>
      </c>
      <c r="N271" s="425">
        <v>5</v>
      </c>
      <c r="O271" s="427"/>
      <c r="P271" s="429" t="str">
        <f t="shared" si="68"/>
        <v>INCLUDED</v>
      </c>
      <c r="Q271" s="655">
        <f t="shared" si="69"/>
        <v>0</v>
      </c>
      <c r="R271" s="686">
        <f t="shared" si="74"/>
        <v>0</v>
      </c>
      <c r="S271" s="687">
        <f>Discount!$J$36</f>
        <v>0</v>
      </c>
      <c r="T271" s="686">
        <f t="shared" si="75"/>
        <v>0</v>
      </c>
      <c r="U271" s="688">
        <f t="shared" si="72"/>
        <v>0</v>
      </c>
      <c r="V271" s="689">
        <f t="shared" si="73"/>
        <v>0</v>
      </c>
      <c r="W271" s="690"/>
      <c r="X271" s="690"/>
      <c r="Y271" s="690"/>
      <c r="Z271" s="690"/>
      <c r="AA271" s="690"/>
    </row>
    <row r="272" spans="1:27">
      <c r="A272" s="563">
        <v>27</v>
      </c>
      <c r="B272" s="568">
        <v>7000026864</v>
      </c>
      <c r="C272" s="568">
        <v>560</v>
      </c>
      <c r="D272" s="568">
        <v>220</v>
      </c>
      <c r="E272" s="568">
        <v>50</v>
      </c>
      <c r="F272" s="568" t="s">
        <v>717</v>
      </c>
      <c r="G272" s="568">
        <v>100001328</v>
      </c>
      <c r="H272" s="568">
        <v>995454</v>
      </c>
      <c r="I272" s="431"/>
      <c r="J272" s="426">
        <v>18</v>
      </c>
      <c r="K272" s="430"/>
      <c r="L272" s="425" t="s">
        <v>737</v>
      </c>
      <c r="M272" s="425" t="s">
        <v>733</v>
      </c>
      <c r="N272" s="425">
        <v>153</v>
      </c>
      <c r="O272" s="427"/>
      <c r="P272" s="429" t="str">
        <f t="shared" si="68"/>
        <v>INCLUDED</v>
      </c>
      <c r="Q272" s="655">
        <f t="shared" si="69"/>
        <v>0</v>
      </c>
      <c r="R272" s="686">
        <f t="shared" si="74"/>
        <v>0</v>
      </c>
      <c r="S272" s="687">
        <f>Discount!$J$36</f>
        <v>0</v>
      </c>
      <c r="T272" s="686">
        <f t="shared" si="75"/>
        <v>0</v>
      </c>
      <c r="U272" s="688">
        <f t="shared" si="72"/>
        <v>0</v>
      </c>
      <c r="V272" s="689">
        <f t="shared" si="73"/>
        <v>0</v>
      </c>
      <c r="W272" s="690"/>
      <c r="X272" s="690"/>
      <c r="Y272" s="690"/>
      <c r="Z272" s="690"/>
      <c r="AA272" s="690"/>
    </row>
    <row r="273" spans="1:27" ht="31.5">
      <c r="A273" s="563">
        <v>28</v>
      </c>
      <c r="B273" s="568">
        <v>7000026864</v>
      </c>
      <c r="C273" s="568">
        <v>560</v>
      </c>
      <c r="D273" s="568">
        <v>220</v>
      </c>
      <c r="E273" s="568">
        <v>60</v>
      </c>
      <c r="F273" s="568" t="s">
        <v>717</v>
      </c>
      <c r="G273" s="568">
        <v>100016607</v>
      </c>
      <c r="H273" s="568">
        <v>995451</v>
      </c>
      <c r="I273" s="431"/>
      <c r="J273" s="426">
        <v>18</v>
      </c>
      <c r="K273" s="430"/>
      <c r="L273" s="425" t="s">
        <v>831</v>
      </c>
      <c r="M273" s="425" t="s">
        <v>733</v>
      </c>
      <c r="N273" s="425">
        <v>753</v>
      </c>
      <c r="O273" s="427"/>
      <c r="P273" s="429" t="str">
        <f t="shared" si="68"/>
        <v>INCLUDED</v>
      </c>
      <c r="Q273" s="655">
        <f t="shared" si="69"/>
        <v>0</v>
      </c>
      <c r="R273" s="686">
        <f t="shared" si="74"/>
        <v>0</v>
      </c>
      <c r="S273" s="687">
        <f>Discount!$J$36</f>
        <v>0</v>
      </c>
      <c r="T273" s="686">
        <f t="shared" si="75"/>
        <v>0</v>
      </c>
      <c r="U273" s="688">
        <f t="shared" si="72"/>
        <v>0</v>
      </c>
      <c r="V273" s="689">
        <f t="shared" si="73"/>
        <v>0</v>
      </c>
      <c r="W273" s="690"/>
      <c r="X273" s="690"/>
      <c r="Y273" s="690"/>
      <c r="Z273" s="690"/>
      <c r="AA273" s="690"/>
    </row>
    <row r="274" spans="1:27" ht="31.5">
      <c r="A274" s="563">
        <v>29</v>
      </c>
      <c r="B274" s="568">
        <v>7000026864</v>
      </c>
      <c r="C274" s="568">
        <v>560</v>
      </c>
      <c r="D274" s="568">
        <v>220</v>
      </c>
      <c r="E274" s="568">
        <v>70</v>
      </c>
      <c r="F274" s="568" t="s">
        <v>717</v>
      </c>
      <c r="G274" s="568">
        <v>100016681</v>
      </c>
      <c r="H274" s="568">
        <v>995454</v>
      </c>
      <c r="I274" s="431"/>
      <c r="J274" s="426">
        <v>18</v>
      </c>
      <c r="K274" s="430"/>
      <c r="L274" s="425" t="s">
        <v>832</v>
      </c>
      <c r="M274" s="425" t="s">
        <v>536</v>
      </c>
      <c r="N274" s="425">
        <v>52</v>
      </c>
      <c r="O274" s="427"/>
      <c r="P274" s="429" t="str">
        <f t="shared" si="68"/>
        <v>INCLUDED</v>
      </c>
      <c r="Q274" s="655">
        <f t="shared" si="69"/>
        <v>0</v>
      </c>
      <c r="R274" s="686">
        <f t="shared" si="74"/>
        <v>0</v>
      </c>
      <c r="S274" s="687">
        <f>Discount!$J$36</f>
        <v>0</v>
      </c>
      <c r="T274" s="686">
        <f t="shared" si="75"/>
        <v>0</v>
      </c>
      <c r="U274" s="688">
        <f t="shared" si="72"/>
        <v>0</v>
      </c>
      <c r="V274" s="689">
        <f t="shared" si="73"/>
        <v>0</v>
      </c>
      <c r="W274" s="690"/>
      <c r="X274" s="690"/>
      <c r="Y274" s="690"/>
      <c r="Z274" s="690"/>
      <c r="AA274" s="690"/>
    </row>
    <row r="275" spans="1:27" ht="31.5">
      <c r="A275" s="563">
        <v>30</v>
      </c>
      <c r="B275" s="568">
        <v>7000026864</v>
      </c>
      <c r="C275" s="568">
        <v>560</v>
      </c>
      <c r="D275" s="568">
        <v>220</v>
      </c>
      <c r="E275" s="568">
        <v>80</v>
      </c>
      <c r="F275" s="568" t="s">
        <v>717</v>
      </c>
      <c r="G275" s="568">
        <v>100001331</v>
      </c>
      <c r="H275" s="568">
        <v>995455</v>
      </c>
      <c r="I275" s="431"/>
      <c r="J275" s="426">
        <v>18</v>
      </c>
      <c r="K275" s="430"/>
      <c r="L275" s="425" t="s">
        <v>741</v>
      </c>
      <c r="M275" s="425" t="s">
        <v>536</v>
      </c>
      <c r="N275" s="425">
        <v>27</v>
      </c>
      <c r="O275" s="427"/>
      <c r="P275" s="429" t="str">
        <f t="shared" si="68"/>
        <v>INCLUDED</v>
      </c>
      <c r="Q275" s="655">
        <f t="shared" si="69"/>
        <v>0</v>
      </c>
      <c r="R275" s="686">
        <f t="shared" si="74"/>
        <v>0</v>
      </c>
      <c r="S275" s="687">
        <f>Discount!$J$36</f>
        <v>0</v>
      </c>
      <c r="T275" s="686">
        <f t="shared" si="75"/>
        <v>0</v>
      </c>
      <c r="U275" s="688">
        <f t="shared" si="72"/>
        <v>0</v>
      </c>
      <c r="V275" s="689">
        <f t="shared" si="73"/>
        <v>0</v>
      </c>
      <c r="W275" s="690"/>
      <c r="X275" s="690"/>
      <c r="Y275" s="690"/>
      <c r="Z275" s="690"/>
      <c r="AA275" s="690"/>
    </row>
    <row r="276" spans="1:27">
      <c r="A276" s="563">
        <v>31</v>
      </c>
      <c r="B276" s="568">
        <v>7000026864</v>
      </c>
      <c r="C276" s="568">
        <v>560</v>
      </c>
      <c r="D276" s="568">
        <v>220</v>
      </c>
      <c r="E276" s="568">
        <v>90</v>
      </c>
      <c r="F276" s="568" t="s">
        <v>717</v>
      </c>
      <c r="G276" s="568">
        <v>100001714</v>
      </c>
      <c r="H276" s="568">
        <v>995428</v>
      </c>
      <c r="I276" s="431"/>
      <c r="J276" s="426">
        <v>18</v>
      </c>
      <c r="K276" s="430"/>
      <c r="L276" s="425" t="s">
        <v>742</v>
      </c>
      <c r="M276" s="425" t="s">
        <v>743</v>
      </c>
      <c r="N276" s="425">
        <v>2000</v>
      </c>
      <c r="O276" s="427"/>
      <c r="P276" s="429" t="str">
        <f t="shared" si="68"/>
        <v>INCLUDED</v>
      </c>
      <c r="Q276" s="655">
        <f t="shared" si="69"/>
        <v>0</v>
      </c>
      <c r="R276" s="686">
        <f t="shared" si="74"/>
        <v>0</v>
      </c>
      <c r="S276" s="687">
        <f>Discount!$J$36</f>
        <v>0</v>
      </c>
      <c r="T276" s="686">
        <f t="shared" si="75"/>
        <v>0</v>
      </c>
      <c r="U276" s="688">
        <f t="shared" si="72"/>
        <v>0</v>
      </c>
      <c r="V276" s="689">
        <f t="shared" si="73"/>
        <v>0</v>
      </c>
      <c r="W276" s="690"/>
      <c r="X276" s="690"/>
      <c r="Y276" s="690"/>
      <c r="Z276" s="690"/>
      <c r="AA276" s="690"/>
    </row>
    <row r="277" spans="1:27">
      <c r="A277" s="563">
        <v>32</v>
      </c>
      <c r="B277" s="568">
        <v>7000026864</v>
      </c>
      <c r="C277" s="568">
        <v>560</v>
      </c>
      <c r="D277" s="568">
        <v>220</v>
      </c>
      <c r="E277" s="568">
        <v>100</v>
      </c>
      <c r="F277" s="568" t="s">
        <v>717</v>
      </c>
      <c r="G277" s="568">
        <v>100001713</v>
      </c>
      <c r="H277" s="568">
        <v>995424</v>
      </c>
      <c r="I277" s="431"/>
      <c r="J277" s="426">
        <v>18</v>
      </c>
      <c r="K277" s="430"/>
      <c r="L277" s="425" t="s">
        <v>744</v>
      </c>
      <c r="M277" s="425" t="s">
        <v>743</v>
      </c>
      <c r="N277" s="425">
        <v>2000</v>
      </c>
      <c r="O277" s="427"/>
      <c r="P277" s="429" t="str">
        <f t="shared" si="68"/>
        <v>INCLUDED</v>
      </c>
      <c r="Q277" s="655">
        <f t="shared" si="69"/>
        <v>0</v>
      </c>
      <c r="R277" s="686">
        <f t="shared" si="74"/>
        <v>0</v>
      </c>
      <c r="S277" s="687">
        <f>Discount!$J$36</f>
        <v>0</v>
      </c>
      <c r="T277" s="686">
        <f t="shared" si="75"/>
        <v>0</v>
      </c>
      <c r="U277" s="688">
        <f t="shared" si="72"/>
        <v>0</v>
      </c>
      <c r="V277" s="689">
        <f t="shared" si="73"/>
        <v>0</v>
      </c>
      <c r="W277" s="690"/>
      <c r="X277" s="690"/>
      <c r="Y277" s="690"/>
      <c r="Z277" s="690"/>
      <c r="AA277" s="690"/>
    </row>
    <row r="278" spans="1:27" ht="31.5">
      <c r="A278" s="563">
        <v>33</v>
      </c>
      <c r="B278" s="568">
        <v>7000026864</v>
      </c>
      <c r="C278" s="568">
        <v>560</v>
      </c>
      <c r="D278" s="568">
        <v>220</v>
      </c>
      <c r="E278" s="568">
        <v>110</v>
      </c>
      <c r="F278" s="568" t="s">
        <v>717</v>
      </c>
      <c r="G278" s="568">
        <v>100001712</v>
      </c>
      <c r="H278" s="568">
        <v>995428</v>
      </c>
      <c r="I278" s="431"/>
      <c r="J278" s="426">
        <v>18</v>
      </c>
      <c r="K278" s="430"/>
      <c r="L278" s="425" t="s">
        <v>745</v>
      </c>
      <c r="M278" s="425" t="s">
        <v>743</v>
      </c>
      <c r="N278" s="425">
        <v>7000</v>
      </c>
      <c r="O278" s="427"/>
      <c r="P278" s="429" t="str">
        <f t="shared" si="68"/>
        <v>INCLUDED</v>
      </c>
      <c r="Q278" s="655">
        <f t="shared" si="69"/>
        <v>0</v>
      </c>
      <c r="R278" s="686">
        <f t="shared" si="74"/>
        <v>0</v>
      </c>
      <c r="S278" s="687">
        <f>Discount!$J$36</f>
        <v>0</v>
      </c>
      <c r="T278" s="686">
        <f t="shared" si="75"/>
        <v>0</v>
      </c>
      <c r="U278" s="688">
        <f t="shared" si="72"/>
        <v>0</v>
      </c>
      <c r="V278" s="689">
        <f t="shared" si="73"/>
        <v>0</v>
      </c>
      <c r="W278" s="690"/>
      <c r="X278" s="690"/>
      <c r="Y278" s="690"/>
      <c r="Z278" s="690"/>
      <c r="AA278" s="690"/>
    </row>
    <row r="279" spans="1:27" ht="31.5">
      <c r="A279" s="563">
        <v>34</v>
      </c>
      <c r="B279" s="568">
        <v>7000026864</v>
      </c>
      <c r="C279" s="568">
        <v>560</v>
      </c>
      <c r="D279" s="568">
        <v>220</v>
      </c>
      <c r="E279" s="568">
        <v>120</v>
      </c>
      <c r="F279" s="568" t="s">
        <v>717</v>
      </c>
      <c r="G279" s="568">
        <v>100001478</v>
      </c>
      <c r="H279" s="568">
        <v>995454</v>
      </c>
      <c r="I279" s="431"/>
      <c r="J279" s="426">
        <v>18</v>
      </c>
      <c r="K279" s="430"/>
      <c r="L279" s="425" t="s">
        <v>750</v>
      </c>
      <c r="M279" s="425" t="s">
        <v>518</v>
      </c>
      <c r="N279" s="425">
        <v>200</v>
      </c>
      <c r="O279" s="427"/>
      <c r="P279" s="429" t="str">
        <f t="shared" si="68"/>
        <v>INCLUDED</v>
      </c>
      <c r="Q279" s="655">
        <f t="shared" si="69"/>
        <v>0</v>
      </c>
      <c r="R279" s="686">
        <f t="shared" si="74"/>
        <v>0</v>
      </c>
      <c r="S279" s="687">
        <f>Discount!$J$36</f>
        <v>0</v>
      </c>
      <c r="T279" s="686">
        <f t="shared" si="75"/>
        <v>0</v>
      </c>
      <c r="U279" s="688">
        <f t="shared" si="72"/>
        <v>0</v>
      </c>
      <c r="V279" s="689">
        <f t="shared" si="73"/>
        <v>0</v>
      </c>
      <c r="W279" s="690"/>
      <c r="X279" s="690"/>
      <c r="Y279" s="690"/>
      <c r="Z279" s="690"/>
      <c r="AA279" s="690"/>
    </row>
    <row r="280" spans="1:27" ht="31.5">
      <c r="A280" s="563">
        <v>35</v>
      </c>
      <c r="B280" s="568">
        <v>7000026864</v>
      </c>
      <c r="C280" s="568">
        <v>560</v>
      </c>
      <c r="D280" s="568">
        <v>220</v>
      </c>
      <c r="E280" s="568">
        <v>130</v>
      </c>
      <c r="F280" s="568" t="s">
        <v>717</v>
      </c>
      <c r="G280" s="568">
        <v>100001479</v>
      </c>
      <c r="H280" s="568">
        <v>995454</v>
      </c>
      <c r="I280" s="431"/>
      <c r="J280" s="426">
        <v>18</v>
      </c>
      <c r="K280" s="430"/>
      <c r="L280" s="425" t="s">
        <v>751</v>
      </c>
      <c r="M280" s="425" t="s">
        <v>518</v>
      </c>
      <c r="N280" s="425">
        <v>100</v>
      </c>
      <c r="O280" s="427"/>
      <c r="P280" s="429" t="str">
        <f t="shared" ref="P280:P302" si="76">IF(O280=0, "INCLUDED", IF(ISERROR(N280*O280), O280, N280*O280))</f>
        <v>INCLUDED</v>
      </c>
      <c r="Q280" s="655">
        <f t="shared" ref="Q280:Q302" si="77">IF(P280="Included",0,P280)</f>
        <v>0</v>
      </c>
      <c r="R280" s="686">
        <f t="shared" si="74"/>
        <v>0</v>
      </c>
      <c r="S280" s="687">
        <f>Discount!$J$36</f>
        <v>0</v>
      </c>
      <c r="T280" s="686">
        <f t="shared" si="75"/>
        <v>0</v>
      </c>
      <c r="U280" s="688">
        <f t="shared" si="72"/>
        <v>0</v>
      </c>
      <c r="V280" s="689">
        <f t="shared" si="73"/>
        <v>0</v>
      </c>
      <c r="W280" s="690"/>
      <c r="X280" s="690"/>
      <c r="Y280" s="690"/>
      <c r="Z280" s="690"/>
      <c r="AA280" s="690"/>
    </row>
    <row r="281" spans="1:27" ht="31.5">
      <c r="A281" s="563">
        <v>36</v>
      </c>
      <c r="B281" s="568">
        <v>7000026864</v>
      </c>
      <c r="C281" s="568">
        <v>560</v>
      </c>
      <c r="D281" s="568">
        <v>220</v>
      </c>
      <c r="E281" s="568">
        <v>140</v>
      </c>
      <c r="F281" s="568" t="s">
        <v>717</v>
      </c>
      <c r="G281" s="568">
        <v>100001480</v>
      </c>
      <c r="H281" s="568">
        <v>995454</v>
      </c>
      <c r="I281" s="431"/>
      <c r="J281" s="426">
        <v>18</v>
      </c>
      <c r="K281" s="430"/>
      <c r="L281" s="425" t="s">
        <v>752</v>
      </c>
      <c r="M281" s="425" t="s">
        <v>518</v>
      </c>
      <c r="N281" s="425">
        <v>50</v>
      </c>
      <c r="O281" s="427"/>
      <c r="P281" s="429" t="str">
        <f t="shared" si="76"/>
        <v>INCLUDED</v>
      </c>
      <c r="Q281" s="655">
        <f t="shared" si="77"/>
        <v>0</v>
      </c>
      <c r="R281" s="686">
        <f t="shared" si="74"/>
        <v>0</v>
      </c>
      <c r="S281" s="687">
        <f>Discount!$J$36</f>
        <v>0</v>
      </c>
      <c r="T281" s="686">
        <f t="shared" si="75"/>
        <v>0</v>
      </c>
      <c r="U281" s="688">
        <f t="shared" si="72"/>
        <v>0</v>
      </c>
      <c r="V281" s="689">
        <f t="shared" si="73"/>
        <v>0</v>
      </c>
      <c r="W281" s="690"/>
      <c r="X281" s="690"/>
      <c r="Y281" s="690"/>
      <c r="Z281" s="690"/>
      <c r="AA281" s="690"/>
    </row>
    <row r="282" spans="1:27" ht="47.25">
      <c r="A282" s="563">
        <v>37</v>
      </c>
      <c r="B282" s="568">
        <v>7000026864</v>
      </c>
      <c r="C282" s="568">
        <v>560</v>
      </c>
      <c r="D282" s="568">
        <v>220</v>
      </c>
      <c r="E282" s="568">
        <v>150</v>
      </c>
      <c r="F282" s="568" t="s">
        <v>717</v>
      </c>
      <c r="G282" s="568">
        <v>100003437</v>
      </c>
      <c r="H282" s="568">
        <v>995454</v>
      </c>
      <c r="I282" s="431"/>
      <c r="J282" s="426">
        <v>18</v>
      </c>
      <c r="K282" s="430"/>
      <c r="L282" s="425" t="s">
        <v>796</v>
      </c>
      <c r="M282" s="425" t="s">
        <v>743</v>
      </c>
      <c r="N282" s="425">
        <v>27</v>
      </c>
      <c r="O282" s="427"/>
      <c r="P282" s="429" t="str">
        <f t="shared" si="76"/>
        <v>INCLUDED</v>
      </c>
      <c r="Q282" s="655">
        <f t="shared" si="77"/>
        <v>0</v>
      </c>
      <c r="R282" s="686">
        <f t="shared" si="74"/>
        <v>0</v>
      </c>
      <c r="S282" s="687">
        <f>Discount!$J$36</f>
        <v>0</v>
      </c>
      <c r="T282" s="686">
        <f t="shared" si="75"/>
        <v>0</v>
      </c>
      <c r="U282" s="688">
        <f t="shared" si="72"/>
        <v>0</v>
      </c>
      <c r="V282" s="689">
        <f t="shared" si="73"/>
        <v>0</v>
      </c>
      <c r="W282" s="690"/>
      <c r="X282" s="690"/>
      <c r="Y282" s="690"/>
      <c r="Z282" s="690"/>
      <c r="AA282" s="690"/>
    </row>
    <row r="283" spans="1:27">
      <c r="A283" s="563">
        <v>38</v>
      </c>
      <c r="B283" s="568">
        <v>7000026864</v>
      </c>
      <c r="C283" s="568">
        <v>560</v>
      </c>
      <c r="D283" s="568">
        <v>220</v>
      </c>
      <c r="E283" s="568">
        <v>160</v>
      </c>
      <c r="F283" s="568" t="s">
        <v>717</v>
      </c>
      <c r="G283" s="568">
        <v>100003114</v>
      </c>
      <c r="H283" s="568">
        <v>995454</v>
      </c>
      <c r="I283" s="431"/>
      <c r="J283" s="426">
        <v>18</v>
      </c>
      <c r="K283" s="430"/>
      <c r="L283" s="425" t="s">
        <v>746</v>
      </c>
      <c r="M283" s="425" t="s">
        <v>743</v>
      </c>
      <c r="N283" s="425">
        <v>240</v>
      </c>
      <c r="O283" s="427"/>
      <c r="P283" s="429" t="str">
        <f t="shared" si="76"/>
        <v>INCLUDED</v>
      </c>
      <c r="Q283" s="655">
        <f t="shared" si="77"/>
        <v>0</v>
      </c>
      <c r="R283" s="686">
        <f t="shared" si="74"/>
        <v>0</v>
      </c>
      <c r="S283" s="687">
        <f>Discount!$J$36</f>
        <v>0</v>
      </c>
      <c r="T283" s="686">
        <f t="shared" si="75"/>
        <v>0</v>
      </c>
      <c r="U283" s="688">
        <f t="shared" si="72"/>
        <v>0</v>
      </c>
      <c r="V283" s="689">
        <f t="shared" si="73"/>
        <v>0</v>
      </c>
      <c r="W283" s="690"/>
      <c r="X283" s="690"/>
      <c r="Y283" s="690"/>
      <c r="Z283" s="690"/>
      <c r="AA283" s="690"/>
    </row>
    <row r="284" spans="1:27" ht="47.25">
      <c r="A284" s="563">
        <v>39</v>
      </c>
      <c r="B284" s="568">
        <v>7000026864</v>
      </c>
      <c r="C284" s="568">
        <v>560</v>
      </c>
      <c r="D284" s="568">
        <v>220</v>
      </c>
      <c r="E284" s="568">
        <v>170</v>
      </c>
      <c r="F284" s="568" t="s">
        <v>717</v>
      </c>
      <c r="G284" s="568">
        <v>100001457</v>
      </c>
      <c r="H284" s="568">
        <v>995421</v>
      </c>
      <c r="I284" s="431"/>
      <c r="J284" s="426">
        <v>18</v>
      </c>
      <c r="K284" s="430"/>
      <c r="L284" s="425" t="s">
        <v>747</v>
      </c>
      <c r="M284" s="425" t="s">
        <v>743</v>
      </c>
      <c r="N284" s="425">
        <v>92</v>
      </c>
      <c r="O284" s="427"/>
      <c r="P284" s="429" t="str">
        <f t="shared" si="76"/>
        <v>INCLUDED</v>
      </c>
      <c r="Q284" s="655">
        <f t="shared" si="77"/>
        <v>0</v>
      </c>
      <c r="R284" s="686">
        <f t="shared" si="74"/>
        <v>0</v>
      </c>
      <c r="S284" s="687">
        <f>Discount!$J$36</f>
        <v>0</v>
      </c>
      <c r="T284" s="686">
        <f t="shared" si="75"/>
        <v>0</v>
      </c>
      <c r="U284" s="688">
        <f t="shared" si="72"/>
        <v>0</v>
      </c>
      <c r="V284" s="689">
        <f t="shared" si="73"/>
        <v>0</v>
      </c>
      <c r="W284" s="690"/>
      <c r="X284" s="690"/>
      <c r="Y284" s="690"/>
      <c r="Z284" s="690"/>
      <c r="AA284" s="690"/>
    </row>
    <row r="285" spans="1:27">
      <c r="A285" s="563">
        <v>40</v>
      </c>
      <c r="B285" s="568">
        <v>7000026864</v>
      </c>
      <c r="C285" s="568">
        <v>560</v>
      </c>
      <c r="D285" s="568">
        <v>220</v>
      </c>
      <c r="E285" s="568">
        <v>180</v>
      </c>
      <c r="F285" s="568" t="s">
        <v>717</v>
      </c>
      <c r="G285" s="568">
        <v>100007701</v>
      </c>
      <c r="H285" s="568">
        <v>995462</v>
      </c>
      <c r="I285" s="431"/>
      <c r="J285" s="426">
        <v>18</v>
      </c>
      <c r="K285" s="430"/>
      <c r="L285" s="425" t="s">
        <v>748</v>
      </c>
      <c r="M285" s="425" t="s">
        <v>470</v>
      </c>
      <c r="N285" s="425">
        <v>1</v>
      </c>
      <c r="O285" s="427"/>
      <c r="P285" s="429" t="str">
        <f t="shared" si="76"/>
        <v>INCLUDED</v>
      </c>
      <c r="Q285" s="655">
        <f t="shared" si="77"/>
        <v>0</v>
      </c>
      <c r="R285" s="686">
        <f t="shared" si="74"/>
        <v>0</v>
      </c>
      <c r="S285" s="687">
        <f>Discount!$J$36</f>
        <v>0</v>
      </c>
      <c r="T285" s="686">
        <f t="shared" si="75"/>
        <v>0</v>
      </c>
      <c r="U285" s="688">
        <f t="shared" si="72"/>
        <v>0</v>
      </c>
      <c r="V285" s="689">
        <f t="shared" si="73"/>
        <v>0</v>
      </c>
      <c r="W285" s="690"/>
      <c r="X285" s="690"/>
      <c r="Y285" s="690"/>
      <c r="Z285" s="690"/>
      <c r="AA285" s="690"/>
    </row>
    <row r="286" spans="1:27" ht="47.25">
      <c r="A286" s="563">
        <v>41</v>
      </c>
      <c r="B286" s="568">
        <v>7000026864</v>
      </c>
      <c r="C286" s="568">
        <v>560</v>
      </c>
      <c r="D286" s="568">
        <v>220</v>
      </c>
      <c r="E286" s="568">
        <v>190</v>
      </c>
      <c r="F286" s="568" t="s">
        <v>717</v>
      </c>
      <c r="G286" s="568">
        <v>130000761</v>
      </c>
      <c r="H286" s="568">
        <v>995428</v>
      </c>
      <c r="I286" s="431"/>
      <c r="J286" s="426">
        <v>18</v>
      </c>
      <c r="K286" s="430"/>
      <c r="L286" s="425" t="s">
        <v>753</v>
      </c>
      <c r="M286" s="425" t="s">
        <v>518</v>
      </c>
      <c r="N286" s="425">
        <v>5</v>
      </c>
      <c r="O286" s="427"/>
      <c r="P286" s="429" t="str">
        <f t="shared" si="76"/>
        <v>INCLUDED</v>
      </c>
      <c r="Q286" s="655">
        <f t="shared" si="77"/>
        <v>0</v>
      </c>
      <c r="R286" s="686">
        <f t="shared" si="74"/>
        <v>0</v>
      </c>
      <c r="S286" s="687">
        <f>Discount!$J$36</f>
        <v>0</v>
      </c>
      <c r="T286" s="686">
        <f t="shared" si="75"/>
        <v>0</v>
      </c>
      <c r="U286" s="688">
        <f t="shared" ref="U286:U302" si="78">IF(K286="",J286*T286/100,K286*T286)</f>
        <v>0</v>
      </c>
      <c r="V286" s="689">
        <f t="shared" ref="V286:V302" si="79">O286*N286</f>
        <v>0</v>
      </c>
      <c r="W286" s="690"/>
      <c r="X286" s="690"/>
      <c r="Y286" s="690"/>
      <c r="Z286" s="690"/>
      <c r="AA286" s="690"/>
    </row>
    <row r="287" spans="1:27" ht="47.25">
      <c r="A287" s="563">
        <v>42</v>
      </c>
      <c r="B287" s="568">
        <v>7000026864</v>
      </c>
      <c r="C287" s="568">
        <v>560</v>
      </c>
      <c r="D287" s="568">
        <v>220</v>
      </c>
      <c r="E287" s="568">
        <v>200</v>
      </c>
      <c r="F287" s="568" t="s">
        <v>717</v>
      </c>
      <c r="G287" s="568">
        <v>130000762</v>
      </c>
      <c r="H287" s="568">
        <v>995428</v>
      </c>
      <c r="I287" s="431"/>
      <c r="J287" s="426">
        <v>18</v>
      </c>
      <c r="K287" s="430"/>
      <c r="L287" s="425" t="s">
        <v>754</v>
      </c>
      <c r="M287" s="425" t="s">
        <v>518</v>
      </c>
      <c r="N287" s="425">
        <v>5</v>
      </c>
      <c r="O287" s="427"/>
      <c r="P287" s="429" t="str">
        <f t="shared" si="76"/>
        <v>INCLUDED</v>
      </c>
      <c r="Q287" s="655">
        <f t="shared" si="77"/>
        <v>0</v>
      </c>
      <c r="R287" s="686">
        <f t="shared" si="74"/>
        <v>0</v>
      </c>
      <c r="S287" s="687">
        <f>Discount!$J$36</f>
        <v>0</v>
      </c>
      <c r="T287" s="686">
        <f t="shared" si="75"/>
        <v>0</v>
      </c>
      <c r="U287" s="688">
        <f t="shared" si="78"/>
        <v>0</v>
      </c>
      <c r="V287" s="689">
        <f t="shared" si="79"/>
        <v>0</v>
      </c>
      <c r="W287" s="690"/>
      <c r="X287" s="690"/>
      <c r="Y287" s="690"/>
      <c r="Z287" s="690"/>
      <c r="AA287" s="690"/>
    </row>
    <row r="288" spans="1:27">
      <c r="A288" s="563">
        <v>43</v>
      </c>
      <c r="B288" s="568">
        <v>7000026864</v>
      </c>
      <c r="C288" s="568">
        <v>560</v>
      </c>
      <c r="D288" s="568">
        <v>220</v>
      </c>
      <c r="E288" s="568">
        <v>210</v>
      </c>
      <c r="F288" s="568" t="s">
        <v>717</v>
      </c>
      <c r="G288" s="568">
        <v>100001330</v>
      </c>
      <c r="H288" s="568">
        <v>995428</v>
      </c>
      <c r="I288" s="431"/>
      <c r="J288" s="426">
        <v>18</v>
      </c>
      <c r="K288" s="430"/>
      <c r="L288" s="425" t="s">
        <v>740</v>
      </c>
      <c r="M288" s="425" t="s">
        <v>733</v>
      </c>
      <c r="N288" s="425">
        <v>26</v>
      </c>
      <c r="O288" s="427"/>
      <c r="P288" s="429" t="str">
        <f t="shared" si="76"/>
        <v>INCLUDED</v>
      </c>
      <c r="Q288" s="655">
        <f t="shared" si="77"/>
        <v>0</v>
      </c>
      <c r="R288" s="686">
        <f t="shared" si="74"/>
        <v>0</v>
      </c>
      <c r="S288" s="687">
        <f>Discount!$J$36</f>
        <v>0</v>
      </c>
      <c r="T288" s="686">
        <f t="shared" si="75"/>
        <v>0</v>
      </c>
      <c r="U288" s="688">
        <f t="shared" si="78"/>
        <v>0</v>
      </c>
      <c r="V288" s="689">
        <f t="shared" si="79"/>
        <v>0</v>
      </c>
      <c r="W288" s="690"/>
      <c r="X288" s="690"/>
      <c r="Y288" s="690"/>
      <c r="Z288" s="690"/>
      <c r="AA288" s="690"/>
    </row>
    <row r="289" spans="1:27" ht="31.5">
      <c r="A289" s="563">
        <v>44</v>
      </c>
      <c r="B289" s="568">
        <v>7000026864</v>
      </c>
      <c r="C289" s="568">
        <v>560</v>
      </c>
      <c r="D289" s="568">
        <v>220</v>
      </c>
      <c r="E289" s="568">
        <v>220</v>
      </c>
      <c r="F289" s="568" t="s">
        <v>717</v>
      </c>
      <c r="G289" s="568">
        <v>100001721</v>
      </c>
      <c r="H289" s="568">
        <v>995428</v>
      </c>
      <c r="I289" s="431"/>
      <c r="J289" s="426">
        <v>18</v>
      </c>
      <c r="K289" s="430"/>
      <c r="L289" s="425" t="s">
        <v>758</v>
      </c>
      <c r="M289" s="425" t="s">
        <v>733</v>
      </c>
      <c r="N289" s="425">
        <v>5</v>
      </c>
      <c r="O289" s="427"/>
      <c r="P289" s="429" t="str">
        <f t="shared" si="76"/>
        <v>INCLUDED</v>
      </c>
      <c r="Q289" s="655">
        <f t="shared" si="77"/>
        <v>0</v>
      </c>
      <c r="R289" s="686">
        <f t="shared" si="74"/>
        <v>0</v>
      </c>
      <c r="S289" s="687">
        <f>Discount!$J$36</f>
        <v>0</v>
      </c>
      <c r="T289" s="686">
        <f t="shared" si="75"/>
        <v>0</v>
      </c>
      <c r="U289" s="688">
        <f t="shared" si="78"/>
        <v>0</v>
      </c>
      <c r="V289" s="689">
        <f t="shared" si="79"/>
        <v>0</v>
      </c>
      <c r="W289" s="690"/>
      <c r="X289" s="690"/>
      <c r="Y289" s="690"/>
      <c r="Z289" s="690"/>
      <c r="AA289" s="690"/>
    </row>
    <row r="290" spans="1:27" ht="31.5">
      <c r="A290" s="563">
        <v>45</v>
      </c>
      <c r="B290" s="568">
        <v>7000026864</v>
      </c>
      <c r="C290" s="568">
        <v>560</v>
      </c>
      <c r="D290" s="568">
        <v>220</v>
      </c>
      <c r="E290" s="568">
        <v>230</v>
      </c>
      <c r="F290" s="568" t="s">
        <v>717</v>
      </c>
      <c r="G290" s="568">
        <v>100001720</v>
      </c>
      <c r="H290" s="568">
        <v>995428</v>
      </c>
      <c r="I290" s="431"/>
      <c r="J290" s="426">
        <v>18</v>
      </c>
      <c r="K290" s="430"/>
      <c r="L290" s="425" t="s">
        <v>759</v>
      </c>
      <c r="M290" s="425" t="s">
        <v>733</v>
      </c>
      <c r="N290" s="425">
        <v>5</v>
      </c>
      <c r="O290" s="427"/>
      <c r="P290" s="429" t="str">
        <f t="shared" si="76"/>
        <v>INCLUDED</v>
      </c>
      <c r="Q290" s="655">
        <f t="shared" si="77"/>
        <v>0</v>
      </c>
      <c r="R290" s="686">
        <f t="shared" si="74"/>
        <v>0</v>
      </c>
      <c r="S290" s="687">
        <f>Discount!$J$36</f>
        <v>0</v>
      </c>
      <c r="T290" s="686">
        <f t="shared" si="75"/>
        <v>0</v>
      </c>
      <c r="U290" s="688">
        <f t="shared" si="78"/>
        <v>0</v>
      </c>
      <c r="V290" s="689">
        <f t="shared" si="79"/>
        <v>0</v>
      </c>
      <c r="W290" s="690"/>
      <c r="X290" s="690"/>
      <c r="Y290" s="690"/>
      <c r="Z290" s="690"/>
      <c r="AA290" s="690"/>
    </row>
    <row r="291" spans="1:27" ht="47.25">
      <c r="A291" s="563">
        <v>46</v>
      </c>
      <c r="B291" s="568">
        <v>7000026864</v>
      </c>
      <c r="C291" s="568">
        <v>570</v>
      </c>
      <c r="D291" s="568">
        <v>230</v>
      </c>
      <c r="E291" s="568">
        <v>10</v>
      </c>
      <c r="F291" s="568" t="s">
        <v>716</v>
      </c>
      <c r="G291" s="568">
        <v>100001210</v>
      </c>
      <c r="H291" s="568">
        <v>995455</v>
      </c>
      <c r="I291" s="431"/>
      <c r="J291" s="426">
        <v>18</v>
      </c>
      <c r="K291" s="430"/>
      <c r="L291" s="425" t="s">
        <v>728</v>
      </c>
      <c r="M291" s="425" t="s">
        <v>536</v>
      </c>
      <c r="N291" s="425">
        <v>8</v>
      </c>
      <c r="O291" s="427"/>
      <c r="P291" s="429" t="str">
        <f t="shared" si="76"/>
        <v>INCLUDED</v>
      </c>
      <c r="Q291" s="655">
        <f t="shared" si="77"/>
        <v>0</v>
      </c>
      <c r="R291" s="686">
        <f t="shared" si="74"/>
        <v>0</v>
      </c>
      <c r="S291" s="687">
        <f>Discount!$J$36</f>
        <v>0</v>
      </c>
      <c r="T291" s="686">
        <f t="shared" si="75"/>
        <v>0</v>
      </c>
      <c r="U291" s="688">
        <f t="shared" si="78"/>
        <v>0</v>
      </c>
      <c r="V291" s="689">
        <f t="shared" si="79"/>
        <v>0</v>
      </c>
      <c r="W291" s="690"/>
      <c r="X291" s="690"/>
      <c r="Y291" s="690"/>
      <c r="Z291" s="690"/>
      <c r="AA291" s="690"/>
    </row>
    <row r="292" spans="1:27" ht="31.5">
      <c r="A292" s="563">
        <v>47</v>
      </c>
      <c r="B292" s="568">
        <v>7000026864</v>
      </c>
      <c r="C292" s="568">
        <v>570</v>
      </c>
      <c r="D292" s="568">
        <v>230</v>
      </c>
      <c r="E292" s="568">
        <v>20</v>
      </c>
      <c r="F292" s="568" t="s">
        <v>716</v>
      </c>
      <c r="G292" s="568">
        <v>100001680</v>
      </c>
      <c r="H292" s="568">
        <v>995455</v>
      </c>
      <c r="I292" s="431"/>
      <c r="J292" s="426">
        <v>18</v>
      </c>
      <c r="K292" s="430"/>
      <c r="L292" s="425" t="s">
        <v>730</v>
      </c>
      <c r="M292" s="425" t="s">
        <v>536</v>
      </c>
      <c r="N292" s="425">
        <v>1</v>
      </c>
      <c r="O292" s="427"/>
      <c r="P292" s="429" t="str">
        <f t="shared" si="76"/>
        <v>INCLUDED</v>
      </c>
      <c r="Q292" s="655">
        <f t="shared" si="77"/>
        <v>0</v>
      </c>
      <c r="R292" s="686">
        <f t="shared" si="74"/>
        <v>0</v>
      </c>
      <c r="S292" s="687">
        <f>Discount!$J$36</f>
        <v>0</v>
      </c>
      <c r="T292" s="686">
        <f t="shared" si="75"/>
        <v>0</v>
      </c>
      <c r="U292" s="688">
        <f t="shared" si="78"/>
        <v>0</v>
      </c>
      <c r="V292" s="689">
        <f t="shared" si="79"/>
        <v>0</v>
      </c>
      <c r="W292" s="690"/>
      <c r="X292" s="690"/>
      <c r="Y292" s="690"/>
      <c r="Z292" s="690"/>
      <c r="AA292" s="690"/>
    </row>
    <row r="293" spans="1:27" ht="31.5">
      <c r="A293" s="563">
        <v>48</v>
      </c>
      <c r="B293" s="568">
        <v>7000026864</v>
      </c>
      <c r="C293" s="568">
        <v>570</v>
      </c>
      <c r="D293" s="568">
        <v>230</v>
      </c>
      <c r="E293" s="568">
        <v>30</v>
      </c>
      <c r="F293" s="568" t="s">
        <v>716</v>
      </c>
      <c r="G293" s="568">
        <v>100001681</v>
      </c>
      <c r="H293" s="568">
        <v>995455</v>
      </c>
      <c r="I293" s="431"/>
      <c r="J293" s="426">
        <v>18</v>
      </c>
      <c r="K293" s="430"/>
      <c r="L293" s="425" t="s">
        <v>731</v>
      </c>
      <c r="M293" s="425" t="s">
        <v>536</v>
      </c>
      <c r="N293" s="425">
        <v>1</v>
      </c>
      <c r="O293" s="427"/>
      <c r="P293" s="429" t="str">
        <f t="shared" si="76"/>
        <v>INCLUDED</v>
      </c>
      <c r="Q293" s="655">
        <f t="shared" si="77"/>
        <v>0</v>
      </c>
      <c r="R293" s="686">
        <f t="shared" si="74"/>
        <v>0</v>
      </c>
      <c r="S293" s="687">
        <f>Discount!$J$36</f>
        <v>0</v>
      </c>
      <c r="T293" s="686">
        <f t="shared" si="75"/>
        <v>0</v>
      </c>
      <c r="U293" s="688">
        <f t="shared" si="78"/>
        <v>0</v>
      </c>
      <c r="V293" s="689">
        <f t="shared" si="79"/>
        <v>0</v>
      </c>
      <c r="W293" s="690"/>
      <c r="X293" s="690"/>
      <c r="Y293" s="690"/>
      <c r="Z293" s="690"/>
      <c r="AA293" s="690"/>
    </row>
    <row r="294" spans="1:27">
      <c r="A294" s="563">
        <v>49</v>
      </c>
      <c r="B294" s="568">
        <v>7000026864</v>
      </c>
      <c r="C294" s="568">
        <v>640</v>
      </c>
      <c r="D294" s="568">
        <v>270</v>
      </c>
      <c r="E294" s="568">
        <v>10</v>
      </c>
      <c r="F294" s="568" t="s">
        <v>576</v>
      </c>
      <c r="G294" s="568">
        <v>100002181</v>
      </c>
      <c r="H294" s="568">
        <v>998736</v>
      </c>
      <c r="I294" s="431"/>
      <c r="J294" s="426">
        <v>18</v>
      </c>
      <c r="K294" s="430"/>
      <c r="L294" s="425" t="s">
        <v>781</v>
      </c>
      <c r="M294" s="425" t="s">
        <v>506</v>
      </c>
      <c r="N294" s="425">
        <v>1</v>
      </c>
      <c r="O294" s="427"/>
      <c r="P294" s="429" t="str">
        <f t="shared" si="76"/>
        <v>INCLUDED</v>
      </c>
      <c r="Q294" s="655">
        <f t="shared" si="77"/>
        <v>0</v>
      </c>
      <c r="R294" s="686">
        <f>IF( K294="",J294*(IF(P294="Included",0,P294))/100,K294*(IF(P294="Included",0,P294)))</f>
        <v>0</v>
      </c>
      <c r="S294" s="687">
        <f>Discount!$J$36</f>
        <v>0</v>
      </c>
      <c r="T294" s="686">
        <f>S294*Q294</f>
        <v>0</v>
      </c>
      <c r="U294" s="688">
        <f t="shared" si="78"/>
        <v>0</v>
      </c>
      <c r="V294" s="689">
        <f t="shared" si="79"/>
        <v>0</v>
      </c>
      <c r="W294" s="690"/>
      <c r="X294" s="690"/>
      <c r="Y294" s="690"/>
      <c r="Z294" s="690"/>
      <c r="AA294" s="690"/>
    </row>
    <row r="295" spans="1:27">
      <c r="A295" s="563">
        <v>50</v>
      </c>
      <c r="B295" s="568">
        <v>7000026864</v>
      </c>
      <c r="C295" s="568">
        <v>640</v>
      </c>
      <c r="D295" s="568">
        <v>270</v>
      </c>
      <c r="E295" s="568">
        <v>20</v>
      </c>
      <c r="F295" s="568" t="s">
        <v>576</v>
      </c>
      <c r="G295" s="568">
        <v>100002182</v>
      </c>
      <c r="H295" s="568">
        <v>998736</v>
      </c>
      <c r="I295" s="431"/>
      <c r="J295" s="426">
        <v>18</v>
      </c>
      <c r="K295" s="430"/>
      <c r="L295" s="425" t="s">
        <v>782</v>
      </c>
      <c r="M295" s="425" t="s">
        <v>506</v>
      </c>
      <c r="N295" s="425">
        <v>1</v>
      </c>
      <c r="O295" s="427"/>
      <c r="P295" s="429" t="str">
        <f t="shared" si="76"/>
        <v>INCLUDED</v>
      </c>
      <c r="Q295" s="655">
        <f t="shared" si="77"/>
        <v>0</v>
      </c>
      <c r="R295" s="686">
        <f t="shared" ref="R295:R302" si="80">IF( K295="",J295*(IF(P295="Included",0,P295))/100,K295*(IF(P295="Included",0,P295)))</f>
        <v>0</v>
      </c>
      <c r="S295" s="687">
        <f>Discount!$J$36</f>
        <v>0</v>
      </c>
      <c r="T295" s="686">
        <f t="shared" ref="T295:T302" si="81">S295*Q295</f>
        <v>0</v>
      </c>
      <c r="U295" s="688">
        <f t="shared" si="78"/>
        <v>0</v>
      </c>
      <c r="V295" s="689">
        <f t="shared" si="79"/>
        <v>0</v>
      </c>
      <c r="W295" s="690"/>
      <c r="X295" s="690"/>
      <c r="Y295" s="690"/>
      <c r="Z295" s="690"/>
      <c r="AA295" s="690"/>
    </row>
    <row r="296" spans="1:27">
      <c r="A296" s="563">
        <v>51</v>
      </c>
      <c r="B296" s="568">
        <v>7000026864</v>
      </c>
      <c r="C296" s="568">
        <v>640</v>
      </c>
      <c r="D296" s="568">
        <v>270</v>
      </c>
      <c r="E296" s="568">
        <v>30</v>
      </c>
      <c r="F296" s="568" t="s">
        <v>576</v>
      </c>
      <c r="G296" s="568">
        <v>100002180</v>
      </c>
      <c r="H296" s="568">
        <v>998736</v>
      </c>
      <c r="I296" s="431"/>
      <c r="J296" s="426">
        <v>18</v>
      </c>
      <c r="K296" s="430"/>
      <c r="L296" s="425" t="s">
        <v>783</v>
      </c>
      <c r="M296" s="425" t="s">
        <v>506</v>
      </c>
      <c r="N296" s="425">
        <v>1</v>
      </c>
      <c r="O296" s="427"/>
      <c r="P296" s="429" t="str">
        <f t="shared" si="76"/>
        <v>INCLUDED</v>
      </c>
      <c r="Q296" s="655">
        <f t="shared" si="77"/>
        <v>0</v>
      </c>
      <c r="R296" s="686">
        <f t="shared" si="80"/>
        <v>0</v>
      </c>
      <c r="S296" s="687">
        <f>Discount!$J$36</f>
        <v>0</v>
      </c>
      <c r="T296" s="686">
        <f t="shared" si="81"/>
        <v>0</v>
      </c>
      <c r="U296" s="688">
        <f t="shared" si="78"/>
        <v>0</v>
      </c>
      <c r="V296" s="689">
        <f t="shared" si="79"/>
        <v>0</v>
      </c>
      <c r="W296" s="690"/>
      <c r="X296" s="690"/>
      <c r="Y296" s="690"/>
      <c r="Z296" s="690"/>
      <c r="AA296" s="690"/>
    </row>
    <row r="297" spans="1:27" ht="31.5">
      <c r="A297" s="563">
        <v>52</v>
      </c>
      <c r="B297" s="568">
        <v>7000026864</v>
      </c>
      <c r="C297" s="568">
        <v>710</v>
      </c>
      <c r="D297" s="568">
        <v>290</v>
      </c>
      <c r="E297" s="568">
        <v>10</v>
      </c>
      <c r="F297" s="568" t="s">
        <v>687</v>
      </c>
      <c r="G297" s="568">
        <v>170000502</v>
      </c>
      <c r="H297" s="568">
        <v>998713</v>
      </c>
      <c r="I297" s="431"/>
      <c r="J297" s="426">
        <v>18</v>
      </c>
      <c r="K297" s="430"/>
      <c r="L297" s="425" t="s">
        <v>805</v>
      </c>
      <c r="M297" s="425" t="s">
        <v>470</v>
      </c>
      <c r="N297" s="425">
        <v>1</v>
      </c>
      <c r="O297" s="427"/>
      <c r="P297" s="429" t="str">
        <f t="shared" si="76"/>
        <v>INCLUDED</v>
      </c>
      <c r="Q297" s="655">
        <f t="shared" si="77"/>
        <v>0</v>
      </c>
      <c r="R297" s="686">
        <f t="shared" si="80"/>
        <v>0</v>
      </c>
      <c r="S297" s="687">
        <f>Discount!$J$36</f>
        <v>0</v>
      </c>
      <c r="T297" s="686">
        <f t="shared" si="81"/>
        <v>0</v>
      </c>
      <c r="U297" s="688">
        <f t="shared" si="78"/>
        <v>0</v>
      </c>
      <c r="V297" s="689">
        <f t="shared" si="79"/>
        <v>0</v>
      </c>
      <c r="W297" s="690"/>
      <c r="X297" s="690"/>
      <c r="Y297" s="690"/>
      <c r="Z297" s="690"/>
      <c r="AA297" s="690"/>
    </row>
    <row r="298" spans="1:27" ht="31.5">
      <c r="A298" s="563">
        <v>53</v>
      </c>
      <c r="B298" s="568">
        <v>7000026864</v>
      </c>
      <c r="C298" s="568">
        <v>710</v>
      </c>
      <c r="D298" s="568">
        <v>290</v>
      </c>
      <c r="E298" s="568">
        <v>20</v>
      </c>
      <c r="F298" s="568" t="s">
        <v>687</v>
      </c>
      <c r="G298" s="568">
        <v>170000530</v>
      </c>
      <c r="H298" s="568">
        <v>998734</v>
      </c>
      <c r="I298" s="431"/>
      <c r="J298" s="426">
        <v>18</v>
      </c>
      <c r="K298" s="430"/>
      <c r="L298" s="425" t="s">
        <v>806</v>
      </c>
      <c r="M298" s="425" t="s">
        <v>470</v>
      </c>
      <c r="N298" s="425">
        <v>1</v>
      </c>
      <c r="O298" s="427"/>
      <c r="P298" s="429" t="str">
        <f t="shared" si="76"/>
        <v>INCLUDED</v>
      </c>
      <c r="Q298" s="655">
        <f t="shared" si="77"/>
        <v>0</v>
      </c>
      <c r="R298" s="686">
        <f t="shared" si="80"/>
        <v>0</v>
      </c>
      <c r="S298" s="687">
        <f>Discount!$J$36</f>
        <v>0</v>
      </c>
      <c r="T298" s="686">
        <f t="shared" si="81"/>
        <v>0</v>
      </c>
      <c r="U298" s="688">
        <f t="shared" si="78"/>
        <v>0</v>
      </c>
      <c r="V298" s="689">
        <f t="shared" si="79"/>
        <v>0</v>
      </c>
      <c r="W298" s="690"/>
      <c r="X298" s="690"/>
      <c r="Y298" s="690"/>
      <c r="Z298" s="690"/>
      <c r="AA298" s="690"/>
    </row>
    <row r="299" spans="1:27" ht="31.5">
      <c r="A299" s="563">
        <v>54</v>
      </c>
      <c r="B299" s="568">
        <v>7000026864</v>
      </c>
      <c r="C299" s="568">
        <v>710</v>
      </c>
      <c r="D299" s="568">
        <v>290</v>
      </c>
      <c r="E299" s="568">
        <v>30</v>
      </c>
      <c r="F299" s="568" t="s">
        <v>687</v>
      </c>
      <c r="G299" s="568">
        <v>170004701</v>
      </c>
      <c r="H299" s="568">
        <v>998734</v>
      </c>
      <c r="I299" s="431"/>
      <c r="J299" s="426">
        <v>18</v>
      </c>
      <c r="K299" s="430"/>
      <c r="L299" s="425" t="s">
        <v>807</v>
      </c>
      <c r="M299" s="425" t="s">
        <v>470</v>
      </c>
      <c r="N299" s="425">
        <v>1</v>
      </c>
      <c r="O299" s="427"/>
      <c r="P299" s="429" t="str">
        <f t="shared" si="76"/>
        <v>INCLUDED</v>
      </c>
      <c r="Q299" s="655">
        <f t="shared" si="77"/>
        <v>0</v>
      </c>
      <c r="R299" s="686">
        <f t="shared" si="80"/>
        <v>0</v>
      </c>
      <c r="S299" s="687">
        <f>Discount!$J$36</f>
        <v>0</v>
      </c>
      <c r="T299" s="686">
        <f t="shared" si="81"/>
        <v>0</v>
      </c>
      <c r="U299" s="688">
        <f t="shared" si="78"/>
        <v>0</v>
      </c>
      <c r="V299" s="689">
        <f t="shared" si="79"/>
        <v>0</v>
      </c>
      <c r="W299" s="690"/>
      <c r="X299" s="690"/>
      <c r="Y299" s="690"/>
      <c r="Z299" s="690"/>
      <c r="AA299" s="690"/>
    </row>
    <row r="300" spans="1:27" ht="31.5">
      <c r="A300" s="563">
        <v>55</v>
      </c>
      <c r="B300" s="568">
        <v>7000026864</v>
      </c>
      <c r="C300" s="568">
        <v>710</v>
      </c>
      <c r="D300" s="568">
        <v>290</v>
      </c>
      <c r="E300" s="568">
        <v>40</v>
      </c>
      <c r="F300" s="568" t="s">
        <v>687</v>
      </c>
      <c r="G300" s="568">
        <v>170004700</v>
      </c>
      <c r="H300" s="568">
        <v>998734</v>
      </c>
      <c r="I300" s="431"/>
      <c r="J300" s="426">
        <v>18</v>
      </c>
      <c r="K300" s="430"/>
      <c r="L300" s="425" t="s">
        <v>808</v>
      </c>
      <c r="M300" s="425" t="s">
        <v>470</v>
      </c>
      <c r="N300" s="425">
        <v>1</v>
      </c>
      <c r="O300" s="427"/>
      <c r="P300" s="429" t="str">
        <f t="shared" si="76"/>
        <v>INCLUDED</v>
      </c>
      <c r="Q300" s="655">
        <f t="shared" si="77"/>
        <v>0</v>
      </c>
      <c r="R300" s="686">
        <f t="shared" si="80"/>
        <v>0</v>
      </c>
      <c r="S300" s="687">
        <f>Discount!$J$36</f>
        <v>0</v>
      </c>
      <c r="T300" s="686">
        <f t="shared" si="81"/>
        <v>0</v>
      </c>
      <c r="U300" s="688">
        <f t="shared" si="78"/>
        <v>0</v>
      </c>
      <c r="V300" s="689">
        <f t="shared" si="79"/>
        <v>0</v>
      </c>
      <c r="W300" s="690"/>
      <c r="X300" s="690"/>
      <c r="Y300" s="690"/>
      <c r="Z300" s="690"/>
      <c r="AA300" s="690"/>
    </row>
    <row r="301" spans="1:27" ht="31.5">
      <c r="A301" s="563">
        <v>56</v>
      </c>
      <c r="B301" s="568">
        <v>7000026864</v>
      </c>
      <c r="C301" s="568">
        <v>710</v>
      </c>
      <c r="D301" s="568">
        <v>290</v>
      </c>
      <c r="E301" s="568">
        <v>50</v>
      </c>
      <c r="F301" s="568" t="s">
        <v>687</v>
      </c>
      <c r="G301" s="568">
        <v>170000504</v>
      </c>
      <c r="H301" s="568">
        <v>998713</v>
      </c>
      <c r="I301" s="431"/>
      <c r="J301" s="426">
        <v>18</v>
      </c>
      <c r="K301" s="430"/>
      <c r="L301" s="425" t="s">
        <v>809</v>
      </c>
      <c r="M301" s="425" t="s">
        <v>505</v>
      </c>
      <c r="N301" s="425">
        <v>1</v>
      </c>
      <c r="O301" s="427"/>
      <c r="P301" s="429" t="str">
        <f t="shared" si="76"/>
        <v>INCLUDED</v>
      </c>
      <c r="Q301" s="655">
        <f t="shared" si="77"/>
        <v>0</v>
      </c>
      <c r="R301" s="686">
        <f t="shared" si="80"/>
        <v>0</v>
      </c>
      <c r="S301" s="687">
        <f>Discount!$J$36</f>
        <v>0</v>
      </c>
      <c r="T301" s="686">
        <f t="shared" si="81"/>
        <v>0</v>
      </c>
      <c r="U301" s="688">
        <f t="shared" si="78"/>
        <v>0</v>
      </c>
      <c r="V301" s="689">
        <f t="shared" si="79"/>
        <v>0</v>
      </c>
      <c r="W301" s="690"/>
      <c r="X301" s="690"/>
      <c r="Y301" s="690"/>
      <c r="Z301" s="690"/>
      <c r="AA301" s="690"/>
    </row>
    <row r="302" spans="1:27" ht="31.5">
      <c r="A302" s="563">
        <v>57</v>
      </c>
      <c r="B302" s="568">
        <v>7000026864</v>
      </c>
      <c r="C302" s="568">
        <v>710</v>
      </c>
      <c r="D302" s="568">
        <v>290</v>
      </c>
      <c r="E302" s="568">
        <v>60</v>
      </c>
      <c r="F302" s="568" t="s">
        <v>687</v>
      </c>
      <c r="G302" s="568">
        <v>170003449</v>
      </c>
      <c r="H302" s="568">
        <v>998316</v>
      </c>
      <c r="I302" s="431"/>
      <c r="J302" s="426">
        <v>18</v>
      </c>
      <c r="K302" s="430"/>
      <c r="L302" s="425" t="s">
        <v>810</v>
      </c>
      <c r="M302" s="425" t="s">
        <v>470</v>
      </c>
      <c r="N302" s="425">
        <v>2</v>
      </c>
      <c r="O302" s="427"/>
      <c r="P302" s="429" t="str">
        <f t="shared" si="76"/>
        <v>INCLUDED</v>
      </c>
      <c r="Q302" s="655">
        <f t="shared" si="77"/>
        <v>0</v>
      </c>
      <c r="R302" s="686">
        <f t="shared" si="80"/>
        <v>0</v>
      </c>
      <c r="S302" s="687">
        <f>Discount!$J$36</f>
        <v>0</v>
      </c>
      <c r="T302" s="686">
        <f t="shared" si="81"/>
        <v>0</v>
      </c>
      <c r="U302" s="688">
        <f t="shared" si="78"/>
        <v>0</v>
      </c>
      <c r="V302" s="689">
        <f t="shared" si="79"/>
        <v>0</v>
      </c>
      <c r="W302" s="690"/>
      <c r="X302" s="690"/>
      <c r="Y302" s="690"/>
      <c r="Z302" s="690"/>
      <c r="AA302" s="690"/>
    </row>
    <row r="303" spans="1:27" ht="31.5">
      <c r="A303" s="563">
        <v>58</v>
      </c>
      <c r="B303" s="568">
        <v>7000026864</v>
      </c>
      <c r="C303" s="568">
        <v>710</v>
      </c>
      <c r="D303" s="568">
        <v>290</v>
      </c>
      <c r="E303" s="568">
        <v>70</v>
      </c>
      <c r="F303" s="568" t="s">
        <v>687</v>
      </c>
      <c r="G303" s="568">
        <v>170000501</v>
      </c>
      <c r="H303" s="568">
        <v>998734</v>
      </c>
      <c r="I303" s="431"/>
      <c r="J303" s="426">
        <v>18</v>
      </c>
      <c r="K303" s="430"/>
      <c r="L303" s="425" t="s">
        <v>811</v>
      </c>
      <c r="M303" s="425" t="s">
        <v>505</v>
      </c>
      <c r="N303" s="425">
        <v>1</v>
      </c>
      <c r="O303" s="427"/>
      <c r="P303" s="429" t="str">
        <f t="shared" ref="P303" si="82">IF(O303=0, "INCLUDED", IF(ISERROR(N303*O303), O303, N303*O303))</f>
        <v>INCLUDED</v>
      </c>
      <c r="Q303" s="655">
        <f t="shared" ref="Q303" si="83">IF(P303="Included",0,P303)</f>
        <v>0</v>
      </c>
      <c r="R303" s="686">
        <f t="shared" ref="R303" si="84">IF( K303="",J303*(IF(P303="Included",0,P303))/100,K303*(IF(P303="Included",0,P303)))</f>
        <v>0</v>
      </c>
      <c r="S303" s="687">
        <f>Discount!$J$36</f>
        <v>0</v>
      </c>
      <c r="T303" s="686">
        <f t="shared" ref="T303" si="85">S303*Q303</f>
        <v>0</v>
      </c>
      <c r="U303" s="688">
        <f t="shared" ref="U303" si="86">IF(K303="",J303*T303/100,K303*T303)</f>
        <v>0</v>
      </c>
      <c r="V303" s="689">
        <f t="shared" ref="V303" si="87">O303*N303</f>
        <v>0</v>
      </c>
      <c r="W303" s="690"/>
      <c r="X303" s="690"/>
      <c r="Y303" s="690"/>
      <c r="Z303" s="690"/>
      <c r="AA303" s="690"/>
    </row>
    <row r="304" spans="1:27" ht="39" customHeight="1">
      <c r="A304" s="833"/>
      <c r="B304" s="834"/>
      <c r="C304" s="834"/>
      <c r="D304" s="834"/>
      <c r="E304" s="834"/>
      <c r="F304" s="834"/>
      <c r="G304" s="834"/>
      <c r="H304" s="834"/>
      <c r="I304" s="834"/>
      <c r="J304" s="834"/>
      <c r="K304" s="834"/>
      <c r="L304" s="834"/>
      <c r="M304" s="834"/>
      <c r="N304" s="834"/>
      <c r="O304" s="834"/>
      <c r="P304" s="835"/>
      <c r="Q304" s="655">
        <f t="shared" si="19"/>
        <v>0</v>
      </c>
      <c r="R304" s="686">
        <f t="shared" si="20"/>
        <v>0</v>
      </c>
      <c r="S304" s="687">
        <f>Discount!$J$36</f>
        <v>0</v>
      </c>
      <c r="T304" s="686">
        <f t="shared" si="21"/>
        <v>0</v>
      </c>
      <c r="U304" s="688">
        <f t="shared" si="22"/>
        <v>0</v>
      </c>
      <c r="V304" s="689">
        <f t="shared" si="23"/>
        <v>0</v>
      </c>
      <c r="W304" s="690"/>
      <c r="X304" s="690"/>
      <c r="Y304" s="690"/>
      <c r="Z304" s="690"/>
      <c r="AA304" s="690"/>
    </row>
    <row r="305" spans="1:31" s="749" customFormat="1" ht="28.5" customHeight="1">
      <c r="A305" s="738"/>
      <c r="B305" s="830" t="s">
        <v>564</v>
      </c>
      <c r="C305" s="831"/>
      <c r="D305" s="831"/>
      <c r="E305" s="831"/>
      <c r="F305" s="831"/>
      <c r="G305" s="831"/>
      <c r="H305" s="831"/>
      <c r="I305" s="831"/>
      <c r="J305" s="831"/>
      <c r="K305" s="831"/>
      <c r="L305" s="832"/>
      <c r="M305" s="739"/>
      <c r="N305" s="740"/>
      <c r="O305" s="739"/>
      <c r="P305" s="741">
        <f>SUM(P18:P303)</f>
        <v>0</v>
      </c>
      <c r="Q305" s="742"/>
      <c r="R305" s="743">
        <f>SUM(R18:R304)</f>
        <v>0</v>
      </c>
      <c r="S305" s="744"/>
      <c r="T305" s="745"/>
      <c r="U305" s="743">
        <f>SUM(U18:U304)</f>
        <v>0</v>
      </c>
      <c r="V305" s="746">
        <f>SUM(V18:V304)</f>
        <v>0</v>
      </c>
      <c r="W305" s="747"/>
      <c r="X305" s="747"/>
      <c r="Y305" s="747"/>
      <c r="Z305" s="747"/>
      <c r="AA305" s="747"/>
      <c r="AB305" s="748"/>
      <c r="AC305" s="748"/>
      <c r="AD305" s="748"/>
      <c r="AE305" s="748"/>
    </row>
    <row r="306" spans="1:31" ht="21.75" customHeight="1">
      <c r="B306" s="694"/>
      <c r="C306" s="695"/>
      <c r="D306" s="695"/>
      <c r="E306" s="695"/>
      <c r="F306" s="695"/>
      <c r="G306" s="695"/>
      <c r="H306" s="695"/>
      <c r="I306" s="695"/>
      <c r="J306" s="695"/>
      <c r="K306" s="695"/>
      <c r="L306" s="695"/>
      <c r="M306" s="696"/>
      <c r="N306" s="697"/>
      <c r="O306" s="696"/>
      <c r="P306" s="696"/>
      <c r="Q306" s="696"/>
      <c r="R306" s="691"/>
      <c r="S306" s="691"/>
      <c r="T306" s="692"/>
      <c r="U306" s="691"/>
      <c r="V306" s="690"/>
      <c r="W306" s="690"/>
      <c r="X306" s="690"/>
      <c r="Y306" s="690"/>
      <c r="Z306" s="690"/>
      <c r="AA306" s="690"/>
    </row>
    <row r="307" spans="1:31" ht="30" customHeight="1">
      <c r="A307" s="698" t="s">
        <v>341</v>
      </c>
      <c r="B307" s="838" t="s">
        <v>342</v>
      </c>
      <c r="C307" s="838"/>
      <c r="D307" s="838"/>
      <c r="E307" s="838"/>
      <c r="F307" s="838"/>
      <c r="G307" s="838"/>
      <c r="H307" s="838"/>
      <c r="I307" s="838"/>
      <c r="J307" s="838"/>
      <c r="K307" s="838"/>
      <c r="L307" s="838"/>
      <c r="M307" s="838"/>
      <c r="N307" s="838"/>
      <c r="O307" s="838"/>
      <c r="P307" s="838"/>
      <c r="Q307" s="696"/>
      <c r="R307" s="691"/>
      <c r="S307" s="691"/>
      <c r="T307" s="692"/>
      <c r="U307" s="691"/>
      <c r="V307" s="690"/>
      <c r="W307" s="690"/>
      <c r="X307" s="690"/>
      <c r="Y307" s="690"/>
      <c r="Z307" s="690"/>
      <c r="AA307" s="690"/>
    </row>
    <row r="308" spans="1:31" ht="21.75" customHeight="1">
      <c r="A308" s="699"/>
      <c r="B308" s="310"/>
      <c r="C308" s="311"/>
      <c r="D308" s="312"/>
      <c r="E308" s="313"/>
      <c r="F308" s="577"/>
      <c r="G308" s="577"/>
      <c r="H308" s="577"/>
      <c r="I308" s="577"/>
      <c r="J308" s="577"/>
      <c r="K308" s="577"/>
      <c r="L308" s="576"/>
      <c r="M308" s="696"/>
      <c r="N308" s="697"/>
      <c r="O308" s="696"/>
      <c r="P308" s="696"/>
      <c r="Q308" s="696"/>
      <c r="R308" s="691"/>
      <c r="S308" s="691"/>
      <c r="T308" s="692"/>
      <c r="U308" s="691"/>
      <c r="V308" s="690"/>
      <c r="W308" s="690"/>
      <c r="X308" s="690"/>
      <c r="Y308" s="690"/>
      <c r="Z308" s="690"/>
      <c r="AA308" s="690"/>
    </row>
    <row r="309" spans="1:31" ht="21.75" customHeight="1">
      <c r="A309" s="699"/>
      <c r="B309" s="310"/>
      <c r="C309" s="311"/>
      <c r="D309" s="312"/>
      <c r="E309" s="313"/>
      <c r="F309" s="577"/>
      <c r="G309" s="577"/>
      <c r="H309" s="577"/>
      <c r="I309" s="577"/>
      <c r="J309" s="577"/>
      <c r="K309" s="577"/>
      <c r="L309" s="576"/>
      <c r="M309" s="696"/>
      <c r="N309" s="697"/>
      <c r="O309" s="696"/>
      <c r="P309" s="696"/>
      <c r="Q309" s="696"/>
      <c r="R309" s="691"/>
      <c r="S309" s="691"/>
      <c r="T309" s="692"/>
      <c r="U309" s="691"/>
      <c r="V309" s="690"/>
      <c r="W309" s="690"/>
      <c r="X309" s="690"/>
      <c r="Y309" s="690"/>
      <c r="Z309" s="690"/>
      <c r="AA309" s="690"/>
    </row>
    <row r="310" spans="1:31" s="697" customFormat="1" ht="16.5">
      <c r="A310" s="698"/>
      <c r="B310" s="700" t="s">
        <v>302</v>
      </c>
      <c r="C310" s="841" t="str">
        <f>'Sch-1'!C326:D326</f>
        <v xml:space="preserve">  </v>
      </c>
      <c r="D310" s="841"/>
      <c r="E310" s="841"/>
      <c r="F310" s="698"/>
      <c r="G310" s="698"/>
      <c r="H310" s="698"/>
      <c r="I310" s="698"/>
      <c r="J310" s="698"/>
      <c r="K310" s="698"/>
      <c r="L310" s="698"/>
      <c r="M310" s="839" t="s">
        <v>304</v>
      </c>
      <c r="N310" s="839"/>
      <c r="O310" s="842" t="str">
        <f>'Sch-1'!K326</f>
        <v/>
      </c>
      <c r="P310" s="842"/>
      <c r="R310" s="701"/>
      <c r="S310" s="701"/>
      <c r="T310" s="701"/>
      <c r="U310" s="701"/>
    </row>
    <row r="311" spans="1:31" s="697" customFormat="1" ht="16.5">
      <c r="A311" s="698"/>
      <c r="B311" s="700" t="s">
        <v>303</v>
      </c>
      <c r="C311" s="840" t="str">
        <f>'Sch-1'!C327:D327</f>
        <v/>
      </c>
      <c r="D311" s="840"/>
      <c r="E311" s="840"/>
      <c r="F311" s="698"/>
      <c r="G311" s="698"/>
      <c r="H311" s="698"/>
      <c r="I311" s="698"/>
      <c r="J311" s="698"/>
      <c r="K311" s="698"/>
      <c r="L311" s="698"/>
      <c r="M311" s="839" t="s">
        <v>119</v>
      </c>
      <c r="N311" s="839"/>
      <c r="O311" s="842" t="str">
        <f>'Sch-1'!K327</f>
        <v/>
      </c>
      <c r="P311" s="842"/>
      <c r="R311" s="701"/>
      <c r="S311" s="701"/>
      <c r="T311" s="701"/>
      <c r="U311" s="701"/>
    </row>
    <row r="312" spans="1:31" ht="16.5">
      <c r="B312" s="310"/>
      <c r="C312" s="311"/>
      <c r="D312" s="314"/>
      <c r="E312" s="313"/>
      <c r="F312" s="589"/>
      <c r="G312" s="577"/>
      <c r="H312" s="577"/>
      <c r="I312" s="577"/>
      <c r="J312" s="577"/>
      <c r="K312" s="577"/>
      <c r="L312" s="576"/>
      <c r="M312" s="696"/>
      <c r="N312" s="697"/>
      <c r="O312" s="696"/>
      <c r="P312" s="696"/>
      <c r="Q312" s="696"/>
    </row>
    <row r="313" spans="1:31" ht="16.5">
      <c r="B313" s="316"/>
      <c r="C313" s="317"/>
      <c r="D313" s="318"/>
      <c r="E313" s="313"/>
      <c r="F313" s="589"/>
      <c r="G313" s="576"/>
      <c r="H313" s="576"/>
      <c r="I313" s="576"/>
      <c r="J313" s="576"/>
      <c r="K313" s="576"/>
      <c r="L313" s="576"/>
      <c r="M313" s="696"/>
      <c r="N313" s="697"/>
      <c r="O313" s="696"/>
      <c r="P313" s="696"/>
      <c r="Q313" s="696"/>
    </row>
    <row r="315" spans="1:31">
      <c r="P315" s="702">
        <f>P305*0.18</f>
        <v>0</v>
      </c>
    </row>
  </sheetData>
  <sheetProtection algorithmName="SHA-512" hashValue="CSVpkDTF4/v7oFdB725ipztLo6i3WEINHZeAePlouOchStijGCuJmoF6HNk8Z9vCQrOay3+CEPvFaPzSkTpAqQ==" saltValue="wZ8VHaZRlrIRQGnKnPYFbQ==" spinCount="100000" sheet="1" formatColumns="0" formatRows="0" selectLockedCells="1"/>
  <customSheetViews>
    <customSheetView guid="{C497F4E0-7D3E-4065-935D-7086BE9276FE}" scale="85" showPageBreaks="1" fitToPage="1" printArea="1" hiddenColumns="1" view="pageBreakPreview">
      <selection activeCell="I18" sqref="I18"/>
      <pageMargins left="0.2" right="0.2" top="0.75" bottom="0.5" header="0.3" footer="0.3"/>
      <printOptions horizontalCentered="1"/>
      <pageSetup paperSize="9" scale="45" fitToHeight="0" orientation="landscape" r:id="rId1"/>
      <headerFooter>
        <oddHeader>&amp;RSchedule-3Page &amp;P of &amp;N</oddHeader>
      </headerFooter>
    </customSheetView>
    <customSheetView guid="{889C3D82-0A24-4765-A688-A80A782F5056}" scale="85" showPageBreaks="1" fitToPage="1" printArea="1" hiddenColumns="1" view="pageBreakPreview">
      <selection activeCell="I18" sqref="I18"/>
      <pageMargins left="0.2" right="0.2" top="0.75" bottom="0.5" header="0.3" footer="0.3"/>
      <printOptions horizontalCentered="1"/>
      <pageSetup paperSize="9" scale="45" fitToHeight="0" orientation="landscape" r:id="rId2"/>
      <headerFooter>
        <oddHeader>&amp;RSchedule-3Page &amp;P of &amp;N</oddHeader>
      </headerFooter>
    </customSheetView>
    <customSheetView guid="{89CB4E6A-722E-4E39-885D-E2A6D0D08321}" scale="60" showPageBreaks="1" fitToPage="1" printArea="1" hiddenColumns="1" view="pageBreakPreview">
      <selection activeCell="O128" sqref="O128"/>
      <pageMargins left="0.2" right="0.2" top="0.75" bottom="0.5" header="0.3" footer="0.3"/>
      <printOptions horizontalCentered="1"/>
      <pageSetup paperSize="9" scale="45" fitToHeight="0" orientation="landscape" r:id="rId3"/>
      <headerFooter>
        <oddHeader>&amp;RSchedule-3Page &amp;P of &amp;N</oddHeader>
      </headerFooter>
    </customSheetView>
    <customSheetView guid="{915C64AD-BD67-44F0-9117-5B9D998BA799}" scale="70" showPageBreaks="1" printArea="1" hiddenColumns="1" view="pageBreakPreview" topLeftCell="F1">
      <selection activeCell="O17" sqref="O17"/>
      <pageMargins left="0.2" right="0.2" top="0.75" bottom="0.5" header="0.3" footer="0.3"/>
      <printOptions horizontalCentered="1"/>
      <pageSetup paperSize="9" scale="53" orientation="landscape" r:id="rId4"/>
      <headerFooter>
        <oddHeader>&amp;RSchedule-3Page &amp;P of &amp;N</oddHeader>
      </headerFooter>
    </customSheetView>
    <customSheetView guid="{18EA11B4-BD82-47BF-99FA-7AB19BF74D0B}" scale="70" showPageBreaks="1" printArea="1" hiddenColumns="1" view="pageBreakPreview">
      <selection activeCell="K17" sqref="K17"/>
      <pageMargins left="0.2" right="0.2" top="0.75" bottom="0.5" header="0.3" footer="0.3"/>
      <printOptions horizontalCentered="1"/>
      <pageSetup paperSize="9" scale="53" orientation="landscape" r:id="rId5"/>
      <headerFooter>
        <oddHeader>&amp;RSchedule-3Page &amp;P of &amp;N</oddHeader>
      </headerFooter>
    </customSheetView>
    <customSheetView guid="{CCA37BAE-906F-43D5-9FD9-B13563E4B9D7}" scale="90" showPageBreaks="1" printArea="1" hiddenColumns="1" view="pageBreakPreview" topLeftCell="F1">
      <selection activeCell="O20" sqref="O20"/>
      <pageMargins left="0.2" right="0.2" top="0.75" bottom="0.5" header="0.3" footer="0.3"/>
      <printOptions horizontalCentered="1"/>
      <pageSetup paperSize="9" scale="53" orientation="landscape" r:id="rId6"/>
      <headerFooter>
        <oddHeader>&amp;RSchedule-3Page &amp;P of &amp;N</oddHeader>
      </headerFooter>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7"/>
      <headerFooter>
        <oddHeader>&amp;RSchedule-3Page &amp;P of &amp;N</oddHeader>
      </headerFooter>
    </customSheetView>
    <customSheetView guid="{63D51328-7CBC-4A1E-B96D-BAE91416501B}" scale="90" showPageBreaks="1" printArea="1" hiddenColumns="1" view="pageBreakPreview" topLeftCell="A69">
      <selection activeCell="O81" sqref="O81"/>
      <pageMargins left="0.2" right="0.2" top="0.75" bottom="0.5" header="0.3" footer="0.3"/>
      <printOptions horizontalCentered="1"/>
      <pageSetup paperSize="9" scale="53" orientation="landscape" r:id="rId8"/>
      <headerFooter>
        <oddHeader>&amp;RSchedule-3Page &amp;P of &amp;N</oddHeader>
      </headerFooter>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9"/>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10"/>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11"/>
      <headerFooter>
        <oddHeader>&amp;RSchedule-3Page &amp;P of &amp;N</oddHeader>
      </headerFooter>
    </customSheetView>
    <customSheetView guid="{A58DB4DF-40C7-4BEB-B85E-6BD6F54941CF}" scale="70" showPageBreaks="1" printArea="1" hiddenColumns="1" view="pageBreakPreview" topLeftCell="F1">
      <selection activeCell="O17" sqref="O17"/>
      <pageMargins left="0.2" right="0.2" top="0.75" bottom="0.5" header="0.3" footer="0.3"/>
      <printOptions horizontalCentered="1"/>
      <pageSetup paperSize="9" scale="53" orientation="landscape" r:id="rId12"/>
      <headerFooter>
        <oddHeader>&amp;RSchedule-3Page &amp;P of &amp;N</oddHeader>
      </headerFooter>
    </customSheetView>
    <customSheetView guid="{1211E1B9-FC37-4364-9CF0-0FFC01866726}" scale="85" showPageBreaks="1" fitToPage="1" printArea="1" hiddenColumns="1" view="pageBreakPreview">
      <selection activeCell="I18" sqref="I18"/>
      <pageMargins left="0.2" right="0.2" top="0.75" bottom="0.5" header="0.3" footer="0.3"/>
      <printOptions horizontalCentered="1"/>
      <pageSetup paperSize="9" scale="45" fitToHeight="0" orientation="landscape" r:id="rId13"/>
      <headerFooter>
        <oddHeader>&amp;RSchedule-3Page &amp;P of &amp;N</oddHeader>
      </headerFooter>
    </customSheetView>
  </customSheetViews>
  <mergeCells count="20">
    <mergeCell ref="B307:P307"/>
    <mergeCell ref="M311:N311"/>
    <mergeCell ref="M310:N310"/>
    <mergeCell ref="C311:E311"/>
    <mergeCell ref="C310:E310"/>
    <mergeCell ref="O311:P311"/>
    <mergeCell ref="O310:P310"/>
    <mergeCell ref="A3:P3"/>
    <mergeCell ref="A4:P4"/>
    <mergeCell ref="A6:B6"/>
    <mergeCell ref="A7:I7"/>
    <mergeCell ref="A8:G8"/>
    <mergeCell ref="B305:L305"/>
    <mergeCell ref="C12:G12"/>
    <mergeCell ref="C11:G11"/>
    <mergeCell ref="C10:G10"/>
    <mergeCell ref="C9:G9"/>
    <mergeCell ref="A304:P304"/>
    <mergeCell ref="O14:P14"/>
    <mergeCell ref="A14:L14"/>
  </mergeCells>
  <conditionalFormatting sqref="K18:K97 K99:K164 K166:K244 K246:K303">
    <cfRule type="expression" dxfId="3" priority="1" stopIfTrue="1">
      <formula>J18&gt;0</formula>
    </cfRule>
  </conditionalFormatting>
  <dataValidations count="5">
    <dataValidation type="list" allowBlank="1" showInputMessage="1" showErrorMessage="1" sqref="IJ64740 A64740:K64740" xr:uid="{00000000-0002-0000-0600-000000000000}">
      <formula1>#REF!</formula1>
    </dataValidation>
    <dataValidation type="decimal" operator="greaterThan" allowBlank="1" showInputMessage="1" showErrorMessage="1" error="Enter only Numeric Value greater than zero or leave the cell blank !" sqref="O64710:O64756" xr:uid="{00000000-0002-0000-0600-000001000000}">
      <formula1>0</formula1>
    </dataValidation>
    <dataValidation type="list" operator="greaterThan" allowBlank="1" showInputMessage="1" showErrorMessage="1" sqref="K18:K97 K99:K164 K166:K244 K246:K303" xr:uid="{00000000-0002-0000-0600-000002000000}">
      <formula1>"0%,5%,12%,18%,28%"</formula1>
    </dataValidation>
    <dataValidation type="whole" operator="greaterThan" allowBlank="1" showInputMessage="1" showErrorMessage="1" sqref="I18:I97 I99:I164 I166:I244 I246:I303" xr:uid="{00000000-0002-0000-0600-000003000000}">
      <formula1>0</formula1>
    </dataValidation>
    <dataValidation type="decimal" operator="greaterThanOrEqual" allowBlank="1" showInputMessage="1" showErrorMessage="1" sqref="O18:O97 O99:O164 O166:O244 O246:O303" xr:uid="{00000000-0002-0000-0600-000004000000}">
      <formula1>0</formula1>
    </dataValidation>
  </dataValidations>
  <printOptions horizontalCentered="1"/>
  <pageMargins left="0.2" right="0.2" top="0.75" bottom="0.5" header="0.3" footer="0.3"/>
  <pageSetup paperSize="9" scale="44" fitToHeight="0" orientation="landscape" r:id="rId14"/>
  <headerFooter>
    <oddHeader>&amp;RSchedule-3Page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3"/>
  <sheetViews>
    <sheetView view="pageBreakPreview" zoomScale="85" zoomScaleSheetLayoutView="85" workbookViewId="0">
      <selection activeCell="A17" sqref="A17"/>
    </sheetView>
  </sheetViews>
  <sheetFormatPr defaultRowHeight="15.75"/>
  <cols>
    <col min="1" max="1" width="7.5703125" style="395" customWidth="1"/>
    <col min="2" max="2" width="9" style="395" customWidth="1"/>
    <col min="3" max="3" width="10.28515625" style="395" customWidth="1"/>
    <col min="4" max="4" width="10.85546875" style="395" customWidth="1"/>
    <col min="5" max="5" width="11.140625" style="395" customWidth="1"/>
    <col min="6" max="6" width="13.7109375" style="395" customWidth="1"/>
    <col min="7" max="7" width="15.42578125" style="395" customWidth="1"/>
    <col min="8" max="11" width="16.85546875" style="395" customWidth="1"/>
    <col min="12" max="12" width="14.42578125" style="396" customWidth="1"/>
    <col min="13" max="13" width="9" style="395" customWidth="1"/>
    <col min="14" max="14" width="11.42578125" style="395" customWidth="1"/>
    <col min="15" max="15" width="13.28515625" style="395" customWidth="1"/>
    <col min="16" max="16" width="19.140625" style="400" customWidth="1"/>
    <col min="17" max="16384" width="9.140625" style="400"/>
  </cols>
  <sheetData>
    <row r="1" spans="1:16" s="397" customFormat="1" ht="24.75" customHeight="1">
      <c r="A1" s="380" t="str">
        <f>Cover!B3</f>
        <v>Spec No: CC/NT/W-AIS/DOM/A10/24/03802</v>
      </c>
      <c r="B1" s="380"/>
      <c r="C1" s="380"/>
      <c r="D1" s="380"/>
      <c r="E1" s="380"/>
      <c r="F1" s="380"/>
      <c r="G1" s="381"/>
      <c r="H1" s="381"/>
      <c r="I1" s="381"/>
      <c r="J1" s="381"/>
      <c r="K1" s="381"/>
      <c r="L1" s="382"/>
      <c r="M1" s="383"/>
      <c r="N1" s="384"/>
      <c r="O1" s="384"/>
      <c r="P1" s="385" t="s">
        <v>26</v>
      </c>
    </row>
    <row r="2" spans="1:16" s="397" customFormat="1">
      <c r="A2" s="5"/>
      <c r="B2" s="5"/>
      <c r="C2" s="5"/>
      <c r="D2" s="5"/>
      <c r="E2" s="5"/>
      <c r="F2" s="5"/>
      <c r="G2" s="386"/>
      <c r="H2" s="386"/>
      <c r="I2" s="386"/>
      <c r="J2" s="386"/>
      <c r="K2" s="386"/>
      <c r="L2" s="387"/>
      <c r="M2" s="388"/>
      <c r="N2" s="389"/>
      <c r="O2" s="389"/>
    </row>
    <row r="3" spans="1:16" s="397" customFormat="1" ht="122.25" customHeight="1">
      <c r="A3" s="843" t="str">
        <f>Cover!$B$2</f>
        <v>765kV AIS Substation Extension Package SS-124 (including 765/400kV GIS Bus Duct) for (i) Extension of 765/400kV Indore Substation under Augmentation of transformation capacity at 765/400kV Indore S/S in Madhya Pradesh; (ii) Extension of 400kV Indore (PG) S/s under Implementation of 400kV line bay at 765/400/220kV Indore (PG) S/s in MP for RE interconnection; (iii) Extension of 400kV Parli (New) S/s under Implementation of 400kV line bay at 765/400kV Parli (New) S/s for interconnection of RE project and (iv) Extension of 400/220kV Bhuj GIS PS under Augmentation of transformation capacity at 400/220kV Bhuj PS in Gujarat by 1x500MVA, 400/220kV ICT (9th)</v>
      </c>
      <c r="B3" s="843"/>
      <c r="C3" s="843"/>
      <c r="D3" s="843"/>
      <c r="E3" s="843"/>
      <c r="F3" s="843"/>
      <c r="G3" s="843"/>
      <c r="H3" s="843"/>
      <c r="I3" s="843"/>
      <c r="J3" s="843"/>
      <c r="K3" s="843"/>
      <c r="L3" s="843"/>
      <c r="M3" s="843"/>
      <c r="N3" s="843"/>
      <c r="O3" s="843"/>
      <c r="P3" s="843"/>
    </row>
    <row r="4" spans="1:16" s="397" customFormat="1" ht="16.5">
      <c r="A4" s="848" t="s">
        <v>19</v>
      </c>
      <c r="B4" s="848"/>
      <c r="C4" s="848"/>
      <c r="D4" s="848"/>
      <c r="E4" s="848"/>
      <c r="F4" s="848"/>
      <c r="G4" s="848"/>
      <c r="H4" s="848"/>
      <c r="I4" s="848"/>
      <c r="J4" s="848"/>
      <c r="K4" s="848"/>
      <c r="L4" s="848"/>
      <c r="M4" s="848"/>
      <c r="N4" s="848"/>
      <c r="O4" s="848"/>
      <c r="P4" s="848"/>
    </row>
    <row r="5" spans="1:16" s="397" customFormat="1">
      <c r="A5" s="390"/>
      <c r="B5" s="390"/>
      <c r="C5" s="390"/>
      <c r="D5" s="390"/>
      <c r="E5" s="390"/>
      <c r="F5" s="390"/>
      <c r="G5" s="391"/>
      <c r="H5" s="391"/>
      <c r="I5" s="391"/>
      <c r="J5" s="391"/>
      <c r="K5" s="391"/>
      <c r="L5" s="391"/>
      <c r="M5" s="390"/>
      <c r="N5" s="390"/>
      <c r="O5" s="390"/>
    </row>
    <row r="6" spans="1:16" s="397" customFormat="1" ht="20.25" customHeight="1">
      <c r="A6" s="844" t="s">
        <v>334</v>
      </c>
      <c r="B6" s="844"/>
      <c r="C6" s="2"/>
      <c r="D6" s="304"/>
      <c r="E6" s="2"/>
      <c r="F6" s="2"/>
      <c r="G6" s="2"/>
      <c r="H6" s="2"/>
      <c r="I6" s="2"/>
      <c r="J6" s="391"/>
      <c r="K6" s="391"/>
      <c r="L6" s="391"/>
      <c r="M6" s="390"/>
      <c r="N6" s="390"/>
      <c r="O6" s="390"/>
    </row>
    <row r="7" spans="1:16" s="397" customFormat="1" ht="21" customHeight="1">
      <c r="A7" s="845">
        <f>'Sch-1'!A7</f>
        <v>0</v>
      </c>
      <c r="B7" s="845"/>
      <c r="C7" s="845"/>
      <c r="D7" s="845"/>
      <c r="E7" s="845"/>
      <c r="F7" s="845"/>
      <c r="G7" s="845"/>
      <c r="H7" s="845"/>
      <c r="I7" s="845"/>
      <c r="J7" s="3"/>
      <c r="K7" s="3"/>
      <c r="L7" s="342"/>
      <c r="M7" s="3"/>
      <c r="N7" s="392" t="s">
        <v>1</v>
      </c>
      <c r="O7" s="389"/>
    </row>
    <row r="8" spans="1:16" s="397" customFormat="1" ht="21" customHeight="1">
      <c r="A8" s="846" t="str">
        <f>"Bidder’s Name and Address  (" &amp; MID('Names of Bidder'!A9,9, 20) &amp; ") :"</f>
        <v>Bidder’s Name and Address  (Sole Bidder) :</v>
      </c>
      <c r="B8" s="846"/>
      <c r="C8" s="846"/>
      <c r="D8" s="846"/>
      <c r="E8" s="846"/>
      <c r="F8" s="846"/>
      <c r="G8" s="846"/>
      <c r="H8" s="356"/>
      <c r="I8" s="356"/>
      <c r="J8" s="406"/>
      <c r="K8" s="406"/>
      <c r="L8" s="406"/>
      <c r="M8" s="406"/>
      <c r="N8" s="6" t="str">
        <f>'Sch-1'!K8</f>
        <v>Contract Services</v>
      </c>
      <c r="O8" s="389"/>
    </row>
    <row r="9" spans="1:16" s="397" customFormat="1" ht="24" customHeight="1">
      <c r="A9" s="368" t="s">
        <v>12</v>
      </c>
      <c r="B9" s="353"/>
      <c r="C9" s="845" t="str">
        <f>IF('Names of Bidder'!C9=0, "", 'Names of Bidder'!C9)</f>
        <v/>
      </c>
      <c r="D9" s="845"/>
      <c r="E9" s="845"/>
      <c r="F9" s="845"/>
      <c r="G9" s="845"/>
      <c r="H9" s="354"/>
      <c r="I9" s="354"/>
      <c r="J9" s="220"/>
      <c r="K9" s="220"/>
      <c r="L9" s="398"/>
      <c r="N9" s="6" t="str">
        <f>'Sch-1'!K9</f>
        <v>Power Grid Corporation of India Ltd.,</v>
      </c>
      <c r="O9" s="389"/>
    </row>
    <row r="10" spans="1:16" s="397" customFormat="1" ht="16.5">
      <c r="A10" s="368" t="s">
        <v>11</v>
      </c>
      <c r="B10" s="353"/>
      <c r="C10" s="847" t="str">
        <f>IF('Names of Bidder'!C10=0, "", 'Names of Bidder'!C10)</f>
        <v/>
      </c>
      <c r="D10" s="847"/>
      <c r="E10" s="847"/>
      <c r="F10" s="847"/>
      <c r="G10" s="847"/>
      <c r="H10" s="354"/>
      <c r="I10" s="354"/>
      <c r="J10" s="220"/>
      <c r="K10" s="220"/>
      <c r="L10" s="398"/>
      <c r="N10" s="6" t="str">
        <f>'Sch-1'!K10</f>
        <v>"Saudamini", Plot No.-2</v>
      </c>
      <c r="O10" s="389"/>
    </row>
    <row r="11" spans="1:16" s="397" customFormat="1">
      <c r="A11" s="354"/>
      <c r="B11" s="354"/>
      <c r="C11" s="847" t="str">
        <f>IF('Names of Bidder'!C11=0, "", 'Names of Bidder'!C11)</f>
        <v/>
      </c>
      <c r="D11" s="847"/>
      <c r="E11" s="847"/>
      <c r="F11" s="847"/>
      <c r="G11" s="847"/>
      <c r="H11" s="354"/>
      <c r="I11" s="354"/>
      <c r="J11" s="220"/>
      <c r="K11" s="220"/>
      <c r="L11" s="398"/>
      <c r="N11" s="6" t="str">
        <f>'Sch-1'!K11</f>
        <v xml:space="preserve">Sector-29, </v>
      </c>
      <c r="O11" s="389"/>
    </row>
    <row r="12" spans="1:16" s="397" customFormat="1">
      <c r="A12" s="354"/>
      <c r="B12" s="354"/>
      <c r="C12" s="847" t="str">
        <f>IF('Names of Bidder'!C12=0, "", 'Names of Bidder'!C12)</f>
        <v/>
      </c>
      <c r="D12" s="847"/>
      <c r="E12" s="847"/>
      <c r="F12" s="847"/>
      <c r="G12" s="847"/>
      <c r="H12" s="354"/>
      <c r="I12" s="354"/>
      <c r="J12" s="220"/>
      <c r="K12" s="220"/>
      <c r="L12" s="398"/>
      <c r="N12" s="6" t="str">
        <f>'Sch-1'!K12</f>
        <v>Gurugram (Haryana) - 122001</v>
      </c>
      <c r="O12" s="389"/>
    </row>
    <row r="13" spans="1:16" s="397" customFormat="1">
      <c r="A13" s="354"/>
      <c r="B13" s="354"/>
      <c r="C13" s="220"/>
      <c r="D13" s="220"/>
      <c r="E13" s="220"/>
      <c r="F13" s="220"/>
      <c r="G13" s="220"/>
      <c r="H13" s="354"/>
      <c r="I13" s="354"/>
      <c r="J13" s="220"/>
      <c r="K13" s="220"/>
      <c r="L13" s="398"/>
      <c r="N13" s="6"/>
      <c r="O13" s="389"/>
    </row>
    <row r="14" spans="1:16" s="397" customFormat="1" ht="21" customHeight="1">
      <c r="A14" s="849" t="s">
        <v>27</v>
      </c>
      <c r="B14" s="849"/>
      <c r="C14" s="849"/>
      <c r="D14" s="849"/>
      <c r="E14" s="849"/>
      <c r="F14" s="849"/>
      <c r="G14" s="849"/>
      <c r="H14" s="849"/>
      <c r="I14" s="849"/>
      <c r="J14" s="849"/>
      <c r="K14" s="849"/>
      <c r="L14" s="849"/>
      <c r="M14" s="849"/>
      <c r="N14" s="849"/>
      <c r="O14" s="849"/>
      <c r="P14" s="849"/>
    </row>
    <row r="15" spans="1:16" s="397" customFormat="1" ht="63.75" customHeight="1">
      <c r="A15" s="376" t="s">
        <v>7</v>
      </c>
      <c r="B15" s="377" t="s">
        <v>255</v>
      </c>
      <c r="C15" s="377" t="s">
        <v>256</v>
      </c>
      <c r="D15" s="377" t="s">
        <v>266</v>
      </c>
      <c r="E15" s="377" t="s">
        <v>268</v>
      </c>
      <c r="F15" s="377" t="s">
        <v>269</v>
      </c>
      <c r="G15" s="376" t="s">
        <v>25</v>
      </c>
      <c r="H15" s="407" t="s">
        <v>309</v>
      </c>
      <c r="I15" s="408" t="s">
        <v>308</v>
      </c>
      <c r="J15" s="408" t="s">
        <v>296</v>
      </c>
      <c r="K15" s="408" t="s">
        <v>305</v>
      </c>
      <c r="L15" s="377" t="s">
        <v>15</v>
      </c>
      <c r="M15" s="378" t="s">
        <v>9</v>
      </c>
      <c r="N15" s="378" t="s">
        <v>16</v>
      </c>
      <c r="O15" s="379" t="s">
        <v>28</v>
      </c>
      <c r="P15" s="379" t="s">
        <v>29</v>
      </c>
    </row>
    <row r="16" spans="1:16" s="470" customFormat="1" ht="15">
      <c r="A16" s="467">
        <v>1</v>
      </c>
      <c r="B16" s="467">
        <v>2</v>
      </c>
      <c r="C16" s="467">
        <v>3</v>
      </c>
      <c r="D16" s="467">
        <v>4</v>
      </c>
      <c r="E16" s="467">
        <v>5</v>
      </c>
      <c r="F16" s="467">
        <v>6</v>
      </c>
      <c r="G16" s="467">
        <v>7</v>
      </c>
      <c r="H16" s="468">
        <v>8</v>
      </c>
      <c r="I16" s="468">
        <v>9</v>
      </c>
      <c r="J16" s="468">
        <v>10</v>
      </c>
      <c r="K16" s="468">
        <v>11</v>
      </c>
      <c r="L16" s="469">
        <v>12</v>
      </c>
      <c r="M16" s="467">
        <v>13</v>
      </c>
      <c r="N16" s="467">
        <v>14</v>
      </c>
      <c r="O16" s="467">
        <v>15</v>
      </c>
      <c r="P16" s="467" t="s">
        <v>307</v>
      </c>
    </row>
    <row r="17" spans="1:17">
      <c r="A17" s="393"/>
      <c r="B17" s="393"/>
      <c r="C17" s="393"/>
      <c r="D17" s="393"/>
      <c r="E17" s="393"/>
      <c r="F17" s="393"/>
      <c r="G17" s="393"/>
      <c r="H17" s="393"/>
      <c r="I17" s="393"/>
      <c r="J17" s="393"/>
      <c r="K17" s="393"/>
      <c r="L17" s="394"/>
      <c r="M17" s="393"/>
      <c r="N17" s="393"/>
      <c r="O17" s="393"/>
      <c r="P17" s="399"/>
    </row>
    <row r="18" spans="1:17" s="395" customFormat="1" ht="45" customHeight="1">
      <c r="A18" s="393"/>
      <c r="B18" s="401"/>
      <c r="C18" s="401"/>
      <c r="D18" s="401"/>
      <c r="F18" s="401"/>
      <c r="G18" s="401"/>
      <c r="H18" s="401"/>
      <c r="I18" s="466" t="s">
        <v>322</v>
      </c>
      <c r="J18" s="401"/>
      <c r="K18" s="401"/>
      <c r="L18" s="401"/>
      <c r="M18" s="401"/>
      <c r="N18" s="401"/>
      <c r="O18" s="401"/>
      <c r="P18" s="401"/>
    </row>
    <row r="19" spans="1:17" ht="26.25" customHeight="1">
      <c r="A19" s="393"/>
      <c r="B19" s="855"/>
      <c r="C19" s="856"/>
      <c r="D19" s="856"/>
      <c r="E19" s="856"/>
      <c r="F19" s="856"/>
      <c r="G19" s="856"/>
      <c r="H19" s="856"/>
      <c r="I19" s="856"/>
      <c r="J19" s="856"/>
      <c r="K19" s="857"/>
      <c r="L19" s="402"/>
      <c r="M19" s="402"/>
      <c r="N19" s="402"/>
      <c r="O19" s="402"/>
      <c r="P19" s="403"/>
      <c r="Q19" s="361"/>
    </row>
    <row r="21" spans="1:17" s="404" customFormat="1">
      <c r="B21" s="405" t="s">
        <v>302</v>
      </c>
      <c r="C21" s="853" t="str">
        <f>'Sch-3'!C310:D310</f>
        <v xml:space="preserve">  </v>
      </c>
      <c r="D21" s="852"/>
    </row>
    <row r="22" spans="1:17" s="404" customFormat="1">
      <c r="B22" s="405" t="s">
        <v>303</v>
      </c>
      <c r="C22" s="851" t="str">
        <f>'Sch-3'!C311:D311</f>
        <v/>
      </c>
      <c r="D22" s="852"/>
      <c r="L22" s="850" t="s">
        <v>304</v>
      </c>
      <c r="M22" s="850"/>
      <c r="N22" s="854" t="str">
        <f>'Sch-3'!O310</f>
        <v/>
      </c>
      <c r="O22" s="854"/>
      <c r="P22" s="854"/>
    </row>
    <row r="23" spans="1:17">
      <c r="L23" s="850" t="s">
        <v>119</v>
      </c>
      <c r="M23" s="850"/>
      <c r="N23" s="854" t="str">
        <f>'Sch-3'!O311</f>
        <v/>
      </c>
      <c r="O23" s="854"/>
      <c r="P23" s="854"/>
    </row>
  </sheetData>
  <sheetProtection algorithmName="SHA-512" hashValue="Tf4jwzDjocTkc5kjlJQpY0UmGQD6JqfZQtyXakkiH313A4MLBpIundY6CTAQ2zgZp3fx1w2uzTocCt9Sxn2WLQ==" saltValue="YZmpF9LUROtwhJ+4QvrQAQ==" spinCount="100000" sheet="1" objects="1" scenarios="1" formatColumns="0" formatRows="0" selectLockedCells="1"/>
  <customSheetViews>
    <customSheetView guid="{C497F4E0-7D3E-4065-935D-7086BE9276FE}" scale="85" showPageBreaks="1" printArea="1" view="pageBreakPreview">
      <selection activeCell="A17" sqref="A17"/>
      <pageMargins left="0.7" right="0.7" top="0.75" bottom="0.75" header="0.3" footer="0.3"/>
      <pageSetup paperSize="9" scale="58" orientation="landscape" r:id="rId1"/>
    </customSheetView>
    <customSheetView guid="{889C3D82-0A24-4765-A688-A80A782F5056}" scale="85" showPageBreaks="1" printArea="1" view="pageBreakPreview">
      <selection activeCell="A17" sqref="A17"/>
      <pageMargins left="0.7" right="0.7" top="0.75" bottom="0.75" header="0.3" footer="0.3"/>
      <pageSetup paperSize="9" scale="58" orientation="landscape" r:id="rId2"/>
    </customSheetView>
    <customSheetView guid="{89CB4E6A-722E-4E39-885D-E2A6D0D08321}" scale="85" showPageBreaks="1" printArea="1" view="pageBreakPreview">
      <selection activeCell="L24" sqref="L24"/>
      <pageMargins left="0.7" right="0.7" top="0.75" bottom="0.75" header="0.3" footer="0.3"/>
      <pageSetup paperSize="9" scale="58" orientation="landscape" r:id="rId3"/>
    </customSheetView>
    <customSheetView guid="{915C64AD-BD67-44F0-9117-5B9D998BA799}" scale="60" showPageBreaks="1" printArea="1" view="pageBreakPreview">
      <selection activeCell="A20" sqref="A20:XFD21"/>
      <pageMargins left="0.7" right="0.7" top="0.75" bottom="0.75" header="0.3" footer="0.3"/>
      <pageSetup paperSize="9" scale="58" orientation="landscape" r:id="rId4"/>
    </customSheetView>
    <customSheetView guid="{18EA11B4-BD82-47BF-99FA-7AB19BF74D0B}" showPageBreaks="1" printArea="1" view="pageBreakPreview" topLeftCell="A6">
      <selection activeCell="Q25" sqref="Q25"/>
      <pageMargins left="0.7" right="0.7" top="0.75" bottom="0.75" header="0.3" footer="0.3"/>
      <pageSetup paperSize="9" scale="58" orientation="landscape" r:id="rId5"/>
    </customSheetView>
    <customSheetView guid="{CCA37BAE-906F-43D5-9FD9-B13563E4B9D7}" showPageBreaks="1" printArea="1" view="pageBreakPreview" topLeftCell="A15">
      <selection activeCell="Q25" sqref="Q25"/>
      <pageMargins left="0.7" right="0.7" top="0.75" bottom="0.75" header="0.3" footer="0.3"/>
      <pageSetup paperSize="9" scale="58" orientation="landscape" r:id="rId6"/>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7"/>
    </customSheetView>
    <customSheetView guid="{63D51328-7CBC-4A1E-B96D-BAE91416501B}" scale="80" showPageBreaks="1" printArea="1" view="pageBreakPreview">
      <selection activeCell="G22" sqref="G22"/>
      <pageMargins left="0.7" right="0.7" top="0.75" bottom="0.75" header="0.3" footer="0.3"/>
      <pageSetup paperSize="9" scale="58" orientation="landscape" r:id="rId8"/>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9"/>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10"/>
    </customSheetView>
    <customSheetView guid="{B96E710B-6DD7-4DE1-95AB-C9EE060CD030}" scale="80" showPageBreaks="1" printArea="1" view="pageBreakPreview">
      <selection activeCell="G22" sqref="G22"/>
      <pageMargins left="0.7" right="0.7" top="0.75" bottom="0.75" header="0.3" footer="0.3"/>
      <pageSetup paperSize="9" scale="58" orientation="landscape" r:id="rId11"/>
    </customSheetView>
    <customSheetView guid="{A58DB4DF-40C7-4BEB-B85E-6BD6F54941CF}" scale="60" showPageBreaks="1" printArea="1" view="pageBreakPreview">
      <selection activeCell="A20" sqref="A20:XFD21"/>
      <pageMargins left="0.7" right="0.7" top="0.75" bottom="0.75" header="0.3" footer="0.3"/>
      <pageSetup paperSize="9" scale="58" orientation="landscape" r:id="rId12"/>
    </customSheetView>
    <customSheetView guid="{1211E1B9-FC37-4364-9CF0-0FFC01866726}" scale="85" showPageBreaks="1" printArea="1" view="pageBreakPreview">
      <selection activeCell="A17" sqref="A17"/>
      <pageMargins left="0.7" right="0.7" top="0.75" bottom="0.75" header="0.3" footer="0.3"/>
      <pageSetup paperSize="9" scale="58" orientation="landscape" r:id="rId13"/>
    </customSheetView>
  </customSheetViews>
  <mergeCells count="17">
    <mergeCell ref="A14:P14"/>
    <mergeCell ref="L22:M22"/>
    <mergeCell ref="C22:D22"/>
    <mergeCell ref="L23:M23"/>
    <mergeCell ref="C21:D21"/>
    <mergeCell ref="N23:P23"/>
    <mergeCell ref="N22:P22"/>
    <mergeCell ref="B19:K19"/>
    <mergeCell ref="A3:P3"/>
    <mergeCell ref="A6:B6"/>
    <mergeCell ref="A7:I7"/>
    <mergeCell ref="A8:G8"/>
    <mergeCell ref="C12:G12"/>
    <mergeCell ref="C11:G11"/>
    <mergeCell ref="C10:G10"/>
    <mergeCell ref="C9:G9"/>
    <mergeCell ref="A4:P4"/>
  </mergeCells>
  <pageMargins left="0.7" right="0.7" top="0.75" bottom="0.75" header="0.3" footer="0.3"/>
  <pageSetup paperSize="9" scale="58" orientation="landscape"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zoomScale="115" zoomScaleSheetLayoutView="115" workbookViewId="0">
      <selection activeCell="W8" sqref="W8"/>
    </sheetView>
  </sheetViews>
  <sheetFormatPr defaultColWidth="11.42578125" defaultRowHeight="16.5"/>
  <cols>
    <col min="1" max="1" width="11.85546875" style="13" customWidth="1"/>
    <col min="2" max="2" width="46.7109375" style="13" customWidth="1"/>
    <col min="3" max="3" width="20" style="13" customWidth="1"/>
    <col min="4" max="4" width="23.42578125" style="13" customWidth="1"/>
    <col min="5" max="5" width="22.85546875" style="13" customWidth="1"/>
    <col min="6" max="6" width="11.42578125" style="65" hidden="1" customWidth="1"/>
    <col min="7" max="7" width="34.140625" style="65" hidden="1" customWidth="1"/>
    <col min="8" max="8" width="11.42578125" style="65" hidden="1" customWidth="1"/>
    <col min="9" max="9" width="14" style="337" hidden="1" customWidth="1"/>
    <col min="10" max="10" width="14.42578125" style="337" hidden="1" customWidth="1"/>
    <col min="11" max="11" width="17.140625" style="337" hidden="1" customWidth="1"/>
    <col min="12" max="13" width="11.42578125" style="337" hidden="1" customWidth="1"/>
    <col min="14" max="14" width="21.28515625" style="337" hidden="1" customWidth="1"/>
    <col min="15" max="15" width="18.28515625" style="65" hidden="1" customWidth="1"/>
    <col min="16" max="17" width="11.42578125" style="65" hidden="1" customWidth="1"/>
    <col min="18" max="18" width="11.42578125" style="91" hidden="1" customWidth="1"/>
    <col min="19" max="20" width="11.42578125" style="65" hidden="1" customWidth="1"/>
    <col min="21" max="24" width="11.42578125" style="65" customWidth="1"/>
    <col min="25" max="16384" width="11.42578125" style="91"/>
  </cols>
  <sheetData>
    <row r="1" spans="1:15" ht="18" customHeight="1">
      <c r="A1" s="61" t="str">
        <f>Cover!B3</f>
        <v>Spec No: CC/NT/W-AIS/DOM/A10/24/03802</v>
      </c>
      <c r="B1" s="62"/>
      <c r="C1" s="63"/>
      <c r="D1" s="63"/>
      <c r="E1" s="64" t="s">
        <v>122</v>
      </c>
    </row>
    <row r="2" spans="1:15" ht="8.1" customHeight="1">
      <c r="A2" s="66"/>
      <c r="B2" s="67"/>
      <c r="C2" s="68"/>
      <c r="D2" s="68"/>
      <c r="E2" s="69"/>
      <c r="F2" s="70"/>
    </row>
    <row r="3" spans="1:15" ht="142.5" customHeight="1">
      <c r="A3" s="865" t="str">
        <f>Cover!$B$2</f>
        <v>765kV AIS Substation Extension Package SS-124 (including 765/400kV GIS Bus Duct) for (i) Extension of 765/400kV Indore Substation under Augmentation of transformation capacity at 765/400kV Indore S/S in Madhya Pradesh; (ii) Extension of 400kV Indore (PG) S/s under Implementation of 400kV line bay at 765/400/220kV Indore (PG) S/s in MP for RE interconnection; (iii) Extension of 400kV Parli (New) S/s under Implementation of 400kV line bay at 765/400kV Parli (New) S/s for interconnection of RE project and (iv) Extension of 400/220kV Bhuj GIS PS under Augmentation of transformation capacity at 400/220kV Bhuj PS in Gujarat by 1x500MVA, 400/220kV ICT (9th)</v>
      </c>
      <c r="B3" s="865"/>
      <c r="C3" s="865"/>
      <c r="D3" s="865"/>
      <c r="E3" s="865"/>
    </row>
    <row r="4" spans="1:15" ht="21.95" customHeight="1">
      <c r="A4" s="866" t="s">
        <v>465</v>
      </c>
      <c r="B4" s="866"/>
      <c r="C4" s="866"/>
      <c r="D4" s="866"/>
      <c r="E4" s="866"/>
    </row>
    <row r="5" spans="1:15" ht="12" customHeight="1">
      <c r="A5" s="71"/>
      <c r="B5" s="72"/>
      <c r="C5" s="72"/>
      <c r="D5" s="72"/>
      <c r="E5" s="72"/>
    </row>
    <row r="6" spans="1:15" ht="24" customHeight="1">
      <c r="A6" s="844" t="s">
        <v>334</v>
      </c>
      <c r="B6" s="844"/>
      <c r="C6" s="2"/>
      <c r="D6" s="304"/>
      <c r="E6" s="2"/>
      <c r="F6" s="2"/>
      <c r="G6" s="2"/>
      <c r="H6" s="2"/>
      <c r="I6" s="2"/>
    </row>
    <row r="7" spans="1:15" ht="18" customHeight="1">
      <c r="A7" s="845">
        <f>'Sch-1'!A7</f>
        <v>0</v>
      </c>
      <c r="B7" s="845"/>
      <c r="C7" s="845"/>
      <c r="D7" s="392" t="s">
        <v>1</v>
      </c>
      <c r="E7" s="460"/>
      <c r="F7" s="460"/>
      <c r="G7" s="460"/>
      <c r="H7" s="460"/>
      <c r="I7" s="460"/>
    </row>
    <row r="8" spans="1:15" ht="18" customHeight="1">
      <c r="A8" s="846" t="str">
        <f>"Bidder’s Name and Address  (" &amp; MID('Names of Bidder'!A9,9, 20) &amp; ") :"</f>
        <v>Bidder’s Name and Address  (Sole Bidder) :</v>
      </c>
      <c r="B8" s="846"/>
      <c r="C8" s="846"/>
      <c r="D8" s="6" t="s">
        <v>2</v>
      </c>
      <c r="E8" s="462"/>
      <c r="F8" s="462"/>
      <c r="G8" s="462"/>
      <c r="H8" s="356"/>
      <c r="I8" s="356"/>
    </row>
    <row r="9" spans="1:15" ht="18" customHeight="1">
      <c r="A9" s="368" t="s">
        <v>12</v>
      </c>
      <c r="B9" s="368" t="str">
        <f>IF('Names of Bidder'!C9=0, "", 'Names of Bidder'!C9)</f>
        <v/>
      </c>
      <c r="C9" s="91"/>
      <c r="D9" s="6" t="s">
        <v>3</v>
      </c>
      <c r="E9" s="461"/>
      <c r="F9" s="461"/>
      <c r="G9" s="461"/>
      <c r="H9" s="354"/>
      <c r="I9" s="354"/>
    </row>
    <row r="10" spans="1:15" ht="18" customHeight="1">
      <c r="A10" s="368" t="s">
        <v>11</v>
      </c>
      <c r="B10" s="220" t="str">
        <f>IF('Names of Bidder'!C10=0, "", 'Names of Bidder'!C10)</f>
        <v/>
      </c>
      <c r="C10" s="91"/>
      <c r="D10" s="6" t="s">
        <v>4</v>
      </c>
      <c r="E10" s="461"/>
      <c r="F10" s="461"/>
      <c r="G10" s="461"/>
      <c r="H10" s="354"/>
      <c r="I10" s="354"/>
    </row>
    <row r="11" spans="1:15" ht="18" customHeight="1">
      <c r="A11" s="354"/>
      <c r="B11" s="220" t="str">
        <f>IF('Names of Bidder'!C11=0, "", 'Names of Bidder'!C11)</f>
        <v/>
      </c>
      <c r="C11" s="91"/>
      <c r="D11" s="6" t="s">
        <v>5</v>
      </c>
      <c r="E11" s="461"/>
      <c r="F11" s="461"/>
      <c r="G11" s="461"/>
      <c r="H11" s="354"/>
      <c r="I11" s="354"/>
    </row>
    <row r="12" spans="1:15" ht="18" customHeight="1">
      <c r="A12" s="354"/>
      <c r="B12" s="220" t="str">
        <f>IF('Names of Bidder'!C12=0, "", 'Names of Bidder'!C12)</f>
        <v/>
      </c>
      <c r="C12" s="91"/>
      <c r="D12" s="6" t="s">
        <v>6</v>
      </c>
      <c r="E12" s="461"/>
      <c r="F12" s="461"/>
      <c r="G12" s="461"/>
      <c r="H12" s="354"/>
      <c r="I12" s="354"/>
    </row>
    <row r="13" spans="1:15" ht="8.1" customHeight="1" thickBot="1">
      <c r="B13" s="118"/>
    </row>
    <row r="14" spans="1:15" ht="21.95" customHeight="1">
      <c r="A14" s="498" t="s">
        <v>124</v>
      </c>
      <c r="B14" s="867" t="s">
        <v>125</v>
      </c>
      <c r="C14" s="867"/>
      <c r="D14" s="868" t="s">
        <v>126</v>
      </c>
      <c r="E14" s="869"/>
      <c r="I14" s="876" t="s">
        <v>127</v>
      </c>
      <c r="J14" s="876"/>
      <c r="K14" s="876"/>
      <c r="M14" s="873" t="s">
        <v>128</v>
      </c>
      <c r="N14" s="873"/>
      <c r="O14" s="873"/>
    </row>
    <row r="15" spans="1:15" ht="29.25" customHeight="1">
      <c r="A15" s="499" t="s">
        <v>129</v>
      </c>
      <c r="B15" s="870" t="s">
        <v>310</v>
      </c>
      <c r="C15" s="870"/>
      <c r="D15" s="871">
        <f>'Sch-1'!P321</f>
        <v>0</v>
      </c>
      <c r="E15" s="872"/>
      <c r="I15" s="338" t="s">
        <v>130</v>
      </c>
      <c r="K15" s="338" t="e">
        <f>ROUND('[6]Sch-1'!U3*#REF!,0)</f>
        <v>#REF!</v>
      </c>
      <c r="M15" s="338" t="s">
        <v>130</v>
      </c>
      <c r="O15" s="76" t="e">
        <f>ROUND('[6]Sch-1'!U5*#REF!,0)</f>
        <v>#REF!</v>
      </c>
    </row>
    <row r="16" spans="1:15" ht="87.75" customHeight="1">
      <c r="A16" s="500"/>
      <c r="B16" s="862" t="s">
        <v>311</v>
      </c>
      <c r="C16" s="862"/>
      <c r="D16" s="874"/>
      <c r="E16" s="875"/>
      <c r="G16" s="77"/>
    </row>
    <row r="17" spans="1:15" ht="25.5" customHeight="1">
      <c r="A17" s="499" t="s">
        <v>131</v>
      </c>
      <c r="B17" s="870" t="s">
        <v>312</v>
      </c>
      <c r="C17" s="870"/>
      <c r="D17" s="871">
        <f>'Sch-3'!R305</f>
        <v>0</v>
      </c>
      <c r="E17" s="872"/>
      <c r="I17" s="338" t="s">
        <v>132</v>
      </c>
      <c r="K17" s="339">
        <f>IF(ISERROR(ROUND((#REF!+#REF!)*#REF!,0)),0, ROUND((#REF!+#REF!)*#REF!,0))</f>
        <v>0</v>
      </c>
      <c r="M17" s="338" t="s">
        <v>132</v>
      </c>
      <c r="O17" s="79">
        <f>IF(ISERROR(ROUND((#REF!+#REF!)*#REF!,0)),0, ROUND((#REF!+#REF!)*#REF!,0))</f>
        <v>0</v>
      </c>
    </row>
    <row r="18" spans="1:15" ht="84" customHeight="1">
      <c r="A18" s="500"/>
      <c r="B18" s="862" t="s">
        <v>313</v>
      </c>
      <c r="C18" s="862"/>
      <c r="D18" s="863"/>
      <c r="E18" s="864"/>
      <c r="G18" s="80"/>
      <c r="I18" s="340" t="e">
        <f>#REF!/'Sch-1'!Y1</f>
        <v>#REF!</v>
      </c>
      <c r="K18" s="337">
        <f>'[6]Sch-1'!U3</f>
        <v>0</v>
      </c>
      <c r="M18" s="340" t="e">
        <f>I18</f>
        <v>#REF!</v>
      </c>
      <c r="O18" s="65">
        <f>'[6]Sch-1'!U5</f>
        <v>0</v>
      </c>
    </row>
    <row r="19" spans="1:15" ht="33" customHeight="1" thickBot="1">
      <c r="A19" s="501"/>
      <c r="B19" s="502" t="s">
        <v>316</v>
      </c>
      <c r="C19" s="503"/>
      <c r="D19" s="860">
        <f>D15+D17</f>
        <v>0</v>
      </c>
      <c r="E19" s="861"/>
    </row>
    <row r="20" spans="1:15" ht="30" customHeight="1">
      <c r="A20" s="81"/>
      <c r="B20" s="81"/>
      <c r="C20" s="82"/>
      <c r="D20" s="81"/>
      <c r="E20" s="81"/>
    </row>
    <row r="21" spans="1:15" ht="30" customHeight="1">
      <c r="A21" s="83" t="s">
        <v>137</v>
      </c>
      <c r="B21" s="506" t="str">
        <f>'Names of Bidder'!C22&amp;" "&amp;'Names of Bidder'!D22&amp;" "&amp;'Names of Bidder'!E22</f>
        <v xml:space="preserve">  </v>
      </c>
      <c r="C21" s="82" t="s">
        <v>138</v>
      </c>
      <c r="D21" s="858" t="str">
        <f>IF('Names of Bidder'!C19="","",'Names of Bidder'!C19)</f>
        <v/>
      </c>
      <c r="E21" s="859"/>
      <c r="F21" s="84"/>
    </row>
    <row r="22" spans="1:15" ht="30" customHeight="1">
      <c r="A22" s="83" t="s">
        <v>139</v>
      </c>
      <c r="B22" s="564" t="str">
        <f>IF('Names of Bidder'!C23="","",'Names of Bidder'!C23)</f>
        <v/>
      </c>
      <c r="C22" s="82" t="s">
        <v>140</v>
      </c>
      <c r="D22" s="858" t="str">
        <f>IF('Names of Bidder'!C20="","",'Names of Bidder'!C20)</f>
        <v/>
      </c>
      <c r="E22" s="859"/>
      <c r="F22" s="84"/>
    </row>
    <row r="23" spans="1:15" ht="30" customHeight="1">
      <c r="A23" s="85"/>
      <c r="B23" s="86"/>
      <c r="C23" s="82"/>
      <c r="D23" s="65"/>
      <c r="E23" s="65"/>
      <c r="F23" s="84"/>
    </row>
    <row r="24" spans="1:15" ht="33" customHeight="1">
      <c r="A24" s="85"/>
      <c r="B24" s="86"/>
      <c r="C24" s="70"/>
      <c r="D24" s="87"/>
      <c r="E24" s="88"/>
      <c r="F24" s="84"/>
    </row>
    <row r="25" spans="1:15" ht="21.95" customHeight="1">
      <c r="A25" s="89"/>
      <c r="B25" s="89"/>
      <c r="C25" s="89"/>
      <c r="D25" s="89"/>
      <c r="E25" s="90"/>
    </row>
    <row r="26" spans="1:15" ht="21.95" customHeight="1">
      <c r="A26" s="89"/>
      <c r="B26" s="89"/>
      <c r="C26" s="89"/>
      <c r="D26" s="89"/>
      <c r="E26" s="90"/>
    </row>
    <row r="27" spans="1:15" ht="21.95" customHeight="1">
      <c r="A27" s="89"/>
      <c r="B27" s="89"/>
      <c r="C27" s="89"/>
      <c r="D27" s="89"/>
      <c r="E27" s="90"/>
    </row>
    <row r="28" spans="1:15" ht="21.95" customHeight="1">
      <c r="A28" s="89"/>
      <c r="B28" s="89"/>
      <c r="C28" s="89"/>
      <c r="D28" s="89"/>
      <c r="E28" s="90"/>
    </row>
    <row r="29" spans="1:15" ht="21.95" customHeight="1">
      <c r="A29" s="89"/>
      <c r="B29" s="89"/>
      <c r="C29" s="89"/>
      <c r="D29" s="89"/>
      <c r="E29" s="90"/>
    </row>
    <row r="30" spans="1:15" ht="21.95" customHeight="1">
      <c r="A30" s="89"/>
      <c r="B30" s="89"/>
      <c r="C30" s="89"/>
      <c r="D30" s="89"/>
      <c r="E30" s="90"/>
    </row>
    <row r="31" spans="1:15" ht="24.95" customHeight="1">
      <c r="A31" s="88"/>
      <c r="B31" s="88"/>
      <c r="C31" s="88"/>
      <c r="D31" s="88"/>
      <c r="E31" s="88"/>
    </row>
    <row r="32" spans="1:15" ht="24.95" customHeight="1">
      <c r="A32" s="88"/>
      <c r="B32" s="88"/>
      <c r="C32" s="88"/>
      <c r="D32" s="88"/>
      <c r="E32" s="88"/>
    </row>
    <row r="33" spans="1:5" ht="24.95" customHeight="1">
      <c r="A33" s="88"/>
      <c r="B33" s="88"/>
      <c r="C33" s="88"/>
      <c r="D33" s="88"/>
      <c r="E33" s="88"/>
    </row>
    <row r="34" spans="1:5" ht="24.95" customHeight="1">
      <c r="A34" s="88"/>
      <c r="B34" s="88"/>
      <c r="C34" s="88"/>
      <c r="D34" s="88"/>
      <c r="E34" s="88"/>
    </row>
    <row r="35" spans="1:5" ht="24.95" customHeight="1">
      <c r="A35" s="88"/>
      <c r="B35" s="88"/>
      <c r="C35" s="88"/>
      <c r="D35" s="88"/>
      <c r="E35" s="88"/>
    </row>
    <row r="36" spans="1:5" ht="24.95" customHeight="1">
      <c r="A36" s="88"/>
      <c r="B36" s="88"/>
      <c r="C36" s="88"/>
      <c r="D36" s="88"/>
      <c r="E36" s="88"/>
    </row>
    <row r="37" spans="1:5" ht="24.95" customHeight="1">
      <c r="A37" s="88"/>
      <c r="B37" s="88"/>
      <c r="C37" s="88"/>
      <c r="D37" s="88"/>
      <c r="E37" s="88"/>
    </row>
    <row r="38" spans="1:5" ht="24.95" customHeight="1">
      <c r="A38" s="88"/>
      <c r="B38" s="88"/>
      <c r="C38" s="88"/>
      <c r="D38" s="88"/>
      <c r="E38" s="88"/>
    </row>
    <row r="39" spans="1:5" ht="24.95" customHeight="1">
      <c r="A39" s="88"/>
      <c r="B39" s="88"/>
      <c r="C39" s="88"/>
      <c r="D39" s="88"/>
      <c r="E39" s="88"/>
    </row>
    <row r="40" spans="1:5" ht="24.95" customHeight="1">
      <c r="A40" s="88"/>
      <c r="B40" s="88"/>
      <c r="C40" s="88"/>
      <c r="D40" s="88"/>
      <c r="E40" s="88"/>
    </row>
    <row r="41" spans="1:5" ht="24.95" customHeight="1">
      <c r="A41" s="88"/>
      <c r="B41" s="88"/>
      <c r="C41" s="88"/>
      <c r="D41" s="88"/>
      <c r="E41" s="88"/>
    </row>
    <row r="42" spans="1:5" ht="24.95" customHeight="1">
      <c r="A42" s="88"/>
      <c r="B42" s="88"/>
      <c r="C42" s="88"/>
      <c r="D42" s="88"/>
      <c r="E42" s="88"/>
    </row>
    <row r="43" spans="1:5" ht="24.95" customHeight="1">
      <c r="A43" s="88"/>
      <c r="B43" s="88"/>
      <c r="C43" s="88"/>
      <c r="D43" s="88"/>
      <c r="E43" s="88"/>
    </row>
    <row r="44" spans="1:5" ht="24.95" customHeight="1">
      <c r="A44" s="88"/>
      <c r="B44" s="88"/>
      <c r="C44" s="88"/>
      <c r="D44" s="88"/>
      <c r="E44" s="88"/>
    </row>
    <row r="45" spans="1:5" ht="24.95" customHeight="1">
      <c r="A45" s="88"/>
      <c r="B45" s="88"/>
      <c r="C45" s="88"/>
      <c r="D45" s="88"/>
      <c r="E45" s="88"/>
    </row>
    <row r="46" spans="1:5" ht="24.95" customHeight="1">
      <c r="A46" s="88"/>
      <c r="B46" s="88"/>
      <c r="C46" s="88"/>
      <c r="D46" s="88"/>
      <c r="E46" s="88"/>
    </row>
    <row r="47" spans="1:5" ht="24.95" customHeight="1">
      <c r="A47" s="88"/>
      <c r="B47" s="88"/>
      <c r="C47" s="88"/>
      <c r="D47" s="88"/>
      <c r="E47" s="88"/>
    </row>
    <row r="48" spans="1:5" ht="24.95" customHeight="1">
      <c r="A48" s="88"/>
      <c r="B48" s="88"/>
      <c r="C48" s="88"/>
      <c r="D48" s="88"/>
      <c r="E48" s="88"/>
    </row>
    <row r="49" spans="1:5" ht="24.95" customHeight="1">
      <c r="A49" s="88"/>
      <c r="B49" s="88"/>
      <c r="C49" s="88"/>
      <c r="D49" s="88"/>
      <c r="E49" s="88"/>
    </row>
    <row r="50" spans="1:5" ht="24.95" customHeight="1">
      <c r="A50" s="88"/>
      <c r="B50" s="88"/>
      <c r="C50" s="88"/>
      <c r="D50" s="88"/>
      <c r="E50" s="88"/>
    </row>
    <row r="51" spans="1:5" ht="24.95" customHeight="1">
      <c r="A51" s="88"/>
      <c r="B51" s="88"/>
      <c r="C51" s="88"/>
      <c r="D51" s="88"/>
      <c r="E51" s="88"/>
    </row>
    <row r="52" spans="1:5" ht="24.95" customHeight="1">
      <c r="A52" s="88"/>
      <c r="B52" s="88"/>
      <c r="C52" s="88"/>
      <c r="D52" s="88"/>
      <c r="E52" s="88"/>
    </row>
    <row r="53" spans="1:5" ht="24.95" customHeight="1">
      <c r="A53" s="88"/>
      <c r="B53" s="88"/>
      <c r="C53" s="88"/>
      <c r="D53" s="88"/>
      <c r="E53" s="88"/>
    </row>
    <row r="54" spans="1:5">
      <c r="A54" s="88"/>
      <c r="B54" s="88"/>
      <c r="C54" s="88"/>
      <c r="D54" s="88"/>
      <c r="E54" s="88"/>
    </row>
    <row r="55" spans="1:5">
      <c r="A55" s="88"/>
      <c r="B55" s="88"/>
      <c r="C55" s="88"/>
      <c r="D55" s="88"/>
      <c r="E55" s="88"/>
    </row>
    <row r="56" spans="1:5">
      <c r="A56" s="88"/>
      <c r="B56" s="88"/>
      <c r="C56" s="88"/>
      <c r="D56" s="88"/>
      <c r="E56" s="88"/>
    </row>
    <row r="57" spans="1:5">
      <c r="A57" s="88"/>
      <c r="B57" s="88"/>
      <c r="C57" s="88"/>
      <c r="D57" s="88"/>
      <c r="E57" s="88"/>
    </row>
    <row r="58" spans="1:5">
      <c r="A58" s="88"/>
      <c r="B58" s="88"/>
      <c r="C58" s="88"/>
      <c r="D58" s="88"/>
      <c r="E58" s="88"/>
    </row>
    <row r="59" spans="1:5">
      <c r="A59" s="88"/>
      <c r="B59" s="88"/>
      <c r="C59" s="88"/>
      <c r="D59" s="88"/>
      <c r="E59" s="88"/>
    </row>
    <row r="60" spans="1:5">
      <c r="A60" s="88"/>
      <c r="B60" s="88"/>
      <c r="C60" s="88"/>
      <c r="D60" s="88"/>
      <c r="E60" s="88"/>
    </row>
    <row r="61" spans="1:5">
      <c r="A61" s="88"/>
      <c r="B61" s="88"/>
      <c r="C61" s="88"/>
      <c r="D61" s="88"/>
      <c r="E61" s="88"/>
    </row>
    <row r="62" spans="1:5">
      <c r="A62" s="88"/>
      <c r="B62" s="88"/>
      <c r="C62" s="88"/>
      <c r="D62" s="88"/>
      <c r="E62" s="88"/>
    </row>
    <row r="63" spans="1:5">
      <c r="A63" s="88"/>
      <c r="B63" s="88"/>
      <c r="C63" s="88"/>
      <c r="D63" s="88"/>
      <c r="E63" s="88"/>
    </row>
    <row r="64" spans="1:5">
      <c r="A64" s="88"/>
      <c r="B64" s="88"/>
      <c r="C64" s="88"/>
      <c r="D64" s="88"/>
      <c r="E64" s="88"/>
    </row>
    <row r="65" spans="1:5">
      <c r="A65" s="88"/>
      <c r="B65" s="88"/>
      <c r="C65" s="88"/>
      <c r="D65" s="88"/>
      <c r="E65" s="88"/>
    </row>
    <row r="66" spans="1:5">
      <c r="A66" s="88"/>
      <c r="B66" s="88"/>
      <c r="C66" s="88"/>
      <c r="D66" s="88"/>
      <c r="E66" s="88"/>
    </row>
    <row r="67" spans="1:5">
      <c r="A67" s="88"/>
      <c r="B67" s="88"/>
      <c r="C67" s="88"/>
      <c r="D67" s="88"/>
      <c r="E67" s="88"/>
    </row>
    <row r="68" spans="1:5">
      <c r="A68" s="88"/>
      <c r="B68" s="88"/>
      <c r="C68" s="88"/>
      <c r="D68" s="88"/>
      <c r="E68" s="88"/>
    </row>
    <row r="69" spans="1:5">
      <c r="A69" s="88"/>
      <c r="B69" s="88"/>
      <c r="C69" s="88"/>
      <c r="D69" s="88"/>
      <c r="E69" s="88"/>
    </row>
    <row r="70" spans="1:5">
      <c r="A70" s="88"/>
      <c r="B70" s="88"/>
      <c r="C70" s="88"/>
      <c r="D70" s="88"/>
      <c r="E70" s="88"/>
    </row>
    <row r="71" spans="1:5">
      <c r="A71" s="88"/>
      <c r="B71" s="88"/>
      <c r="C71" s="88"/>
      <c r="D71" s="88"/>
      <c r="E71" s="88"/>
    </row>
  </sheetData>
  <sheetProtection algorithmName="SHA-512" hashValue="5BXWCURklhmC4dv5nc7o+2zD+2HaRsQDYoFm0mzW3eoXVTY13kecm7DmAvmjwL0eqt/Skk2CmcwNgFktavsB/Q==" saltValue="+o0DeY+ri5zoorQ4HSewcw==" spinCount="100000" sheet="1" objects="1" scenarios="1" formatColumns="0" formatRows="0" selectLockedCells="1"/>
  <dataConsolidate/>
  <customSheetViews>
    <customSheetView guid="{C497F4E0-7D3E-4065-935D-7086BE9276FE}" scale="115" showPageBreaks="1" printArea="1" hiddenColumns="1" view="pageBreakPreview">
      <selection activeCell="W8" sqref="W8"/>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889C3D82-0A24-4765-A688-A80A782F5056}" scale="115" showPageBreaks="1" printArea="1" hiddenColumns="1" view="pageBreakPreview">
      <selection activeCell="W8" sqref="W8"/>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89CB4E6A-722E-4E39-885D-E2A6D0D08321}" scale="115" showPageBreaks="1" printArea="1" hiddenColumns="1" view="pageBreakPreview" topLeftCell="A10">
      <selection activeCell="X9" sqref="X9"/>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915C64AD-BD67-44F0-9117-5B9D998BA799}" showPageBreaks="1" printArea="1" hiddenColumns="1" view="pageBreakPreview" topLeftCell="A10">
      <selection activeCell="B11" sqref="B11"/>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18EA11B4-BD82-47BF-99FA-7AB19BF74D0B}" showPageBreaks="1" printArea="1" hiddenColumns="1" view="pageBreakPreview" topLeftCell="A7">
      <selection activeCell="A3" sqref="A3:E3"/>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CCA37BAE-906F-43D5-9FD9-B13563E4B9D7}" showPageBreaks="1" printArea="1" hiddenColumns="1" view="pageBreakPreview" topLeftCell="A7">
      <selection activeCell="A3" sqref="A3:E3"/>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63D51328-7CBC-4A1E-B96D-BAE91416501B}" showPageBreaks="1" printArea="1" hiddenColumns="1" view="pageBreakPreview">
      <selection activeCell="D15" sqref="D15:E15"/>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9"/>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10"/>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A58DB4DF-40C7-4BEB-B85E-6BD6F54941CF}" showPageBreaks="1" printArea="1" hiddenColumns="1" view="pageBreakPreview" topLeftCell="A10">
      <selection activeCell="B11" sqref="B11"/>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1211E1B9-FC37-4364-9CF0-0FFC01866726}" scale="115" showPageBreaks="1" printArea="1" hiddenColumns="1" view="pageBreakPreview">
      <selection activeCell="W8" sqref="W8"/>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s>
  <mergeCells count="20">
    <mergeCell ref="M14:O14"/>
    <mergeCell ref="B15:C15"/>
    <mergeCell ref="D15:E15"/>
    <mergeCell ref="B16:C16"/>
    <mergeCell ref="D16:E16"/>
    <mergeCell ref="I14:K14"/>
    <mergeCell ref="A3:E3"/>
    <mergeCell ref="A4:E4"/>
    <mergeCell ref="B14:C14"/>
    <mergeCell ref="D14:E14"/>
    <mergeCell ref="B17:C17"/>
    <mergeCell ref="D17:E17"/>
    <mergeCell ref="D22:E22"/>
    <mergeCell ref="D21:E21"/>
    <mergeCell ref="A6:B6"/>
    <mergeCell ref="A8:C8"/>
    <mergeCell ref="A7:C7"/>
    <mergeCell ref="D19:E19"/>
    <mergeCell ref="B18:C18"/>
    <mergeCell ref="D18:E18"/>
  </mergeCells>
  <printOptions horizontalCentered="1"/>
  <pageMargins left="0.31" right="0.25" top="0.52" bottom="0.67" header="0.23" footer="0.24"/>
  <pageSetup paperSize="9" scale="77" fitToHeight="0" orientation="portrait" r:id="rId14"/>
  <headerFooter alignWithMargins="0">
    <oddFooter>&amp;R&amp;"Book Antiqua,Bold"&amp;10Schedule-5/ Page &amp;P of &amp;N</oddFooter>
  </headerFooter>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26</vt:i4>
      </vt:variant>
    </vt:vector>
  </HeadingPairs>
  <TitlesOfParts>
    <vt:vector size="48"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Samrat Jain {सम्राट जैन}</cp:lastModifiedBy>
  <cp:lastPrinted>2021-09-23T05:06:14Z</cp:lastPrinted>
  <dcterms:created xsi:type="dcterms:W3CDTF">2014-08-12T11:34:40Z</dcterms:created>
  <dcterms:modified xsi:type="dcterms:W3CDTF">2024-03-16T08:57:23Z</dcterms:modified>
</cp:coreProperties>
</file>