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746" documentId="13_ncr:1_{E32FCC6E-17E0-4F0A-99B2-453A11942C24}" xr6:coauthVersionLast="36" xr6:coauthVersionMax="47" xr10:uidLastSave="{ECCE5673-CEA0-44C7-9FDE-0B50D433E97B}"/>
  <workbookProtection workbookPassword="DC2B" lockStructure="1"/>
  <bookViews>
    <workbookView xWindow="-120" yWindow="-120" windowWidth="29040" windowHeight="15720" firstSheet="3" activeTab="11" xr2:uid="{00000000-000D-0000-FFFF-FFFF00000000}"/>
  </bookViews>
  <sheets>
    <sheet name="Basic" sheetId="33" r:id="rId1"/>
    <sheet name="Instruction " sheetId="32" r:id="rId2"/>
    <sheet name="Name of Bidder" sheetId="34" r:id="rId3"/>
    <sheet name="Sch-3A Sch-Civil" sheetId="35" r:id="rId4"/>
    <sheet name="Sch-3B NS-Civil" sheetId="12" r:id="rId5"/>
    <sheet name="TYPE-C" sheetId="20" state="hidden" r:id="rId6"/>
    <sheet name="TYPE-D" sheetId="19" state="hidden" r:id="rId7"/>
    <sheet name="Sch-3C Sch-Horticullture" sheetId="36" r:id="rId8"/>
    <sheet name="Sch-3D Sch-Electrical" sheetId="28" r:id="rId9"/>
    <sheet name="Sch-3E Non- Sch-Electrical" sheetId="37" r:id="rId10"/>
    <sheet name="Sch5 taxes" sheetId="30" r:id="rId11"/>
    <sheet name="Sch6 Summary" sheetId="31" r:id="rId12"/>
  </sheets>
  <externalReferences>
    <externalReference r:id="rId13"/>
  </externalReferences>
  <definedNames>
    <definedName name="Excel_BuiltIn_Print_Area_4_1">#N/A</definedName>
    <definedName name="_xlnm.Print_Area" localSheetId="8">'Sch-3D Sch-Electrical'!$A$1:$Q$50</definedName>
    <definedName name="_xlnm.Print_Area" localSheetId="9">'Sch-3E Non- Sch-Electrical'!$A$1:$O$30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37" l="1"/>
  <c r="L29" i="37"/>
  <c r="M29" i="37" s="1"/>
  <c r="N29" i="37" s="1"/>
  <c r="L28" i="37"/>
  <c r="M28" i="37" s="1"/>
  <c r="L26" i="37"/>
  <c r="M26" i="37" s="1"/>
  <c r="L25" i="37"/>
  <c r="M25" i="37" s="1"/>
  <c r="N25" i="37" s="1"/>
  <c r="L24" i="37"/>
  <c r="M24" i="37" s="1"/>
  <c r="L23" i="37"/>
  <c r="M23" i="37" s="1"/>
  <c r="L22" i="37"/>
  <c r="M22" i="37" s="1"/>
  <c r="L21" i="37"/>
  <c r="M21" i="37" s="1"/>
  <c r="N21" i="37" s="1"/>
  <c r="L20" i="37"/>
  <c r="M20" i="37" s="1"/>
  <c r="N28" i="28"/>
  <c r="O28" i="28" s="1"/>
  <c r="P28" i="28" s="1"/>
  <c r="N35" i="28"/>
  <c r="O35" i="28" s="1"/>
  <c r="P35" i="28" s="1"/>
  <c r="L35" i="28"/>
  <c r="N33" i="28"/>
  <c r="O33" i="28" s="1"/>
  <c r="P33" i="28" s="1"/>
  <c r="L33" i="28"/>
  <c r="N43" i="28"/>
  <c r="O43" i="28" s="1"/>
  <c r="P43" i="28" s="1"/>
  <c r="L43" i="28"/>
  <c r="N42" i="28"/>
  <c r="O42" i="28" s="1"/>
  <c r="L42" i="28"/>
  <c r="N21" i="28"/>
  <c r="O21" i="28" s="1"/>
  <c r="P21" i="28" s="1"/>
  <c r="L21" i="28"/>
  <c r="N20" i="28"/>
  <c r="O20" i="28" s="1"/>
  <c r="P20" i="28" s="1"/>
  <c r="L20" i="28"/>
  <c r="J28" i="28"/>
  <c r="L28" i="28" s="1"/>
  <c r="J26" i="28"/>
  <c r="O24" i="36"/>
  <c r="P24" i="36" s="1"/>
  <c r="O23" i="36"/>
  <c r="P23" i="36" s="1"/>
  <c r="O21" i="36"/>
  <c r="P21" i="36" s="1"/>
  <c r="O20" i="36"/>
  <c r="P20" i="36" s="1"/>
  <c r="P26" i="36"/>
  <c r="Q25" i="36"/>
  <c r="M22" i="12"/>
  <c r="N22" i="12" s="1"/>
  <c r="M28" i="12"/>
  <c r="N28" i="12" s="1"/>
  <c r="P230" i="35"/>
  <c r="P229" i="35"/>
  <c r="P218" i="35"/>
  <c r="P169" i="35"/>
  <c r="P168" i="35"/>
  <c r="P167" i="35"/>
  <c r="P151" i="35"/>
  <c r="P137" i="35"/>
  <c r="P135" i="35"/>
  <c r="P133" i="35"/>
  <c r="P121" i="35"/>
  <c r="P101" i="35"/>
  <c r="P100" i="35"/>
  <c r="P72" i="35"/>
  <c r="P70" i="35"/>
  <c r="P36" i="35"/>
  <c r="P35" i="35"/>
  <c r="O230" i="35"/>
  <c r="O229" i="35"/>
  <c r="O227" i="35"/>
  <c r="P227" i="35" s="1"/>
  <c r="O225" i="35"/>
  <c r="P225" i="35" s="1"/>
  <c r="O221" i="35"/>
  <c r="P221" i="35" s="1"/>
  <c r="O218" i="35"/>
  <c r="O216" i="35"/>
  <c r="P216" i="35" s="1"/>
  <c r="O186" i="35"/>
  <c r="P186" i="35" s="1"/>
  <c r="O184" i="35"/>
  <c r="P184" i="35" s="1"/>
  <c r="O182" i="35"/>
  <c r="P182" i="35" s="1"/>
  <c r="O181" i="35"/>
  <c r="P181" i="35" s="1"/>
  <c r="O178" i="35"/>
  <c r="P178" i="35" s="1"/>
  <c r="O177" i="35"/>
  <c r="P177" i="35" s="1"/>
  <c r="O169" i="35"/>
  <c r="O168" i="35"/>
  <c r="O167" i="35"/>
  <c r="O165" i="35"/>
  <c r="P165" i="35" s="1"/>
  <c r="O155" i="35"/>
  <c r="P155" i="35" s="1"/>
  <c r="O153" i="35"/>
  <c r="P153" i="35" s="1"/>
  <c r="O151" i="35"/>
  <c r="O150" i="35"/>
  <c r="P150" i="35" s="1"/>
  <c r="O149" i="35"/>
  <c r="P149" i="35" s="1"/>
  <c r="O148" i="35"/>
  <c r="P148" i="35" s="1"/>
  <c r="O137" i="35"/>
  <c r="O135" i="35"/>
  <c r="O133" i="35"/>
  <c r="O131" i="35"/>
  <c r="P131" i="35" s="1"/>
  <c r="O120" i="35"/>
  <c r="P120" i="35" s="1"/>
  <c r="O118" i="35"/>
  <c r="P118" i="35" s="1"/>
  <c r="O117" i="35"/>
  <c r="P117" i="35" s="1"/>
  <c r="O115" i="35"/>
  <c r="P115" i="35" s="1"/>
  <c r="O113" i="35"/>
  <c r="P113" i="35" s="1"/>
  <c r="O111" i="35"/>
  <c r="P111" i="35" s="1"/>
  <c r="O101" i="35"/>
  <c r="O100" i="35"/>
  <c r="O97" i="35"/>
  <c r="P97" i="35" s="1"/>
  <c r="O96" i="35"/>
  <c r="P96" i="35" s="1"/>
  <c r="O88" i="35"/>
  <c r="P88" i="35" s="1"/>
  <c r="O85" i="35"/>
  <c r="P85" i="35" s="1"/>
  <c r="O84" i="35"/>
  <c r="P84" i="35" s="1"/>
  <c r="O83" i="35"/>
  <c r="P83" i="35" s="1"/>
  <c r="O82" i="35"/>
  <c r="P82" i="35" s="1"/>
  <c r="O81" i="35"/>
  <c r="P81" i="35" s="1"/>
  <c r="O72" i="35"/>
  <c r="O70" i="35"/>
  <c r="O68" i="35"/>
  <c r="P68" i="35" s="1"/>
  <c r="O67" i="35"/>
  <c r="P67" i="35" s="1"/>
  <c r="O54" i="35"/>
  <c r="P54" i="35" s="1"/>
  <c r="O52" i="35"/>
  <c r="P52" i="35" s="1"/>
  <c r="O50" i="35"/>
  <c r="P50" i="35" s="1"/>
  <c r="O49" i="35"/>
  <c r="P49" i="35" s="1"/>
  <c r="O47" i="35"/>
  <c r="P47" i="35" s="1"/>
  <c r="O44" i="35"/>
  <c r="P44" i="35" s="1"/>
  <c r="O36" i="35"/>
  <c r="O35" i="35"/>
  <c r="O34" i="35"/>
  <c r="P34" i="35" s="1"/>
  <c r="O33" i="35"/>
  <c r="P33" i="35" s="1"/>
  <c r="N195" i="35"/>
  <c r="O195" i="35" s="1"/>
  <c r="P195" i="35" s="1"/>
  <c r="N193" i="35"/>
  <c r="O193" i="35" s="1"/>
  <c r="P193" i="35" s="1"/>
  <c r="N237" i="35"/>
  <c r="O237" i="35" s="1"/>
  <c r="P237" i="35" s="1"/>
  <c r="N235" i="35"/>
  <c r="O235" i="35" s="1"/>
  <c r="P235" i="35" s="1"/>
  <c r="N234" i="35"/>
  <c r="O234" i="35" s="1"/>
  <c r="P234" i="35" s="1"/>
  <c r="N232" i="35"/>
  <c r="O232" i="35" s="1"/>
  <c r="P232" i="35" s="1"/>
  <c r="N230" i="35"/>
  <c r="N229" i="35"/>
  <c r="N227" i="35"/>
  <c r="N225" i="35"/>
  <c r="N223" i="35"/>
  <c r="O223" i="35" s="1"/>
  <c r="P223" i="35" s="1"/>
  <c r="N221" i="35"/>
  <c r="N218" i="35"/>
  <c r="N216" i="35"/>
  <c r="N214" i="35"/>
  <c r="O214" i="35" s="1"/>
  <c r="P214" i="35" s="1"/>
  <c r="N211" i="35"/>
  <c r="O211" i="35" s="1"/>
  <c r="P211" i="35" s="1"/>
  <c r="N209" i="35"/>
  <c r="O209" i="35" s="1"/>
  <c r="P209" i="35" s="1"/>
  <c r="N206" i="35"/>
  <c r="O206" i="35" s="1"/>
  <c r="P206" i="35" s="1"/>
  <c r="N204" i="35"/>
  <c r="O204" i="35" s="1"/>
  <c r="P204" i="35" s="1"/>
  <c r="N203" i="35"/>
  <c r="O203" i="35" s="1"/>
  <c r="P203" i="35" s="1"/>
  <c r="N201" i="35"/>
  <c r="O201" i="35" s="1"/>
  <c r="P201" i="35" s="1"/>
  <c r="N198" i="35"/>
  <c r="O198" i="35" s="1"/>
  <c r="P198" i="35" s="1"/>
  <c r="N197" i="35"/>
  <c r="O197" i="35" s="1"/>
  <c r="P197" i="35" s="1"/>
  <c r="N191" i="35"/>
  <c r="O191" i="35" s="1"/>
  <c r="P191" i="35" s="1"/>
  <c r="N189" i="35"/>
  <c r="O189" i="35" s="1"/>
  <c r="P189" i="35" s="1"/>
  <c r="N187" i="35"/>
  <c r="O187" i="35" s="1"/>
  <c r="P187" i="35" s="1"/>
  <c r="N186" i="35"/>
  <c r="N184" i="35"/>
  <c r="N182" i="35"/>
  <c r="N181" i="35"/>
  <c r="N178" i="35"/>
  <c r="N177" i="35"/>
  <c r="N175" i="35"/>
  <c r="O175" i="35" s="1"/>
  <c r="P175" i="35" s="1"/>
  <c r="N173" i="35"/>
  <c r="O173" i="35" s="1"/>
  <c r="P173" i="35" s="1"/>
  <c r="N172" i="35"/>
  <c r="O172" i="35" s="1"/>
  <c r="P172" i="35" s="1"/>
  <c r="N171" i="35"/>
  <c r="O171" i="35" s="1"/>
  <c r="P171" i="35" s="1"/>
  <c r="N169" i="35"/>
  <c r="N168" i="35"/>
  <c r="N167" i="35"/>
  <c r="N165" i="35"/>
  <c r="N164" i="35"/>
  <c r="O164" i="35" s="1"/>
  <c r="P164" i="35" s="1"/>
  <c r="N163" i="35"/>
  <c r="O163" i="35" s="1"/>
  <c r="P163" i="35" s="1"/>
  <c r="N161" i="35"/>
  <c r="O161" i="35" s="1"/>
  <c r="P161" i="35" s="1"/>
  <c r="N160" i="35"/>
  <c r="O160" i="35" s="1"/>
  <c r="P160" i="35" s="1"/>
  <c r="N159" i="35"/>
  <c r="O159" i="35" s="1"/>
  <c r="P159" i="35" s="1"/>
  <c r="N157" i="35"/>
  <c r="O157" i="35" s="1"/>
  <c r="P157" i="35" s="1"/>
  <c r="N155" i="35"/>
  <c r="N153" i="35"/>
  <c r="N151" i="35"/>
  <c r="N150" i="35"/>
  <c r="N149" i="35"/>
  <c r="N148" i="35"/>
  <c r="N145" i="35"/>
  <c r="O145" i="35" s="1"/>
  <c r="P145" i="35" s="1"/>
  <c r="N143" i="35"/>
  <c r="O143" i="35" s="1"/>
  <c r="P143" i="35" s="1"/>
  <c r="N142" i="35"/>
  <c r="O142" i="35" s="1"/>
  <c r="P142" i="35" s="1"/>
  <c r="N139" i="35"/>
  <c r="O139" i="35" s="1"/>
  <c r="P139" i="35" s="1"/>
  <c r="N137" i="35"/>
  <c r="N135" i="35"/>
  <c r="N133" i="35"/>
  <c r="N131" i="35"/>
  <c r="N130" i="35"/>
  <c r="O130" i="35" s="1"/>
  <c r="P130" i="35" s="1"/>
  <c r="N128" i="35"/>
  <c r="O128" i="35" s="1"/>
  <c r="P128" i="35" s="1"/>
  <c r="N126" i="35"/>
  <c r="O126" i="35" s="1"/>
  <c r="P126" i="35" s="1"/>
  <c r="N125" i="35"/>
  <c r="O125" i="35" s="1"/>
  <c r="P125" i="35" s="1"/>
  <c r="N123" i="35"/>
  <c r="O123" i="35" s="1"/>
  <c r="P123" i="35" s="1"/>
  <c r="N122" i="35"/>
  <c r="O122" i="35" s="1"/>
  <c r="P122" i="35" s="1"/>
  <c r="N120" i="35"/>
  <c r="N118" i="35"/>
  <c r="N117" i="35"/>
  <c r="N115" i="35"/>
  <c r="N113" i="35"/>
  <c r="N111" i="35"/>
  <c r="N108" i="35"/>
  <c r="O108" i="35" s="1"/>
  <c r="P108" i="35" s="1"/>
  <c r="N106" i="35"/>
  <c r="O106" i="35" s="1"/>
  <c r="P106" i="35" s="1"/>
  <c r="N104" i="35"/>
  <c r="O104" i="35" s="1"/>
  <c r="P104" i="35" s="1"/>
  <c r="N102" i="35"/>
  <c r="O102" i="35" s="1"/>
  <c r="P102" i="35" s="1"/>
  <c r="N101" i="35"/>
  <c r="N100" i="35"/>
  <c r="N97" i="35"/>
  <c r="N96" i="35"/>
  <c r="N95" i="35"/>
  <c r="O95" i="35" s="1"/>
  <c r="P95" i="35" s="1"/>
  <c r="N94" i="35"/>
  <c r="O94" i="35" s="1"/>
  <c r="P94" i="35" s="1"/>
  <c r="N93" i="35"/>
  <c r="O93" i="35" s="1"/>
  <c r="P93" i="35" s="1"/>
  <c r="N92" i="35"/>
  <c r="O92" i="35" s="1"/>
  <c r="P92" i="35" s="1"/>
  <c r="N91" i="35"/>
  <c r="O91" i="35" s="1"/>
  <c r="P91" i="35" s="1"/>
  <c r="N89" i="35"/>
  <c r="O89" i="35" s="1"/>
  <c r="P89" i="35" s="1"/>
  <c r="N88" i="35"/>
  <c r="N85" i="35"/>
  <c r="N84" i="35"/>
  <c r="N83" i="35"/>
  <c r="N82" i="35"/>
  <c r="N81" i="35"/>
  <c r="N79" i="35"/>
  <c r="O79" i="35" s="1"/>
  <c r="P79" i="35" s="1"/>
  <c r="N77" i="35"/>
  <c r="O77" i="35" s="1"/>
  <c r="P77" i="35" s="1"/>
  <c r="N75" i="35"/>
  <c r="O75" i="35" s="1"/>
  <c r="P75" i="35" s="1"/>
  <c r="N73" i="35"/>
  <c r="O73" i="35" s="1"/>
  <c r="P73" i="35" s="1"/>
  <c r="N72" i="35"/>
  <c r="N70" i="35"/>
  <c r="N68" i="35"/>
  <c r="N67" i="35"/>
  <c r="N65" i="35"/>
  <c r="O65" i="35" s="1"/>
  <c r="P65" i="35" s="1"/>
  <c r="N63" i="35"/>
  <c r="O63" i="35" s="1"/>
  <c r="P63" i="35" s="1"/>
  <c r="N62" i="35"/>
  <c r="O62" i="35" s="1"/>
  <c r="P62" i="35" s="1"/>
  <c r="N61" i="35"/>
  <c r="O61" i="35" s="1"/>
  <c r="P61" i="35" s="1"/>
  <c r="N59" i="35"/>
  <c r="O59" i="35" s="1"/>
  <c r="P59" i="35" s="1"/>
  <c r="N56" i="35"/>
  <c r="O56" i="35" s="1"/>
  <c r="P56" i="35" s="1"/>
  <c r="N54" i="35"/>
  <c r="N52" i="35"/>
  <c r="N50" i="35"/>
  <c r="N49" i="35"/>
  <c r="N47" i="35"/>
  <c r="N44" i="35"/>
  <c r="N43" i="35"/>
  <c r="O43" i="35" s="1"/>
  <c r="P43" i="35" s="1"/>
  <c r="N41" i="35"/>
  <c r="O41" i="35" s="1"/>
  <c r="P41" i="35" s="1"/>
  <c r="N39" i="35"/>
  <c r="O39" i="35" s="1"/>
  <c r="P39" i="35" s="1"/>
  <c r="N37" i="35"/>
  <c r="O37" i="35" s="1"/>
  <c r="P37" i="35" s="1"/>
  <c r="N36" i="35"/>
  <c r="N35" i="35"/>
  <c r="N34" i="35"/>
  <c r="N33" i="35"/>
  <c r="N31" i="35"/>
  <c r="O31" i="35" s="1"/>
  <c r="P31" i="35" s="1"/>
  <c r="N29" i="35"/>
  <c r="O29" i="35" s="1"/>
  <c r="P29" i="35" s="1"/>
  <c r="N27" i="35"/>
  <c r="O27" i="35" s="1"/>
  <c r="P27" i="35" s="1"/>
  <c r="N25" i="35"/>
  <c r="O25" i="35" s="1"/>
  <c r="P25" i="35" s="1"/>
  <c r="N24" i="35"/>
  <c r="O24" i="35" s="1"/>
  <c r="P24" i="35" s="1"/>
  <c r="N21" i="35"/>
  <c r="O21" i="35" s="1"/>
  <c r="P239" i="35"/>
  <c r="P25" i="36" l="1"/>
  <c r="O25" i="36"/>
  <c r="O238" i="35"/>
  <c r="P21" i="35"/>
  <c r="P238" i="35" s="1"/>
  <c r="O25" i="37"/>
  <c r="O29" i="37"/>
  <c r="N28" i="37"/>
  <c r="N23" i="37"/>
  <c r="O23" i="37" s="1"/>
  <c r="N20" i="37"/>
  <c r="N22" i="37"/>
  <c r="N24" i="37"/>
  <c r="O24" i="37" s="1"/>
  <c r="P42" i="28"/>
  <c r="O27" i="36"/>
  <c r="O28" i="36" s="1"/>
  <c r="D16" i="31" s="1"/>
  <c r="Q238" i="35"/>
  <c r="O240" i="35"/>
  <c r="O241" i="35" s="1"/>
  <c r="D12" i="31" s="1"/>
  <c r="N26" i="37" l="1"/>
  <c r="O26" i="37" s="1"/>
  <c r="M30" i="37"/>
  <c r="D20" i="31" s="1"/>
  <c r="O22" i="37"/>
  <c r="P27" i="36"/>
  <c r="P29" i="36" s="1"/>
  <c r="D13" i="30" s="1"/>
  <c r="P240" i="35"/>
  <c r="P242" i="35" s="1"/>
  <c r="D11" i="30" s="1"/>
  <c r="A13" i="34"/>
  <c r="A8" i="34"/>
  <c r="N30" i="37" l="1"/>
  <c r="M31" i="12"/>
  <c r="N31" i="12" s="1"/>
  <c r="P47" i="28"/>
  <c r="D30" i="31"/>
  <c r="B30" i="31"/>
  <c r="D29" i="31"/>
  <c r="B29" i="31"/>
  <c r="B7" i="31"/>
  <c r="B6" i="31"/>
  <c r="B5" i="31"/>
  <c r="B4" i="31"/>
  <c r="B7" i="30"/>
  <c r="B6" i="30"/>
  <c r="B5" i="30"/>
  <c r="N45" i="28"/>
  <c r="O45" i="28" s="1"/>
  <c r="L45" i="28"/>
  <c r="N44" i="28"/>
  <c r="O44" i="28" s="1"/>
  <c r="P44" i="28" s="1"/>
  <c r="N40" i="28"/>
  <c r="O40" i="28" s="1"/>
  <c r="L40" i="28"/>
  <c r="N38" i="28"/>
  <c r="O38" i="28" s="1"/>
  <c r="P38" i="28" s="1"/>
  <c r="L38" i="28"/>
  <c r="N37" i="28"/>
  <c r="O37" i="28"/>
  <c r="P37" i="28" s="1"/>
  <c r="Q37" i="28" s="1"/>
  <c r="L37" i="28"/>
  <c r="N34" i="28"/>
  <c r="O34" i="28" s="1"/>
  <c r="P34" i="28" s="1"/>
  <c r="L34" i="28"/>
  <c r="N32" i="28"/>
  <c r="O32" i="28" s="1"/>
  <c r="P32" i="28" s="1"/>
  <c r="Q32" i="28" s="1"/>
  <c r="L32" i="28"/>
  <c r="N30" i="28"/>
  <c r="O30" i="28" s="1"/>
  <c r="P30" i="28" s="1"/>
  <c r="L30" i="28"/>
  <c r="Q29" i="28"/>
  <c r="Q27" i="28"/>
  <c r="N26" i="28"/>
  <c r="O26" i="28" s="1"/>
  <c r="P26" i="28" s="1"/>
  <c r="Q26" i="28" s="1"/>
  <c r="L26" i="28"/>
  <c r="Q25" i="28"/>
  <c r="N24" i="28"/>
  <c r="O24" i="28" s="1"/>
  <c r="P24" i="28" s="1"/>
  <c r="L24" i="28"/>
  <c r="N23" i="28"/>
  <c r="O23" i="28" s="1"/>
  <c r="P23" i="28" s="1"/>
  <c r="N22" i="28"/>
  <c r="O22" i="28" s="1"/>
  <c r="L22" i="28"/>
  <c r="J377" i="19"/>
  <c r="J376" i="19"/>
  <c r="J378" i="19"/>
  <c r="J534" i="20"/>
  <c r="J533" i="20"/>
  <c r="J535" i="20" s="1"/>
  <c r="J8" i="19"/>
  <c r="J12" i="19"/>
  <c r="J15" i="19"/>
  <c r="H23" i="19"/>
  <c r="J23" i="19" s="1"/>
  <c r="I23" i="19"/>
  <c r="H24" i="19"/>
  <c r="I24" i="19"/>
  <c r="J24" i="19"/>
  <c r="H25" i="19"/>
  <c r="J25" i="19"/>
  <c r="I25" i="19"/>
  <c r="H26" i="19"/>
  <c r="I26" i="19"/>
  <c r="H27" i="19"/>
  <c r="I27" i="19"/>
  <c r="J27" i="19"/>
  <c r="H28" i="19"/>
  <c r="I28" i="19"/>
  <c r="J28" i="19" s="1"/>
  <c r="H29" i="19"/>
  <c r="J29" i="19"/>
  <c r="I29" i="19"/>
  <c r="H30" i="19"/>
  <c r="J30" i="19" s="1"/>
  <c r="I30" i="19"/>
  <c r="H31" i="19"/>
  <c r="I31" i="19"/>
  <c r="J31" i="19"/>
  <c r="H32" i="19"/>
  <c r="J32" i="19"/>
  <c r="I32" i="19"/>
  <c r="H33" i="19"/>
  <c r="I33" i="19"/>
  <c r="J33" i="19" s="1"/>
  <c r="J37" i="19"/>
  <c r="J41" i="19"/>
  <c r="J56" i="19"/>
  <c r="J57" i="19"/>
  <c r="J65" i="19"/>
  <c r="J67" i="19"/>
  <c r="L67" i="19"/>
  <c r="L77" i="19" s="1"/>
  <c r="J68" i="19"/>
  <c r="L68" i="19"/>
  <c r="J69" i="19"/>
  <c r="L69" i="19"/>
  <c r="J70" i="19"/>
  <c r="L70" i="19"/>
  <c r="J71" i="19"/>
  <c r="L71" i="19"/>
  <c r="J72" i="19"/>
  <c r="L72" i="19"/>
  <c r="J73" i="19"/>
  <c r="L73" i="19"/>
  <c r="J74" i="19"/>
  <c r="L74" i="19"/>
  <c r="J75" i="19"/>
  <c r="L75" i="19"/>
  <c r="J76" i="19"/>
  <c r="J77" i="19"/>
  <c r="J83" i="19"/>
  <c r="J85" i="19"/>
  <c r="G89" i="19"/>
  <c r="I89" i="19"/>
  <c r="J89" i="19" s="1"/>
  <c r="J91" i="19" s="1"/>
  <c r="J92" i="19" s="1"/>
  <c r="J94" i="19"/>
  <c r="J95" i="19" s="1"/>
  <c r="F96" i="19"/>
  <c r="J96" i="19" s="1"/>
  <c r="J97" i="19" s="1"/>
  <c r="H96" i="19"/>
  <c r="J98" i="19"/>
  <c r="J99" i="19"/>
  <c r="J100" i="19"/>
  <c r="J101" i="19"/>
  <c r="J107" i="19"/>
  <c r="J109" i="19"/>
  <c r="J110" i="19"/>
  <c r="J111" i="19"/>
  <c r="J112" i="19"/>
  <c r="J113" i="19" s="1"/>
  <c r="J114" i="19" s="1"/>
  <c r="J120" i="19"/>
  <c r="J121" i="19" s="1"/>
  <c r="I124" i="19"/>
  <c r="J124" i="19"/>
  <c r="I125" i="19"/>
  <c r="J125" i="19" s="1"/>
  <c r="I126" i="19"/>
  <c r="J126" i="19" s="1"/>
  <c r="I127" i="19"/>
  <c r="J127" i="19"/>
  <c r="I128" i="19"/>
  <c r="J128" i="19" s="1"/>
  <c r="I129" i="19"/>
  <c r="J129" i="19" s="1"/>
  <c r="I130" i="19"/>
  <c r="J130" i="19"/>
  <c r="I131" i="19"/>
  <c r="J131" i="19"/>
  <c r="I132" i="19"/>
  <c r="J132" i="19"/>
  <c r="I133" i="19"/>
  <c r="J133" i="19" s="1"/>
  <c r="I134" i="19"/>
  <c r="J134" i="19"/>
  <c r="I137" i="19"/>
  <c r="J137" i="19" s="1"/>
  <c r="I138" i="19"/>
  <c r="J138" i="19" s="1"/>
  <c r="I139" i="19"/>
  <c r="J139" i="19"/>
  <c r="I140" i="19"/>
  <c r="J140" i="19" s="1"/>
  <c r="I141" i="19"/>
  <c r="J141" i="19" s="1"/>
  <c r="I142" i="19"/>
  <c r="J142" i="19"/>
  <c r="J143" i="19"/>
  <c r="I144" i="19"/>
  <c r="J144" i="19" s="1"/>
  <c r="I145" i="19"/>
  <c r="J145" i="19" s="1"/>
  <c r="I146" i="19"/>
  <c r="J146" i="19" s="1"/>
  <c r="I147" i="19"/>
  <c r="J147" i="19"/>
  <c r="I152" i="19"/>
  <c r="J152" i="19"/>
  <c r="I153" i="19"/>
  <c r="J153" i="19" s="1"/>
  <c r="J155" i="19" s="1"/>
  <c r="J156" i="19" s="1"/>
  <c r="H158" i="19"/>
  <c r="J158" i="19"/>
  <c r="J162" i="19" s="1"/>
  <c r="J163" i="19" s="1"/>
  <c r="G165" i="19"/>
  <c r="H165" i="19"/>
  <c r="J165" i="19"/>
  <c r="G166" i="19"/>
  <c r="H166" i="19"/>
  <c r="J166" i="19" s="1"/>
  <c r="J170" i="19" s="1"/>
  <c r="J171" i="19" s="1"/>
  <c r="G167" i="19"/>
  <c r="H167" i="19"/>
  <c r="J167" i="19" s="1"/>
  <c r="G168" i="19"/>
  <c r="H168" i="19"/>
  <c r="J168" i="19" s="1"/>
  <c r="I173" i="19"/>
  <c r="J173" i="19" s="1"/>
  <c r="J175" i="19" s="1"/>
  <c r="J177" i="19"/>
  <c r="J178" i="19"/>
  <c r="J180" i="19" s="1"/>
  <c r="J181" i="19" s="1"/>
  <c r="J183" i="19"/>
  <c r="J184" i="19"/>
  <c r="J208" i="19"/>
  <c r="J210" i="19"/>
  <c r="J211" i="19"/>
  <c r="J215" i="19"/>
  <c r="J216" i="19"/>
  <c r="J217" i="19" s="1"/>
  <c r="J218" i="19"/>
  <c r="J219" i="19"/>
  <c r="J231" i="19" s="1"/>
  <c r="F191" i="19" s="1"/>
  <c r="I191" i="19" s="1"/>
  <c r="L219" i="19"/>
  <c r="J220" i="19"/>
  <c r="L220" i="19"/>
  <c r="J221" i="19"/>
  <c r="L221" i="19"/>
  <c r="J222" i="19"/>
  <c r="L222" i="19"/>
  <c r="J223" i="19"/>
  <c r="L223" i="19"/>
  <c r="J224" i="19"/>
  <c r="L224" i="19"/>
  <c r="J225" i="19"/>
  <c r="L225" i="19"/>
  <c r="J226" i="19"/>
  <c r="L226" i="19"/>
  <c r="J227" i="19"/>
  <c r="J228" i="19"/>
  <c r="J233" i="19"/>
  <c r="J235" i="19" s="1"/>
  <c r="F190" i="19" s="1"/>
  <c r="I190" i="19" s="1"/>
  <c r="J240" i="19"/>
  <c r="J241" i="19" s="1"/>
  <c r="L240" i="19"/>
  <c r="L244" i="19"/>
  <c r="J247" i="19"/>
  <c r="J248" i="19"/>
  <c r="J249" i="19"/>
  <c r="J259" i="19" s="1"/>
  <c r="F200" i="19" s="1"/>
  <c r="I200" i="19" s="1"/>
  <c r="J250" i="19"/>
  <c r="J251" i="19"/>
  <c r="J252" i="19"/>
  <c r="J253" i="19"/>
  <c r="J254" i="19"/>
  <c r="J255" i="19"/>
  <c r="J256" i="19"/>
  <c r="J257" i="19"/>
  <c r="J262" i="19"/>
  <c r="J269" i="19" s="1"/>
  <c r="F201" i="19" s="1"/>
  <c r="I201" i="19" s="1"/>
  <c r="J264" i="19"/>
  <c r="J265" i="19"/>
  <c r="J268" i="19"/>
  <c r="J272" i="19"/>
  <c r="J273" i="19" s="1"/>
  <c r="J274" i="19"/>
  <c r="J276" i="19"/>
  <c r="G289" i="19"/>
  <c r="J289" i="19"/>
  <c r="J291" i="19" s="1"/>
  <c r="J292" i="19" s="1"/>
  <c r="J294" i="19"/>
  <c r="J299" i="19" s="1"/>
  <c r="J295" i="19"/>
  <c r="F296" i="19"/>
  <c r="J296" i="19"/>
  <c r="F297" i="19"/>
  <c r="J297" i="19" s="1"/>
  <c r="J301" i="19"/>
  <c r="J304" i="19" s="1"/>
  <c r="J305" i="19" s="1"/>
  <c r="J307" i="19" s="1"/>
  <c r="J302" i="19"/>
  <c r="J310" i="19"/>
  <c r="J314" i="19"/>
  <c r="J319" i="19"/>
  <c r="J320" i="19" s="1"/>
  <c r="J323" i="19"/>
  <c r="J324" i="19"/>
  <c r="J325" i="19" s="1"/>
  <c r="J328" i="19"/>
  <c r="J329" i="19"/>
  <c r="J331" i="19" s="1"/>
  <c r="J333" i="19"/>
  <c r="J334" i="19"/>
  <c r="J335" i="19"/>
  <c r="J337" i="19"/>
  <c r="J341" i="19"/>
  <c r="J342" i="19"/>
  <c r="J343" i="19"/>
  <c r="J348" i="19"/>
  <c r="J349" i="19"/>
  <c r="J350" i="19" s="1"/>
  <c r="R353" i="19"/>
  <c r="G361" i="19"/>
  <c r="J361" i="19"/>
  <c r="J362" i="19" s="1"/>
  <c r="J365" i="19"/>
  <c r="J366" i="19"/>
  <c r="J371" i="19"/>
  <c r="J373" i="19"/>
  <c r="J374" i="19" s="1"/>
  <c r="J375" i="19" s="1"/>
  <c r="J383" i="19"/>
  <c r="F387" i="19"/>
  <c r="G387" i="19"/>
  <c r="J387" i="19" s="1"/>
  <c r="J391" i="19" s="1"/>
  <c r="J392" i="19" s="1"/>
  <c r="R388" i="19"/>
  <c r="R391" i="19"/>
  <c r="J395" i="19"/>
  <c r="J396" i="19"/>
  <c r="J397" i="19"/>
  <c r="J398" i="19"/>
  <c r="J399" i="19"/>
  <c r="J400" i="19"/>
  <c r="J403" i="19"/>
  <c r="J405" i="19"/>
  <c r="J406" i="19"/>
  <c r="F409" i="19"/>
  <c r="J409" i="19"/>
  <c r="J411" i="19"/>
  <c r="J412" i="19"/>
  <c r="J410" i="19"/>
  <c r="J414" i="19"/>
  <c r="J417" i="19" s="1"/>
  <c r="J418" i="19" s="1"/>
  <c r="J422" i="19" s="1"/>
  <c r="J424" i="19" s="1"/>
  <c r="J425" i="19" s="1"/>
  <c r="J421" i="19"/>
  <c r="J431" i="19"/>
  <c r="J435" i="19"/>
  <c r="J437" i="19" s="1"/>
  <c r="J438" i="19" s="1"/>
  <c r="J441" i="19"/>
  <c r="J444" i="19"/>
  <c r="J447" i="19"/>
  <c r="J450" i="19"/>
  <c r="J453" i="19"/>
  <c r="J455" i="19"/>
  <c r="J458" i="19"/>
  <c r="J465" i="19"/>
  <c r="J468" i="19"/>
  <c r="J470" i="19"/>
  <c r="J485" i="19"/>
  <c r="J486" i="19" s="1"/>
  <c r="G476" i="19"/>
  <c r="J476" i="19"/>
  <c r="J479" i="19" s="1"/>
  <c r="J504" i="19"/>
  <c r="J505" i="19"/>
  <c r="J507" i="19"/>
  <c r="J508" i="19" s="1"/>
  <c r="J510" i="19"/>
  <c r="J513" i="19"/>
  <c r="J516" i="19"/>
  <c r="J528" i="19"/>
  <c r="J531" i="19"/>
  <c r="J534" i="19"/>
  <c r="J536" i="19"/>
  <c r="J539" i="19"/>
  <c r="J541" i="19"/>
  <c r="J542" i="19"/>
  <c r="J545" i="19"/>
  <c r="J548" i="19"/>
  <c r="J566" i="19"/>
  <c r="J570" i="19"/>
  <c r="J571" i="19"/>
  <c r="J575" i="19"/>
  <c r="J578" i="19"/>
  <c r="J581" i="19"/>
  <c r="J584" i="19"/>
  <c r="J587" i="19"/>
  <c r="J590" i="19"/>
  <c r="J602" i="19"/>
  <c r="J609" i="19"/>
  <c r="J613" i="19"/>
  <c r="J617" i="19"/>
  <c r="J628" i="19"/>
  <c r="J629" i="19"/>
  <c r="J632" i="19" s="1"/>
  <c r="J630" i="19"/>
  <c r="M635" i="19"/>
  <c r="J636" i="19"/>
  <c r="J640" i="19" s="1"/>
  <c r="M636" i="19"/>
  <c r="J637" i="19"/>
  <c r="J638" i="19"/>
  <c r="M638" i="19"/>
  <c r="M639" i="19"/>
  <c r="H646" i="19"/>
  <c r="J646" i="19" s="1"/>
  <c r="J649" i="19" s="1"/>
  <c r="J650" i="19" s="1"/>
  <c r="H647" i="19"/>
  <c r="J647" i="19"/>
  <c r="H648" i="19"/>
  <c r="J648" i="19"/>
  <c r="J663" i="19"/>
  <c r="J664" i="19"/>
  <c r="J665" i="19"/>
  <c r="J674" i="19"/>
  <c r="J675" i="19"/>
  <c r="J681" i="19"/>
  <c r="J683" i="19" s="1"/>
  <c r="J684" i="19" s="1"/>
  <c r="J690" i="19"/>
  <c r="J691" i="19" s="1"/>
  <c r="J696" i="19"/>
  <c r="J703" i="19"/>
  <c r="J709" i="19"/>
  <c r="J713" i="19"/>
  <c r="J715" i="19" s="1"/>
  <c r="J714" i="19"/>
  <c r="J718" i="19"/>
  <c r="J719" i="19" s="1"/>
  <c r="J758" i="19"/>
  <c r="J8" i="20"/>
  <c r="J12" i="20"/>
  <c r="J15" i="20"/>
  <c r="J23" i="20"/>
  <c r="J41" i="20" s="1"/>
  <c r="J42" i="20" s="1"/>
  <c r="J51" i="20" s="1"/>
  <c r="J24" i="20"/>
  <c r="J25" i="20"/>
  <c r="J26" i="20"/>
  <c r="J27" i="20"/>
  <c r="J28" i="20"/>
  <c r="J29" i="20"/>
  <c r="J30" i="20"/>
  <c r="J31" i="20"/>
  <c r="J32" i="20"/>
  <c r="J33" i="20"/>
  <c r="J34" i="20"/>
  <c r="J35" i="20"/>
  <c r="J36" i="20"/>
  <c r="J37" i="20"/>
  <c r="J38" i="20"/>
  <c r="J39" i="20"/>
  <c r="J44" i="20"/>
  <c r="J48" i="20"/>
  <c r="J63" i="20"/>
  <c r="J64" i="20"/>
  <c r="J72" i="20"/>
  <c r="J74" i="20"/>
  <c r="L74" i="20"/>
  <c r="J75" i="20"/>
  <c r="J92" i="20" s="1"/>
  <c r="L75" i="20"/>
  <c r="L92" i="20" s="1"/>
  <c r="J76" i="20"/>
  <c r="L76" i="20"/>
  <c r="J77" i="20"/>
  <c r="L77" i="20"/>
  <c r="J78" i="20"/>
  <c r="L78" i="20"/>
  <c r="J79" i="20"/>
  <c r="L79" i="20"/>
  <c r="J80" i="20"/>
  <c r="L80" i="20"/>
  <c r="J81" i="20"/>
  <c r="L81" i="20"/>
  <c r="J82" i="20"/>
  <c r="L82" i="20"/>
  <c r="J83" i="20"/>
  <c r="L83" i="20"/>
  <c r="J84" i="20"/>
  <c r="L84" i="20"/>
  <c r="J85" i="20"/>
  <c r="L85" i="20"/>
  <c r="J86" i="20"/>
  <c r="L86" i="20"/>
  <c r="J87" i="20"/>
  <c r="L87" i="20"/>
  <c r="J88" i="20"/>
  <c r="L88" i="20"/>
  <c r="J89" i="20"/>
  <c r="L89" i="20"/>
  <c r="J90" i="20"/>
  <c r="L90" i="20"/>
  <c r="J96" i="20"/>
  <c r="J97" i="20"/>
  <c r="G102" i="20"/>
  <c r="I102" i="20"/>
  <c r="J102" i="20"/>
  <c r="J104" i="20"/>
  <c r="J105" i="20"/>
  <c r="J107" i="20"/>
  <c r="H109" i="20"/>
  <c r="J111" i="20"/>
  <c r="J112" i="20" s="1"/>
  <c r="G113" i="20"/>
  <c r="J113" i="20" s="1"/>
  <c r="J114" i="20" s="1"/>
  <c r="J120" i="20"/>
  <c r="J122" i="20"/>
  <c r="J123" i="20"/>
  <c r="J124" i="20"/>
  <c r="J125" i="20"/>
  <c r="J126" i="20" s="1"/>
  <c r="J127" i="20" s="1"/>
  <c r="I130" i="20"/>
  <c r="J130" i="20" s="1"/>
  <c r="J137" i="20" s="1"/>
  <c r="J138" i="20" s="1"/>
  <c r="J132" i="20"/>
  <c r="J133" i="20"/>
  <c r="J134" i="20"/>
  <c r="J135" i="20"/>
  <c r="I141" i="20"/>
  <c r="J141" i="20"/>
  <c r="I142" i="20"/>
  <c r="J142" i="20"/>
  <c r="I143" i="20"/>
  <c r="J143" i="20" s="1"/>
  <c r="I144" i="20"/>
  <c r="J144" i="20" s="1"/>
  <c r="I145" i="20"/>
  <c r="J145" i="20" s="1"/>
  <c r="I146" i="20"/>
  <c r="J146" i="20"/>
  <c r="I147" i="20"/>
  <c r="J147" i="20"/>
  <c r="I148" i="20"/>
  <c r="J148" i="20" s="1"/>
  <c r="I149" i="20"/>
  <c r="J149" i="20"/>
  <c r="I150" i="20"/>
  <c r="J150" i="20"/>
  <c r="I151" i="20"/>
  <c r="J151" i="20"/>
  <c r="I152" i="20"/>
  <c r="J152" i="20"/>
  <c r="I153" i="20"/>
  <c r="J153" i="20" s="1"/>
  <c r="I154" i="20"/>
  <c r="J154" i="20" s="1"/>
  <c r="I155" i="20"/>
  <c r="J155" i="20" s="1"/>
  <c r="I156" i="20"/>
  <c r="J156" i="20"/>
  <c r="I157" i="20"/>
  <c r="J157" i="20"/>
  <c r="I160" i="20"/>
  <c r="J160" i="20" s="1"/>
  <c r="I161" i="20"/>
  <c r="J161" i="20"/>
  <c r="I162" i="20"/>
  <c r="J162" i="20"/>
  <c r="I163" i="20"/>
  <c r="J163" i="20"/>
  <c r="I164" i="20"/>
  <c r="J164" i="20"/>
  <c r="I165" i="20"/>
  <c r="J165" i="20" s="1"/>
  <c r="I166" i="20"/>
  <c r="J166" i="20" s="1"/>
  <c r="I167" i="20"/>
  <c r="J167" i="20" s="1"/>
  <c r="I168" i="20"/>
  <c r="J168" i="20"/>
  <c r="I169" i="20"/>
  <c r="J169" i="20"/>
  <c r="I170" i="20"/>
  <c r="J170" i="20" s="1"/>
  <c r="I171" i="20"/>
  <c r="J171" i="20"/>
  <c r="I172" i="20"/>
  <c r="J172" i="20"/>
  <c r="I173" i="20"/>
  <c r="J173" i="20"/>
  <c r="I174" i="20"/>
  <c r="J174" i="20"/>
  <c r="I175" i="20"/>
  <c r="J175" i="20" s="1"/>
  <c r="I176" i="20"/>
  <c r="J176" i="20" s="1"/>
  <c r="I178" i="20"/>
  <c r="J178" i="20" s="1"/>
  <c r="I179" i="20"/>
  <c r="J179" i="20"/>
  <c r="I180" i="20"/>
  <c r="J180" i="20"/>
  <c r="I181" i="20"/>
  <c r="J181" i="20" s="1"/>
  <c r="I182" i="20"/>
  <c r="J182" i="20"/>
  <c r="I183" i="20"/>
  <c r="J183" i="20"/>
  <c r="I184" i="20"/>
  <c r="J184" i="20"/>
  <c r="I185" i="20"/>
  <c r="J185" i="20"/>
  <c r="I186" i="20"/>
  <c r="J186" i="20" s="1"/>
  <c r="I187" i="20"/>
  <c r="J187" i="20" s="1"/>
  <c r="I188" i="20"/>
  <c r="J188" i="20" s="1"/>
  <c r="I189" i="20"/>
  <c r="J189" i="20"/>
  <c r="I190" i="20"/>
  <c r="J190" i="20"/>
  <c r="I191" i="20"/>
  <c r="J191" i="20" s="1"/>
  <c r="I192" i="20"/>
  <c r="J192" i="20"/>
  <c r="I193" i="20"/>
  <c r="J193" i="20"/>
  <c r="I194" i="20"/>
  <c r="J194" i="20"/>
  <c r="I197" i="20"/>
  <c r="J197" i="20"/>
  <c r="I198" i="20"/>
  <c r="J198" i="20" s="1"/>
  <c r="I199" i="20"/>
  <c r="J199" i="20" s="1"/>
  <c r="I200" i="20"/>
  <c r="J200" i="20" s="1"/>
  <c r="I201" i="20"/>
  <c r="J201" i="20"/>
  <c r="I202" i="20"/>
  <c r="J202" i="20"/>
  <c r="I203" i="20"/>
  <c r="J203" i="20" s="1"/>
  <c r="I204" i="20"/>
  <c r="J204" i="20"/>
  <c r="I205" i="20"/>
  <c r="J205" i="20"/>
  <c r="I206" i="20"/>
  <c r="J206" i="20"/>
  <c r="I207" i="20"/>
  <c r="J207" i="20"/>
  <c r="I208" i="20"/>
  <c r="J208" i="20" s="1"/>
  <c r="I209" i="20"/>
  <c r="J209" i="20" s="1"/>
  <c r="I210" i="20"/>
  <c r="J210" i="20" s="1"/>
  <c r="I211" i="20"/>
  <c r="J211" i="20"/>
  <c r="I212" i="20"/>
  <c r="J212" i="20"/>
  <c r="I213" i="20"/>
  <c r="J213" i="20" s="1"/>
  <c r="I215" i="20"/>
  <c r="J215" i="20"/>
  <c r="I216" i="20"/>
  <c r="J216" i="20"/>
  <c r="I222" i="20"/>
  <c r="J222" i="20"/>
  <c r="I223" i="20"/>
  <c r="J223" i="20"/>
  <c r="J228" i="20" s="1"/>
  <c r="J229" i="20" s="1"/>
  <c r="J224" i="20"/>
  <c r="J225" i="20"/>
  <c r="J226" i="20"/>
  <c r="H231" i="20"/>
  <c r="J231" i="20" s="1"/>
  <c r="J235" i="20" s="1"/>
  <c r="J236" i="20" s="1"/>
  <c r="H232" i="20"/>
  <c r="J232" i="20"/>
  <c r="H233" i="20"/>
  <c r="J233" i="20" s="1"/>
  <c r="G238" i="20"/>
  <c r="J238" i="20" s="1"/>
  <c r="H238" i="20"/>
  <c r="G239" i="20"/>
  <c r="H239" i="20"/>
  <c r="G240" i="20"/>
  <c r="H240" i="20"/>
  <c r="J240" i="20"/>
  <c r="G241" i="20"/>
  <c r="H241" i="20"/>
  <c r="G242" i="20"/>
  <c r="H242" i="20"/>
  <c r="J242" i="20" s="1"/>
  <c r="I246" i="20"/>
  <c r="J246" i="20" s="1"/>
  <c r="J247" i="20" s="1"/>
  <c r="J249" i="20"/>
  <c r="J255" i="20" s="1"/>
  <c r="J256" i="20" s="1"/>
  <c r="J250" i="20"/>
  <c r="J251" i="20"/>
  <c r="G252" i="20"/>
  <c r="J252" i="20"/>
  <c r="J253" i="20"/>
  <c r="J258" i="20"/>
  <c r="I267" i="20"/>
  <c r="I268" i="20"/>
  <c r="G283" i="20"/>
  <c r="J283" i="20"/>
  <c r="G284" i="20"/>
  <c r="J284" i="20"/>
  <c r="G285" i="20"/>
  <c r="J285" i="20"/>
  <c r="G286" i="20"/>
  <c r="J286" i="20" s="1"/>
  <c r="G287" i="20"/>
  <c r="J287" i="20" s="1"/>
  <c r="G288" i="20"/>
  <c r="J288" i="20" s="1"/>
  <c r="G289" i="20"/>
  <c r="J289" i="20"/>
  <c r="G290" i="20"/>
  <c r="J290" i="20"/>
  <c r="J297" i="20"/>
  <c r="J298" i="20" s="1"/>
  <c r="J299" i="20" s="1"/>
  <c r="J300" i="20"/>
  <c r="J301" i="20"/>
  <c r="L301" i="20"/>
  <c r="J302" i="20"/>
  <c r="J317" i="20" s="1"/>
  <c r="F266" i="20" s="1"/>
  <c r="I266" i="20" s="1"/>
  <c r="L302" i="20"/>
  <c r="J303" i="20"/>
  <c r="L303" i="20"/>
  <c r="J304" i="20"/>
  <c r="L304" i="20"/>
  <c r="J305" i="20"/>
  <c r="L305" i="20"/>
  <c r="J306" i="20"/>
  <c r="L306" i="20"/>
  <c r="J307" i="20"/>
  <c r="L307" i="20"/>
  <c r="J308" i="20"/>
  <c r="L308" i="20"/>
  <c r="J309" i="20"/>
  <c r="L309" i="20"/>
  <c r="J310" i="20"/>
  <c r="L310" i="20"/>
  <c r="J311" i="20"/>
  <c r="L311" i="20"/>
  <c r="J312" i="20"/>
  <c r="L312" i="20"/>
  <c r="J313" i="20"/>
  <c r="L313" i="20"/>
  <c r="J314" i="20"/>
  <c r="L314" i="20"/>
  <c r="J315" i="20"/>
  <c r="L315" i="20"/>
  <c r="J316" i="20"/>
  <c r="L316" i="20"/>
  <c r="J321" i="20"/>
  <c r="J322" i="20"/>
  <c r="J329" i="20"/>
  <c r="J330" i="20"/>
  <c r="F264" i="20" s="1"/>
  <c r="I264" i="20" s="1"/>
  <c r="L329" i="20"/>
  <c r="L333" i="20"/>
  <c r="J336" i="20"/>
  <c r="J337" i="20"/>
  <c r="J338" i="20"/>
  <c r="J339" i="20"/>
  <c r="J340" i="20"/>
  <c r="J390" i="20" s="1"/>
  <c r="F275" i="20" s="1"/>
  <c r="I275" i="20" s="1"/>
  <c r="J341" i="20"/>
  <c r="J342" i="20"/>
  <c r="J343" i="20"/>
  <c r="J345" i="20"/>
  <c r="J346" i="20"/>
  <c r="J347" i="20"/>
  <c r="J348" i="20"/>
  <c r="J349" i="20"/>
  <c r="J350" i="20"/>
  <c r="J351" i="20"/>
  <c r="J352" i="20"/>
  <c r="J353" i="20"/>
  <c r="J354" i="20"/>
  <c r="J355" i="20"/>
  <c r="J356" i="20"/>
  <c r="J357" i="20"/>
  <c r="J358" i="20"/>
  <c r="J359" i="20"/>
  <c r="J360" i="20"/>
  <c r="J362" i="20"/>
  <c r="J363" i="20"/>
  <c r="J364" i="20"/>
  <c r="J365" i="20"/>
  <c r="J366" i="20"/>
  <c r="J367" i="20"/>
  <c r="J368" i="20"/>
  <c r="J369" i="20"/>
  <c r="J370" i="20"/>
  <c r="J371" i="20"/>
  <c r="J372" i="20"/>
  <c r="J373" i="20"/>
  <c r="J374" i="20"/>
  <c r="J375" i="20"/>
  <c r="J376" i="20"/>
  <c r="J377" i="20"/>
  <c r="J379" i="20"/>
  <c r="J380" i="20"/>
  <c r="J381" i="20"/>
  <c r="J382" i="20"/>
  <c r="J383" i="20"/>
  <c r="J384" i="20"/>
  <c r="J385" i="20"/>
  <c r="J386" i="20"/>
  <c r="J388" i="20"/>
  <c r="J389" i="20"/>
  <c r="I393" i="20"/>
  <c r="J393" i="20" s="1"/>
  <c r="J410" i="20" s="1"/>
  <c r="F276" i="20" s="1"/>
  <c r="I276" i="20" s="1"/>
  <c r="J395" i="20"/>
  <c r="J396" i="20"/>
  <c r="J398" i="20"/>
  <c r="J399" i="20"/>
  <c r="J402" i="20"/>
  <c r="J403" i="20"/>
  <c r="J406" i="20"/>
  <c r="J407" i="20"/>
  <c r="J408" i="20"/>
  <c r="J409" i="20"/>
  <c r="J411" i="20"/>
  <c r="J414" i="20" s="1"/>
  <c r="J412" i="20"/>
  <c r="J413" i="20"/>
  <c r="J415" i="20"/>
  <c r="J416" i="20"/>
  <c r="J417" i="20" s="1"/>
  <c r="G430" i="20"/>
  <c r="J430" i="20"/>
  <c r="J432" i="20" s="1"/>
  <c r="J433" i="20" s="1"/>
  <c r="J431" i="20"/>
  <c r="J435" i="20"/>
  <c r="J437" i="20" s="1"/>
  <c r="J436" i="20"/>
  <c r="J440" i="20"/>
  <c r="J441" i="20"/>
  <c r="J442" i="20"/>
  <c r="J443" i="20"/>
  <c r="J444" i="20"/>
  <c r="J445" i="20"/>
  <c r="J446" i="20"/>
  <c r="J447" i="20"/>
  <c r="J448" i="20"/>
  <c r="J449" i="20"/>
  <c r="J450" i="20"/>
  <c r="J451" i="20"/>
  <c r="J452" i="20"/>
  <c r="J453" i="20" s="1"/>
  <c r="J454" i="20" s="1"/>
  <c r="J456" i="20" s="1"/>
  <c r="J459" i="20"/>
  <c r="J463" i="20"/>
  <c r="J468" i="20"/>
  <c r="J469" i="20" s="1"/>
  <c r="J472" i="20"/>
  <c r="J474" i="20" s="1"/>
  <c r="J473" i="20"/>
  <c r="J477" i="20"/>
  <c r="J482" i="20" s="1"/>
  <c r="J478" i="20"/>
  <c r="J479" i="20"/>
  <c r="J480" i="20"/>
  <c r="J481" i="20"/>
  <c r="J484" i="20"/>
  <c r="J485" i="20"/>
  <c r="J486" i="20"/>
  <c r="J488" i="20"/>
  <c r="J496" i="20"/>
  <c r="J497" i="20"/>
  <c r="J498" i="20"/>
  <c r="J503" i="20"/>
  <c r="J504" i="20"/>
  <c r="J505" i="20" s="1"/>
  <c r="F508" i="20"/>
  <c r="J508" i="20" s="1"/>
  <c r="R508" i="20"/>
  <c r="F509" i="20"/>
  <c r="J509" i="20"/>
  <c r="F510" i="20"/>
  <c r="J510" i="20" s="1"/>
  <c r="G517" i="20"/>
  <c r="J517" i="20" s="1"/>
  <c r="J518" i="20" s="1"/>
  <c r="J521" i="20"/>
  <c r="J522" i="20"/>
  <c r="J527" i="20"/>
  <c r="J530" i="20" s="1"/>
  <c r="J531" i="20" s="1"/>
  <c r="J529" i="20"/>
  <c r="J538" i="20"/>
  <c r="F542" i="20"/>
  <c r="G542" i="20"/>
  <c r="J542" i="20"/>
  <c r="J546" i="20" s="1"/>
  <c r="J547" i="20" s="1"/>
  <c r="F543" i="20"/>
  <c r="J543" i="20"/>
  <c r="R543" i="20"/>
  <c r="R546" i="20" s="1"/>
  <c r="F544" i="20"/>
  <c r="J544" i="20"/>
  <c r="F545" i="20"/>
  <c r="J545" i="20"/>
  <c r="F550" i="20"/>
  <c r="J550" i="20"/>
  <c r="J556" i="20" s="1"/>
  <c r="J557" i="20" s="1"/>
  <c r="J551" i="20"/>
  <c r="J552" i="20"/>
  <c r="J553" i="20"/>
  <c r="J554" i="20"/>
  <c r="J555" i="20"/>
  <c r="J558" i="20"/>
  <c r="J560" i="20"/>
  <c r="J561" i="20"/>
  <c r="G564" i="20"/>
  <c r="J564" i="20" s="1"/>
  <c r="G565" i="20"/>
  <c r="J565" i="20" s="1"/>
  <c r="G566" i="20"/>
  <c r="J566" i="20" s="1"/>
  <c r="J570" i="20"/>
  <c r="J571" i="20"/>
  <c r="J573" i="20" s="1"/>
  <c r="J574" i="20" s="1"/>
  <c r="J572" i="20"/>
  <c r="J577" i="20"/>
  <c r="J579" i="20" s="1"/>
  <c r="J580" i="20" s="1"/>
  <c r="J586" i="20"/>
  <c r="J590" i="20"/>
  <c r="J592" i="20"/>
  <c r="J593" i="20"/>
  <c r="J596" i="20"/>
  <c r="J599" i="20"/>
  <c r="J602" i="20"/>
  <c r="J605" i="20"/>
  <c r="J608" i="20"/>
  <c r="J610" i="20"/>
  <c r="J613" i="20"/>
  <c r="I618" i="20"/>
  <c r="J618" i="20" s="1"/>
  <c r="J624" i="20" s="1"/>
  <c r="J620" i="20"/>
  <c r="J621" i="20"/>
  <c r="J622" i="20"/>
  <c r="E627" i="20"/>
  <c r="J627" i="20"/>
  <c r="J628" i="20"/>
  <c r="J629" i="20"/>
  <c r="J632" i="20"/>
  <c r="J634" i="20"/>
  <c r="J635" i="20"/>
  <c r="J636" i="20"/>
  <c r="J638" i="20"/>
  <c r="J640" i="20"/>
  <c r="J642" i="20"/>
  <c r="J643" i="20"/>
  <c r="J644" i="20"/>
  <c r="J646" i="20"/>
  <c r="J648" i="20"/>
  <c r="J650" i="20"/>
  <c r="J651" i="20"/>
  <c r="J652" i="20"/>
  <c r="J654" i="20"/>
  <c r="J656" i="20"/>
  <c r="J658" i="20"/>
  <c r="J659" i="20"/>
  <c r="J660" i="20"/>
  <c r="J661" i="20"/>
  <c r="J662" i="20"/>
  <c r="J664" i="20"/>
  <c r="J666" i="20"/>
  <c r="J668" i="20"/>
  <c r="J669" i="20"/>
  <c r="J670" i="20"/>
  <c r="J672" i="20"/>
  <c r="J680" i="20"/>
  <c r="H681" i="20"/>
  <c r="J681" i="20" s="1"/>
  <c r="J689" i="20"/>
  <c r="J690" i="20"/>
  <c r="F691" i="20"/>
  <c r="J691" i="20" s="1"/>
  <c r="F692" i="20"/>
  <c r="J692" i="20"/>
  <c r="F693" i="20"/>
  <c r="J693" i="20"/>
  <c r="J719" i="20"/>
  <c r="J720" i="20" s="1"/>
  <c r="J722" i="20"/>
  <c r="J723" i="20"/>
  <c r="J725" i="20"/>
  <c r="J728" i="20"/>
  <c r="J732" i="20"/>
  <c r="J735" i="20"/>
  <c r="J738" i="20"/>
  <c r="J740" i="20"/>
  <c r="J743" i="20"/>
  <c r="J745" i="20"/>
  <c r="J746" i="20"/>
  <c r="J749" i="20"/>
  <c r="J752" i="20"/>
  <c r="J770" i="20"/>
  <c r="J774" i="20"/>
  <c r="J775" i="20"/>
  <c r="J779" i="20"/>
  <c r="J782" i="20"/>
  <c r="J785" i="20"/>
  <c r="J788" i="20"/>
  <c r="J791" i="20"/>
  <c r="J794" i="20"/>
  <c r="J803" i="20"/>
  <c r="J804" i="20"/>
  <c r="J805" i="20"/>
  <c r="J808" i="20"/>
  <c r="J813" i="20"/>
  <c r="J817" i="20"/>
  <c r="J821" i="20"/>
  <c r="M835" i="20"/>
  <c r="J836" i="20"/>
  <c r="J840" i="20" s="1"/>
  <c r="M836" i="20"/>
  <c r="J837" i="20"/>
  <c r="J838" i="20"/>
  <c r="M838" i="20"/>
  <c r="J839" i="20"/>
  <c r="M839" i="20"/>
  <c r="J848" i="20"/>
  <c r="J849" i="20"/>
  <c r="J850" i="20"/>
  <c r="J851" i="20"/>
  <c r="J857" i="20"/>
  <c r="J858" i="20"/>
  <c r="J859" i="20"/>
  <c r="J860" i="20"/>
  <c r="J861" i="20"/>
  <c r="J870" i="20"/>
  <c r="J871" i="20"/>
  <c r="J872" i="20"/>
  <c r="F873" i="20"/>
  <c r="J873" i="20"/>
  <c r="F874" i="20"/>
  <c r="J874" i="20" s="1"/>
  <c r="J885" i="20"/>
  <c r="J886" i="20"/>
  <c r="J892" i="20"/>
  <c r="J894" i="20" s="1"/>
  <c r="J897" i="20"/>
  <c r="J899" i="20" s="1"/>
  <c r="J898" i="20"/>
  <c r="J901" i="20"/>
  <c r="J902" i="20"/>
  <c r="J905" i="20"/>
  <c r="J906" i="20"/>
  <c r="J910" i="20"/>
  <c r="J911" i="20"/>
  <c r="J912" i="20"/>
  <c r="J913" i="20"/>
  <c r="J914" i="20" s="1"/>
  <c r="J917" i="20"/>
  <c r="J920" i="20" s="1"/>
  <c r="J918" i="20"/>
  <c r="J924" i="20"/>
  <c r="J926" i="20" s="1"/>
  <c r="J925" i="20"/>
  <c r="J929" i="20"/>
  <c r="J930" i="20" s="1"/>
  <c r="J935" i="20"/>
  <c r="J938" i="20"/>
  <c r="M30" i="12"/>
  <c r="N30" i="12" s="1"/>
  <c r="J965" i="20"/>
  <c r="J967" i="20"/>
  <c r="M32" i="12"/>
  <c r="N32" i="12" s="1"/>
  <c r="M33" i="12"/>
  <c r="N33" i="12" s="1"/>
  <c r="M34" i="12"/>
  <c r="N34" i="12" s="1"/>
  <c r="M35" i="12"/>
  <c r="N35" i="12" s="1"/>
  <c r="M36" i="12"/>
  <c r="N36" i="12" s="1"/>
  <c r="M37" i="12"/>
  <c r="N37" i="12" s="1"/>
  <c r="M38" i="12"/>
  <c r="N38" i="12" s="1"/>
  <c r="M39" i="12"/>
  <c r="N39" i="12" s="1"/>
  <c r="M40" i="12"/>
  <c r="N40" i="12" s="1"/>
  <c r="M41" i="12"/>
  <c r="N41" i="12" s="1"/>
  <c r="J493" i="19"/>
  <c r="J494" i="19" s="1"/>
  <c r="J401" i="19"/>
  <c r="J402" i="19" s="1"/>
  <c r="L245" i="19"/>
  <c r="L247" i="19"/>
  <c r="J79" i="19"/>
  <c r="J45" i="19" s="1"/>
  <c r="J26" i="19"/>
  <c r="J907" i="20"/>
  <c r="J98" i="20"/>
  <c r="J241" i="20"/>
  <c r="J806" i="20"/>
  <c r="J324" i="20"/>
  <c r="L334" i="20"/>
  <c r="L336" i="20"/>
  <c r="J852" i="20"/>
  <c r="J853" i="20" s="1"/>
  <c r="J862" i="20"/>
  <c r="J108" i="20"/>
  <c r="F109" i="20"/>
  <c r="J109" i="20" s="1"/>
  <c r="J110" i="20" s="1"/>
  <c r="J239" i="20"/>
  <c r="M29" i="12"/>
  <c r="N29" i="12" s="1"/>
  <c r="L44" i="28"/>
  <c r="L23" i="28"/>
  <c r="F263" i="20" l="1"/>
  <c r="I263" i="20" s="1"/>
  <c r="J53" i="20"/>
  <c r="P22" i="28"/>
  <c r="O46" i="28"/>
  <c r="J678" i="20"/>
  <c r="J679" i="20" s="1"/>
  <c r="J242" i="19"/>
  <c r="J243" i="19" s="1"/>
  <c r="F282" i="19" s="1"/>
  <c r="J282" i="19" s="1"/>
  <c r="J284" i="19" s="1"/>
  <c r="J285" i="19" s="1"/>
  <c r="F189" i="19"/>
  <c r="I189" i="19" s="1"/>
  <c r="J47" i="19"/>
  <c r="J584" i="20"/>
  <c r="J582" i="20"/>
  <c r="J46" i="19"/>
  <c r="F188" i="19"/>
  <c r="I188" i="19" s="1"/>
  <c r="I194" i="19" s="1"/>
  <c r="J195" i="19" s="1"/>
  <c r="J196" i="19" s="1"/>
  <c r="F277" i="20"/>
  <c r="I277" i="20" s="1"/>
  <c r="J280" i="20" s="1"/>
  <c r="J281" i="20" s="1"/>
  <c r="J419" i="20"/>
  <c r="J420" i="20" s="1"/>
  <c r="F424" i="20" s="1"/>
  <c r="J424" i="20" s="1"/>
  <c r="J331" i="20"/>
  <c r="J332" i="20" s="1"/>
  <c r="F423" i="20" s="1"/>
  <c r="J423" i="20" s="1"/>
  <c r="J425" i="20" s="1"/>
  <c r="J426" i="20" s="1"/>
  <c r="J292" i="20"/>
  <c r="J34" i="19"/>
  <c r="J35" i="19" s="1"/>
  <c r="J44" i="19"/>
  <c r="J49" i="19" s="1"/>
  <c r="J50" i="19" s="1"/>
  <c r="J673" i="20"/>
  <c r="J567" i="20"/>
  <c r="J568" i="20" s="1"/>
  <c r="J93" i="20"/>
  <c r="J52" i="20"/>
  <c r="J278" i="19"/>
  <c r="J279" i="19" s="1"/>
  <c r="F283" i="19" s="1"/>
  <c r="J283" i="19" s="1"/>
  <c r="F202" i="19"/>
  <c r="I202" i="19" s="1"/>
  <c r="J205" i="19" s="1"/>
  <c r="J206" i="19" s="1"/>
  <c r="J641" i="19"/>
  <c r="G622" i="19" s="1"/>
  <c r="J622" i="19" s="1"/>
  <c r="J624" i="19" s="1"/>
  <c r="J625" i="19" s="1"/>
  <c r="F355" i="19"/>
  <c r="J355" i="19" s="1"/>
  <c r="J356" i="19" s="1"/>
  <c r="G627" i="19"/>
  <c r="J682" i="20"/>
  <c r="J700" i="20" s="1"/>
  <c r="J694" i="20"/>
  <c r="J243" i="20"/>
  <c r="J244" i="20" s="1"/>
  <c r="J219" i="20"/>
  <c r="J220" i="20" s="1"/>
  <c r="J56" i="20"/>
  <c r="J57" i="20" s="1"/>
  <c r="J427" i="19"/>
  <c r="J429" i="19"/>
  <c r="J841" i="20"/>
  <c r="G826" i="20" s="1"/>
  <c r="J826" i="20" s="1"/>
  <c r="J828" i="20" s="1"/>
  <c r="J829" i="20" s="1"/>
  <c r="G831" i="20"/>
  <c r="J831" i="20" s="1"/>
  <c r="J832" i="20" s="1"/>
  <c r="F511" i="20"/>
  <c r="J511" i="20" s="1"/>
  <c r="J512" i="20" s="1"/>
  <c r="J489" i="19"/>
  <c r="J490" i="19" s="1"/>
  <c r="J480" i="19"/>
  <c r="J875" i="20"/>
  <c r="J876" i="20" s="1"/>
  <c r="J149" i="19"/>
  <c r="J150" i="19" s="1"/>
  <c r="J497" i="19"/>
  <c r="J498" i="19" s="1"/>
  <c r="J80" i="19"/>
  <c r="F265" i="20"/>
  <c r="I265" i="20" s="1"/>
  <c r="J54" i="20"/>
  <c r="O30" i="37"/>
  <c r="D15" i="30"/>
  <c r="P45" i="28"/>
  <c r="Q45" i="28" s="1"/>
  <c r="P40" i="28"/>
  <c r="Q40" i="28" s="1"/>
  <c r="Q41" i="28"/>
  <c r="Q24" i="28"/>
  <c r="Q39" i="28"/>
  <c r="Q23" i="28"/>
  <c r="Q38" i="28"/>
  <c r="Q44" i="28"/>
  <c r="Q34" i="28"/>
  <c r="Q22" i="28"/>
  <c r="Q30" i="28"/>
  <c r="M26" i="12"/>
  <c r="N26" i="12" s="1"/>
  <c r="M25" i="12"/>
  <c r="N25" i="12" s="1"/>
  <c r="M27" i="12"/>
  <c r="N27" i="12" s="1"/>
  <c r="M24" i="12"/>
  <c r="N24" i="12" s="1"/>
  <c r="M23" i="12"/>
  <c r="N23" i="12" s="1"/>
  <c r="M21" i="12"/>
  <c r="N21" i="12" s="1"/>
  <c r="M20" i="12"/>
  <c r="N20" i="12" s="1"/>
  <c r="J695" i="20" l="1"/>
  <c r="J704" i="20"/>
  <c r="J705" i="20" s="1"/>
  <c r="J708" i="20"/>
  <c r="J701" i="20"/>
  <c r="P46" i="28"/>
  <c r="P48" i="28" s="1"/>
  <c r="I269" i="20"/>
  <c r="J270" i="20" s="1"/>
  <c r="J271" i="20" s="1"/>
  <c r="O48" i="28"/>
  <c r="O49" i="28" s="1"/>
  <c r="D18" i="31" s="1"/>
  <c r="N42" i="12"/>
  <c r="D12" i="30" s="1"/>
  <c r="M42" i="12"/>
  <c r="D14" i="31" s="1"/>
  <c r="J709" i="20" l="1"/>
  <c r="J712" i="20"/>
  <c r="J713" i="20" s="1"/>
  <c r="Q46" i="28"/>
  <c r="P50" i="28"/>
  <c r="D14" i="30" s="1"/>
  <c r="D16" i="30" s="1"/>
  <c r="D22" i="31"/>
  <c r="D24" i="31" l="1"/>
  <c r="D26" i="31" s="1"/>
</calcChain>
</file>

<file path=xl/sharedStrings.xml><?xml version="1.0" encoding="utf-8"?>
<sst xmlns="http://schemas.openxmlformats.org/spreadsheetml/2006/main" count="4307" uniqueCount="1492">
  <si>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</si>
  <si>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</si>
  <si>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</si>
  <si>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</si>
  <si>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</si>
  <si>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</si>
  <si>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</si>
  <si>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</si>
  <si>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</si>
  <si>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</si>
  <si>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</si>
  <si>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</si>
  <si>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</si>
  <si>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</si>
  <si>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Activity Header / Substation Name</t>
  </si>
  <si>
    <t>Service Code</t>
  </si>
  <si>
    <t>SAC</t>
  </si>
  <si>
    <t>Whether SAC in column ‘3’ is confirmed. If not  indicate applicable the SAC #</t>
  </si>
  <si>
    <t>Rate of GST applicable 
( in %)</t>
  </si>
  <si>
    <t>Unit</t>
  </si>
  <si>
    <t>Total Qty.</t>
  </si>
  <si>
    <t>Unit Erection Charges</t>
  </si>
  <si>
    <t>Deduction  of GST factor considered in DSR</t>
  </si>
  <si>
    <t>Unit Erection Charges excluding GST</t>
  </si>
  <si>
    <t>Total Erection Charges excl GST</t>
  </si>
  <si>
    <t>Total Tax GST @ 18%</t>
  </si>
  <si>
    <t>Total Erection Charges incl. GST</t>
  </si>
  <si>
    <t>(Service Accounting Codes)</t>
  </si>
  <si>
    <t>14=10x13</t>
  </si>
  <si>
    <t>PART -A : Schedule Items as per DSR 2023 (Civil works)</t>
  </si>
  <si>
    <t>1</t>
  </si>
  <si>
    <t>1.1</t>
  </si>
  <si>
    <t>Carriage of materials by mechanical transport including loading, unloading and stacking</t>
  </si>
  <si>
    <t>CuM</t>
  </si>
  <si>
    <t>1.1.2</t>
  </si>
  <si>
    <t>EARTH  upto 1.00  km.</t>
  </si>
  <si>
    <t>2</t>
  </si>
  <si>
    <t>2.6</t>
  </si>
  <si>
    <t>2.6.1</t>
  </si>
  <si>
    <t>All kind of soil</t>
  </si>
  <si>
    <t>3</t>
  </si>
  <si>
    <t>2.8</t>
  </si>
  <si>
    <t>2.8.1</t>
  </si>
  <si>
    <t>4</t>
  </si>
  <si>
    <t>2.10</t>
  </si>
  <si>
    <t xml:space="preserve">Excavating trenches of required width for pipes, cables, etc including excavation for sockets, and dressing of sides, ramming of bottoms, depth upto 1.5 m including getting out the excavated soil, and then returning the soil as required, in layers not exceeding 20 cms in depth including consolidating each deposited layer by ramming, watering etc and disposing of the suplus excavated soil as directed, within a lead of 50m: </t>
  </si>
  <si>
    <t>2.10.1.2</t>
  </si>
  <si>
    <t>Pipes, cables etc exceeding 80 mm dia but not exceeding  300mm dia</t>
  </si>
  <si>
    <t>5</t>
  </si>
  <si>
    <t>2.25</t>
  </si>
  <si>
    <t>Filling available excavated earth (excluding rock) in trenches, plinth, sides, of the foundation etc. in layers not exceeding 20 cms in depth, consolidating each deposited layer by ramming and watering, lead upto 50 mtrs and lift upto 1.5 mtrs.</t>
  </si>
  <si>
    <t>6</t>
  </si>
  <si>
    <t>Extra for every additional lift of 1.5 m or part thereof in excavation/banking excavated or stacked materials.</t>
  </si>
  <si>
    <t>2.26.1</t>
  </si>
  <si>
    <t>All kinds of Soil</t>
  </si>
  <si>
    <t>7</t>
  </si>
  <si>
    <t>2.27</t>
  </si>
  <si>
    <t>Supplying and filling in plinth with sand under floors, including watering,
ramming, consolidating and dressing complete.</t>
  </si>
  <si>
    <t>8</t>
  </si>
  <si>
    <t>4.1</t>
  </si>
  <si>
    <t>Providing and laying in position cement concrete of specified grade excluding the cost of centring and shuttering : All works upto plinth level.</t>
  </si>
  <si>
    <t>4.1.8</t>
  </si>
  <si>
    <t>9</t>
  </si>
  <si>
    <t>4.2</t>
  </si>
  <si>
    <t>4.2.3</t>
  </si>
  <si>
    <t>1:2:4 (1 Cement : 2 coarse sand : 4 graded stone aggregate 20mm nominal size)</t>
  </si>
  <si>
    <t>10</t>
  </si>
  <si>
    <t>4.3</t>
  </si>
  <si>
    <t>Centering and shuttering including strutting, propping etc. and removalof form work for :</t>
  </si>
  <si>
    <t>SqM</t>
  </si>
  <si>
    <t>4.3.1</t>
  </si>
  <si>
    <t>Foundations, footings, bases for columns</t>
  </si>
  <si>
    <t>Sqm</t>
  </si>
  <si>
    <t>11</t>
  </si>
  <si>
    <t>4.10</t>
  </si>
  <si>
    <t>Providing and laying damp-proof course 40 mm thick with cement concrete 1:2:4 (1 cement : 2 coarse sand : 4 graded stone aggregate 12.5 mm nominal size).</t>
  </si>
  <si>
    <t>12</t>
  </si>
  <si>
    <t>4.12</t>
  </si>
  <si>
    <t>13</t>
  </si>
  <si>
    <t>4.13</t>
  </si>
  <si>
    <t>14</t>
  </si>
  <si>
    <t>4.17</t>
  </si>
  <si>
    <t>5.9</t>
  </si>
  <si>
    <t xml:space="preserve">Centring and shuttering including strutting propping etc. and removal of form for : </t>
  </si>
  <si>
    <t>A</t>
  </si>
  <si>
    <t>5.9.1</t>
  </si>
  <si>
    <t>Foundations, footings, bases of columns etc. for mass concrete.</t>
  </si>
  <si>
    <t>B</t>
  </si>
  <si>
    <t>5.9.2</t>
  </si>
  <si>
    <t>C</t>
  </si>
  <si>
    <t>5.9.3</t>
  </si>
  <si>
    <t>Suspended floors, roofs, landings, balconies and access platform</t>
  </si>
  <si>
    <t>D</t>
  </si>
  <si>
    <t>5.9.5</t>
  </si>
  <si>
    <t>Lintels, beams, plinth beams, girders, bressumers &amp; cantilevers</t>
  </si>
  <si>
    <t>E</t>
  </si>
  <si>
    <t>5.9.6</t>
  </si>
  <si>
    <t>Columns, pillars, piers abutments posts &amp; struts</t>
  </si>
  <si>
    <t>5.9.7</t>
  </si>
  <si>
    <t>Stairs (excluding landings) except spiral staircases.</t>
  </si>
  <si>
    <t>5.9.13</t>
  </si>
  <si>
    <t>Vertical and horizontal fins individually or forming box louvers,bands,facias,and eaves boards.</t>
  </si>
  <si>
    <t>H</t>
  </si>
  <si>
    <t>5.9.15</t>
  </si>
  <si>
    <t>Small lintels not exceeding 1.5m clear span, moulding as in cornices, window sills, string courses, bands, copings, bed plates, anchor blocks and the like</t>
  </si>
  <si>
    <t>I</t>
  </si>
  <si>
    <t>5.9.19</t>
  </si>
  <si>
    <t>Weather shade, chajjas, corbels etc. including edges.</t>
  </si>
  <si>
    <t>16</t>
  </si>
  <si>
    <t>5.30</t>
  </si>
  <si>
    <t>Add for plaster drip course/ groove in plastered surface or moulding to R.C.C. projections.</t>
  </si>
  <si>
    <t>Metre</t>
  </si>
  <si>
    <t>5.33</t>
  </si>
  <si>
    <t>18</t>
  </si>
  <si>
    <t>5.35</t>
  </si>
  <si>
    <t>Add for using extra cement in the items of design mix over and above the specified cement content therein.</t>
  </si>
  <si>
    <t>19</t>
  </si>
  <si>
    <t>6.1</t>
  </si>
  <si>
    <t>Brick work with common burnt clay F .P .S. (non modular) bricks of class designation 7.5 in foundation and plinth in:</t>
  </si>
  <si>
    <t>6.1.2</t>
  </si>
  <si>
    <t>Cement mortar 1:6 (1 cement : 6 coarse sand)</t>
  </si>
  <si>
    <t>20</t>
  </si>
  <si>
    <t>6.4</t>
  </si>
  <si>
    <t>Brick work with common burnt clay F.P.S. (non modular) bricks of class designation 7.5 in superstructure above plinth level up to floor V level in all shapes and sizes in :</t>
  </si>
  <si>
    <t>6.4.2</t>
  </si>
  <si>
    <t>21</t>
  </si>
  <si>
    <t>Half brick masonry with common burnt clay F .P .S. (non modular) bricks of class designation 7.5 in superstructure above plinth level up to floor V level.</t>
  </si>
  <si>
    <t>6.13.2</t>
  </si>
  <si>
    <t>Cement mortar 1:4 (1 cement :4 coarse sand)</t>
  </si>
  <si>
    <t>22</t>
  </si>
  <si>
    <t>6.15</t>
  </si>
  <si>
    <t>25</t>
  </si>
  <si>
    <t>8.2</t>
  </si>
  <si>
    <t>8.2.1</t>
  </si>
  <si>
    <t>Rajnagar plain White marble/Udaipur green marble/Zebra black marble</t>
  </si>
  <si>
    <t>(i)</t>
  </si>
  <si>
    <t>8.2.1.1</t>
  </si>
  <si>
    <t>Area of slab upto 0.50 sqm</t>
  </si>
  <si>
    <t>(ii)</t>
  </si>
  <si>
    <t>8.2.1.2</t>
  </si>
  <si>
    <t>Area of slab over 0.50 sqm</t>
  </si>
  <si>
    <t>8.2.2</t>
  </si>
  <si>
    <t>Granite of any colour and shade</t>
  </si>
  <si>
    <t>8.2.2.1</t>
  </si>
  <si>
    <t>8.2.2.2</t>
  </si>
  <si>
    <t>Extra for fixing marble /granite stone, over and above corresponding basic,item, in facia and drops of width upto 150 mm with epoxy resin based adhesive, including cleaning etc. complete.</t>
  </si>
  <si>
    <t>27</t>
  </si>
  <si>
    <t xml:space="preserve">Extra for providing opening of required size &amp; shape for wash basin/  kitchen sink in kitchen platform, vanity counter and similar location in   marble/Granite/stone work, including necessary holes for pillar taps    etc. including moulding, rubbing and polishing of cut edges etc. complete.                                                                         </t>
  </si>
  <si>
    <t xml:space="preserve">Each </t>
  </si>
  <si>
    <t>9.20</t>
  </si>
  <si>
    <t>9.20.1</t>
  </si>
  <si>
    <t>29</t>
  </si>
  <si>
    <t>9.22</t>
  </si>
  <si>
    <t xml:space="preserve">Extra for Providing and fixing flush doors with decorative veneering instead of non decorative ISI marked flush door shutters conforming to IS: 2202
(Part I) </t>
  </si>
  <si>
    <t>9.22.1</t>
  </si>
  <si>
    <t>On one side only</t>
  </si>
  <si>
    <t>Providing and fixing wire gauge laminated veneer lumber shutters conforming to IS : 14616, and as per TADS 15 :2001 (Part B) using galvanised wire gauge with average width of aperture 1.4 mm in both directions with wire of dia 0.63 mm as per IS :1568, for doors, windows and clerestory windows, including ISI marked M.S. pressed butt hinges bright finished of required size with necessary screws, as per directions of Engineer-in-charge:</t>
  </si>
  <si>
    <t>9.31.2</t>
  </si>
  <si>
    <t>30 mm thick shutters</t>
  </si>
  <si>
    <t>31</t>
  </si>
  <si>
    <t>9.46</t>
  </si>
  <si>
    <t>Providning and fixing curtain rods of 1.25 mm thick chromium plated brass plate,with two chromium plated brass brackets fixed with C.P. brass screws and wooden plugs etc, wherever necessary complete:</t>
  </si>
  <si>
    <t>9.46.3</t>
  </si>
  <si>
    <t>25 mm dia.</t>
  </si>
  <si>
    <t>32</t>
  </si>
  <si>
    <t>9.48</t>
  </si>
  <si>
    <t>Providing and fixing M.S. grills of required pattern in frames of windows etc. with M.S. flats, square or round bars etc. including priming coat with approved steel primer all complete.</t>
  </si>
  <si>
    <t>Kg</t>
  </si>
  <si>
    <t>9.48.2</t>
  </si>
  <si>
    <t>Fixed to openings/wooden frames with rawl plugs &amp; screws etc.</t>
  </si>
  <si>
    <t>33</t>
  </si>
  <si>
    <t>Each</t>
  </si>
  <si>
    <t>34</t>
  </si>
  <si>
    <t>36</t>
  </si>
  <si>
    <t>37</t>
  </si>
  <si>
    <t>38</t>
  </si>
  <si>
    <t>39</t>
  </si>
  <si>
    <t>40</t>
  </si>
  <si>
    <t>41</t>
  </si>
  <si>
    <t>42</t>
  </si>
  <si>
    <t>43</t>
  </si>
  <si>
    <t>9.119</t>
  </si>
  <si>
    <t>Providing and fixing factory made P.V.C. door frame of size 50x47 mm with a wall thickness of 5 mm, made out of extruded 5mm rigid PVC foam sheet, mitred at corners and joined with 2 Nos of 150 mm long brackets of 15x15 mm M.S. square tube, the vertical door frame profiles to be reinforced with 19x19 mm M.S. square tube of 19 gauge, EPDM rubber gasket weather seal to be provided through out the frame. The door frame to be fixed to the wall using M.S. screws of 65/100 mm size, complete as per manufacturer’s specification and direction of Engineer-in-Charge.</t>
  </si>
  <si>
    <t>44</t>
  </si>
  <si>
    <t>9.124</t>
  </si>
  <si>
    <t>9.124.2</t>
  </si>
  <si>
    <t>45</t>
  </si>
  <si>
    <t>46</t>
  </si>
  <si>
    <t>9.134.1.2.1</t>
  </si>
  <si>
    <t>47</t>
  </si>
  <si>
    <t>50</t>
  </si>
  <si>
    <t>48</t>
  </si>
  <si>
    <t>10.18</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</si>
  <si>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</si>
  <si>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49</t>
  </si>
  <si>
    <t>10.28</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</si>
  <si>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</si>
  <si>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Kgs.</t>
  </si>
  <si>
    <t>51</t>
  </si>
  <si>
    <t>Marble stone flooring with 18 mm thick marble stone, as per sample of marble approved by Engineer-in-charge, over 20 mm (average) thick base of cement mortar 1:4 (1 cement : 4 coarse sand) laid and jointed with grey cement slurry, including rubbing and polishing complete with :</t>
  </si>
  <si>
    <t>11.23.5</t>
  </si>
  <si>
    <t>Udaipur green marble</t>
  </si>
  <si>
    <t>52</t>
  </si>
  <si>
    <t>11.24</t>
  </si>
  <si>
    <t>Extra for pre finished nosing to treads of steps of marble stone.</t>
  </si>
  <si>
    <t>53</t>
  </si>
  <si>
    <t>11.25</t>
  </si>
  <si>
    <t>54</t>
  </si>
  <si>
    <t>8.31</t>
  </si>
  <si>
    <t>55</t>
  </si>
  <si>
    <t>11.39</t>
  </si>
  <si>
    <t>56</t>
  </si>
  <si>
    <t>11.41</t>
  </si>
  <si>
    <t>Providing and laying vitrified floor tiles in different sizes(thickness to be specified by the manufacturer) with water absorption less than 0.08% and conforming to IS:15622 of approved make in all colours and shades,laid on 20 mm thick cement mortar 1:4(1 cement: 4 coarse sand) including grouting the joints with white cement and matching pigments etc. complete.</t>
  </si>
  <si>
    <t>11.41.2</t>
  </si>
  <si>
    <t>Size of tile 600 X 600 mm</t>
  </si>
  <si>
    <t>57</t>
  </si>
  <si>
    <t>11.48</t>
  </si>
  <si>
    <t>Grouting the joints of flooring tiles having joints of 3 mm width, using epoxy grout mix of 0.70 kg of organic coated filler of desired shade (0.10 kg of hardener and 0.20 kg of resin per kg), including filling /grouting and finishing complete as per direction of Engineer-in-charge.</t>
  </si>
  <si>
    <t>11.48.2</t>
  </si>
  <si>
    <t>Size of Tile 600x600 mm</t>
  </si>
  <si>
    <t>58</t>
  </si>
  <si>
    <t>59</t>
  </si>
  <si>
    <t>12.22</t>
  </si>
  <si>
    <t>Making khurras 45 x 45 cm with average minimum thickness of 5cm cement concrete 1:2:4 (1 cement : 2 coarse sand: 4 graded stone aggregate of 20 mm nominal size) over PVC sheet 1mx1mx400 micron, finished with 12 mm cement plaster 1:3 (1 cement : 3 coarse sand) and a coat of neat cement rounding the edges and making and finishing the outlet complete.</t>
  </si>
  <si>
    <t>12.41.2</t>
  </si>
  <si>
    <t>110 mm diameter</t>
  </si>
  <si>
    <t>61</t>
  </si>
  <si>
    <t>Providing and fixing on wall face unplasticised - PVC moulded fittings/accessories for unplasticised - Rigid PVC rain water pipes conforming to IS: 13592 Type A including jointing with seal ring conforming to IS : 5382 leaving 10 mm gap for thermal expansion.</t>
  </si>
  <si>
    <t>12.42.1</t>
  </si>
  <si>
    <t>Coupler</t>
  </si>
  <si>
    <t>12.42.1.2</t>
  </si>
  <si>
    <t>110 mm</t>
  </si>
  <si>
    <t>12.42.3</t>
  </si>
  <si>
    <t>Single Tee with door</t>
  </si>
  <si>
    <t>12.42.3.2</t>
  </si>
  <si>
    <t>110 X 110 X 110 mm</t>
  </si>
  <si>
    <t>12.42.5</t>
  </si>
  <si>
    <t>Bend 87.5</t>
  </si>
  <si>
    <t>12.42.5.2</t>
  </si>
  <si>
    <t>110 mm bend</t>
  </si>
  <si>
    <t>12.42.6</t>
  </si>
  <si>
    <t>Shoe (Plain)</t>
  </si>
  <si>
    <t>12.42.6.2</t>
  </si>
  <si>
    <t>110 mm shoe</t>
  </si>
  <si>
    <t>62</t>
  </si>
  <si>
    <t>Providing and fixing unplasticised -PVC pipe clips of approved design to unplasticised -PVC rain water pipes by means of 50x50x50mm hard wood plugs, screwed with M.S. screws of required length including cutting brick work and fixing in cement mortar 1:4 (1 cement : 4 coarse sand) and making good the wall etc. complete.</t>
  </si>
  <si>
    <t>12.43.2</t>
  </si>
  <si>
    <t>63</t>
  </si>
  <si>
    <t>Providing and fixing to the inlet mouth of rain water pipe cast iron grating 15 cm diametre and weighing not less than 440 grams.</t>
  </si>
  <si>
    <t>64</t>
  </si>
  <si>
    <t>13.4</t>
  </si>
  <si>
    <t>13.4.2</t>
  </si>
  <si>
    <t>1:6 (1 cement : 6 coarse sand).</t>
  </si>
  <si>
    <t>65</t>
  </si>
  <si>
    <t>13.5</t>
  </si>
  <si>
    <t>13.5.2</t>
  </si>
  <si>
    <t>1:6 ( 1 cement : 6 coarse sand)</t>
  </si>
  <si>
    <t>66</t>
  </si>
  <si>
    <t>13.9</t>
  </si>
  <si>
    <t>Cement plaster 1:3 ( 1cement : 3 coarse sand) finished with a floating coat of neat cement :</t>
  </si>
  <si>
    <t>13.9.1</t>
  </si>
  <si>
    <t>12 mm cement plaster</t>
  </si>
  <si>
    <t>13.11</t>
  </si>
  <si>
    <t>67</t>
  </si>
  <si>
    <t>68</t>
  </si>
  <si>
    <t>13.24</t>
  </si>
  <si>
    <t>Extra for plastering done on moulding cornices or architraves including neat finish to line and level:</t>
  </si>
  <si>
    <t>13.24.1</t>
  </si>
  <si>
    <t>69</t>
  </si>
  <si>
    <t>13.80</t>
  </si>
  <si>
    <t>70</t>
  </si>
  <si>
    <t>13.47</t>
  </si>
  <si>
    <t>Finishing walls with Premium Acrylic Smooth exterior paint with Silicone additives of required shade:</t>
  </si>
  <si>
    <t>13.47.1</t>
  </si>
  <si>
    <t>71</t>
  </si>
  <si>
    <t>13.83</t>
  </si>
  <si>
    <t>Wall painting with premium acrylic emulsion paint of interior grade, having VOC (Volatile Organic Compound) content less than 50 grams/litre of approved brand and manufacture, including applying additional coats wherever required to achieve even shade and colour.</t>
  </si>
  <si>
    <t>13.83.2</t>
  </si>
  <si>
    <t>Two coats</t>
  </si>
  <si>
    <t>13.85</t>
  </si>
  <si>
    <t>Applying priming coats with primer of approved brand and manufacture, having low VOC (Volatile Organic Compound ) content.</t>
  </si>
  <si>
    <t>13.85.3</t>
  </si>
  <si>
    <t>With water thinnable cement primer on wall surface having VOC content less than 50 grams/litre</t>
  </si>
  <si>
    <t>73</t>
  </si>
  <si>
    <t>13.62.1</t>
  </si>
  <si>
    <t>74</t>
  </si>
  <si>
    <t>75</t>
  </si>
  <si>
    <t>76</t>
  </si>
  <si>
    <t>17.1</t>
  </si>
  <si>
    <t>Providing and fixing  water closet Squatting pan (Indian WC type) with 100 mm sand cast iron P or S trap, 10 litres low level white PVC flushing cistern including flush pipe  with manually controlled device (handle lever)  confirming to IS 7231 with all fittings  and fixtures  complete including,  cutting and making good the walls and floors wherever required.</t>
  </si>
  <si>
    <t>17.1.1</t>
  </si>
  <si>
    <t xml:space="preserve">White vitreous china Orissa pattern WC pan of size 580 mm x 440 mm with integral type foot rest, </t>
  </si>
  <si>
    <t>77</t>
  </si>
  <si>
    <t>17.7.1</t>
  </si>
  <si>
    <t>White Vitreous China Wash basin size 630x450 mm with a pair of 15 mm C.P. brass pillar taps</t>
  </si>
  <si>
    <t>78</t>
  </si>
  <si>
    <t>Providing and fixing stone slab with table rubbed, edges rounded and polished, of size 75x50 cm deep and 1.8 cm thick, fixed in urinal partitions by cutting a chase of appropriate width with chase cutter and embedding the stone in the chase with epoxy grout or with cement concrete 1:2:4 (1 cement : 2 coarse sand : 4 graded stone aggregate 6 mm nominal size) as per direction of Engineer-in-charge and finished smooth.</t>
  </si>
  <si>
    <t>sq.m</t>
  </si>
  <si>
    <t>8.10.2</t>
  </si>
  <si>
    <t>Granite Stone of approved shade</t>
  </si>
  <si>
    <t>79</t>
  </si>
  <si>
    <t>17.10</t>
  </si>
  <si>
    <t>Providing and fixing  stainless steel  A ISI 304(18/8) kitchen sink as per IS:13983 with CI brackets and stainless steel plug 40 mm, including  painting of fittings &amp; brackets cutting and making good the walls wherever required</t>
  </si>
  <si>
    <t>17.10.1</t>
  </si>
  <si>
    <t xml:space="preserve"> Kitchen sink with drain board</t>
  </si>
  <si>
    <t>17.10.1.4</t>
  </si>
  <si>
    <t>Size 510 x 1040 bowl depth 178 mm</t>
  </si>
  <si>
    <t>80</t>
  </si>
  <si>
    <t>81</t>
  </si>
  <si>
    <t>Providing and fixing PVC waste pipe for sink or wash basin including PVC waste fittings complete</t>
  </si>
  <si>
    <t>17.28.1</t>
  </si>
  <si>
    <t>17.28.1.2</t>
  </si>
  <si>
    <t>83</t>
  </si>
  <si>
    <t>Providing and fixing in position 25 mm diameter mosquito proof coupling of approved municipal design.</t>
  </si>
  <si>
    <t>84</t>
  </si>
  <si>
    <t>85</t>
  </si>
  <si>
    <t>17.70</t>
  </si>
  <si>
    <t>Providing and fixing PTMT Bottle Trap for Wash basin and sink</t>
  </si>
  <si>
    <t>17.70.2</t>
  </si>
  <si>
    <t>86</t>
  </si>
  <si>
    <t>17.31</t>
  </si>
  <si>
    <t>Providing and fixing 600x450 mm beveled edge mirror of superior glass (of approved quality) complete with 6 mm thick hard board ground fixed to wooden cleats with C.P. brass screws and washers complete.</t>
  </si>
  <si>
    <t>87</t>
  </si>
  <si>
    <t>88</t>
  </si>
  <si>
    <t>17.73</t>
  </si>
  <si>
    <t xml:space="preserve">Providing and fixing PTMT towel rail complete with brackets fixed to wooden cleats with CP brass screws with concealed fitting arrangement of approved qualityand  colour </t>
  </si>
  <si>
    <t>17.73.2</t>
  </si>
  <si>
    <t>600 mm long towel rail with total length of 645 mm, width 78 mm wide and effective height of 88 mm, weighing not less than 190 gms.</t>
  </si>
  <si>
    <t>89</t>
  </si>
  <si>
    <t>17.74</t>
  </si>
  <si>
    <t>Providing and fixing PTMT shelf 440 mm long, 124 mm width and 36 mm height of approved quality and colour, weighing not less than 300 gms.</t>
  </si>
  <si>
    <t>90</t>
  </si>
  <si>
    <t>17.78</t>
  </si>
  <si>
    <t>Providing and fixing white vitreous china extended wall mounting water closet of size 780x370x690 mm of approved shape including providing &amp; fixing white vitreous china cistern with dual flush fitting, of flushing capacity 3 litre/ 6 litre (adjustable to 4 litre/ 8 litres), including seat cover , and cistern fittings, nuts, bolts and gasket etc complete.</t>
  </si>
  <si>
    <t>91</t>
  </si>
  <si>
    <t>17.34</t>
  </si>
  <si>
    <t>Providing and fixing toilet paper holder :</t>
  </si>
  <si>
    <t>17.34.1</t>
  </si>
  <si>
    <t>C.P. brass</t>
  </si>
  <si>
    <t>92</t>
  </si>
  <si>
    <t>17.69</t>
  </si>
  <si>
    <t>Providing and fixing PTMT Waste Coupling for wash basin and sink,of approved quality and colour.</t>
  </si>
  <si>
    <t>17.69.2</t>
  </si>
  <si>
    <t>Waste coupling 38 mm dia of 83 mm length and 77mm breadth, weighing not less than 60 gms</t>
  </si>
  <si>
    <t>93</t>
  </si>
  <si>
    <t>94</t>
  </si>
  <si>
    <t>18.7</t>
  </si>
  <si>
    <t>a</t>
  </si>
  <si>
    <t>18.7.2</t>
  </si>
  <si>
    <t>20 mm nominal outer dia Pipes</t>
  </si>
  <si>
    <t>b</t>
  </si>
  <si>
    <t>18.7.4</t>
  </si>
  <si>
    <t>32 mm nominal dia Pipes</t>
  </si>
  <si>
    <t>c</t>
  </si>
  <si>
    <t>18.7.5</t>
  </si>
  <si>
    <t>40 mm nominal dia Pipes</t>
  </si>
  <si>
    <t>95</t>
  </si>
  <si>
    <t>18.8</t>
  </si>
  <si>
    <t>18.8.1</t>
  </si>
  <si>
    <t>15 mm nominal outer dia Pipes</t>
  </si>
  <si>
    <t>18.8.2</t>
  </si>
  <si>
    <t>96</t>
  </si>
  <si>
    <t>18.17</t>
  </si>
  <si>
    <t>Providing and fixing gun metal gate valve with CI wheel of approved quality (screwed end)</t>
  </si>
  <si>
    <t>18.17.1</t>
  </si>
  <si>
    <t>25 mm nominal bore</t>
  </si>
  <si>
    <t>18.17.2</t>
  </si>
  <si>
    <t>32 mm nominal bore.</t>
  </si>
  <si>
    <t>97</t>
  </si>
  <si>
    <t>18.18</t>
  </si>
  <si>
    <t>Providing and fixing ball valve (brass) of approved quality High or low pressure with plastic floats complete.</t>
  </si>
  <si>
    <t>18.18.3</t>
  </si>
  <si>
    <t>98</t>
  </si>
  <si>
    <t>18.19</t>
  </si>
  <si>
    <t>18.19.3</t>
  </si>
  <si>
    <t>40 mm nominal bore</t>
  </si>
  <si>
    <t>18.19.3.1</t>
  </si>
  <si>
    <t xml:space="preserve">Horizontal </t>
  </si>
  <si>
    <t>18.19.3.2</t>
  </si>
  <si>
    <t>Vertical</t>
  </si>
  <si>
    <t>18.21</t>
  </si>
  <si>
    <t>Providing and fixing uplasticised PVC connection pipe with brass unions :</t>
  </si>
  <si>
    <t>18.21.2</t>
  </si>
  <si>
    <t>45 cm length</t>
  </si>
  <si>
    <t>18.21.2.1</t>
  </si>
  <si>
    <t>15 mm nominal bore</t>
  </si>
  <si>
    <t>18.22</t>
  </si>
  <si>
    <t>18.22.1</t>
  </si>
  <si>
    <t>18.32</t>
  </si>
  <si>
    <t>Constructing masonry Chamber 30x30x50 cm inside, in brick work in cement mortar 1:4 (1 cement :4 coarse sand) for stop cock, with C. I. surface box 100x100 x75 mm (inside) with hinged cover fixed in cement concrete slab 1:2:4 mix (1 cement : 2 coarse sand : 4 graded stone aggregate 20 mm nominal size), i/c necessary excavation, foundation concrete 1:5:10 ( 1 cement : 5 fine sand : 10 graded stone aggregate 40mm nominal size ) and inside plastering with cement mortar 1:3 (1 cement : 3 coarse sand) 12mm thick, finished with a floating coat of neat cement complete as per standard design :</t>
  </si>
  <si>
    <t>18.32.1</t>
  </si>
  <si>
    <t>With common burnt clay F.P.S.(non modular) bricks of class designation 7.5</t>
  </si>
  <si>
    <t>18.48</t>
  </si>
  <si>
    <t>per litre</t>
  </si>
  <si>
    <t>18.49.1</t>
  </si>
  <si>
    <t>18.51.1</t>
  </si>
  <si>
    <t>18.52.1</t>
  </si>
  <si>
    <t>18.53.1</t>
  </si>
  <si>
    <t>18.58</t>
  </si>
  <si>
    <t>Providing and fixing PTMT grating of approved quality and colour</t>
  </si>
  <si>
    <t>18.58.2</t>
  </si>
  <si>
    <t>Rectangular tupe with openable circular lid</t>
  </si>
  <si>
    <t>18.58.2.1</t>
  </si>
  <si>
    <t>150 mm nominal size square 100mm diametre of the inner hinged round grating</t>
  </si>
  <si>
    <t>18.65</t>
  </si>
  <si>
    <t>Providing and fixing PTMT soap Dish Holder having length of 138mm, breadth 102mm, height of 75mm with concealed fitting arrangements, weighing not less than 106 gms.</t>
  </si>
  <si>
    <t>19.4</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</si>
  <si>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 :</t>
  </si>
  <si>
    <t>19.4.3</t>
  </si>
  <si>
    <t>180x150 mm size P type</t>
  </si>
  <si>
    <t>19.7</t>
  </si>
  <si>
    <t>19.7.1</t>
  </si>
  <si>
    <t>Inside size 90 x 80 cm and 45 cm deep including CI cover with frame (light duty) 455 x 610 mm internal dimensions total wt. of cover and frame to be not less than 38 kg. (wt. of the cover 23 kg and wt. of the frame 15 kg.)</t>
  </si>
  <si>
    <t>19.8</t>
  </si>
  <si>
    <t>Extra for depth for manholes</t>
  </si>
  <si>
    <t>Meter</t>
  </si>
  <si>
    <t>19.8.1</t>
  </si>
  <si>
    <t>Size 90 x 80 cm</t>
  </si>
  <si>
    <t>19.8.1.1</t>
  </si>
  <si>
    <t>21.1</t>
  </si>
  <si>
    <t>21.1.1</t>
  </si>
  <si>
    <t>For fixed portion</t>
  </si>
  <si>
    <t>Polyester powder coated aluminium (minimum thickness of polyester powder coating 50 micron)</t>
  </si>
  <si>
    <t>21.1.2</t>
  </si>
  <si>
    <t>For shutters of doors, windows &amp; ventilators including providing and fixing hinges/ pivots and making provision for fixing of fittings wherever required including the cost of EPDM rubber / neoprene gasket required (Fittings shall be paid for separately)</t>
  </si>
  <si>
    <t>21.1.2.3</t>
  </si>
  <si>
    <t>21.3</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</si>
  <si>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t>
  </si>
  <si>
    <t>21.3.2</t>
  </si>
  <si>
    <t>21.8</t>
  </si>
  <si>
    <t>Filling the gap in between aluminium frame and adjacent RCC/Brick/Stone work by providing weather silicon sealant over backer rod of approved quality as per architectural drawings and direction of Engineer-in Charge complete.</t>
  </si>
  <si>
    <t>21.8.1</t>
  </si>
  <si>
    <t>Up to 5mm depth and 5mm width</t>
  </si>
  <si>
    <t>21.15</t>
  </si>
  <si>
    <t xml:space="preserve">Providing and fixing aluminium casement windows fastener of required length for aluminium windows with necessary screws etc. complete. </t>
  </si>
  <si>
    <t>21.15.3</t>
  </si>
  <si>
    <t>Polyester powder coated minimum thickness 50 micron aluminium</t>
  </si>
  <si>
    <t>(b)Laying brick bats with mortar using broken bricks/brick bats 25mm to 1115 mm size with 50% of cement mortar 1:5 (1 cement : 5 coarse sand) admixed with water proofing compound conforming to IS:2645 and approved by Engineer in charge over 20mm thick layer of cement mortar of mix 1:5 (1 cement : 5 coarse sand) admixed with water proofing compound conforming to IS:2645 and approved by Engineer in charge to required slope and treating similarly the adjoining walls upto 300mm height including rounding of the junctions of walls and slabs.</t>
  </si>
  <si>
    <t>(e) The whole terrace so finished shall be flooded with water for a minimum period of two weeks for curing and for final test. All above operations to be done in order &amp; as directed and specified by the Engineer-in-charge.</t>
  </si>
  <si>
    <t>22.7.1</t>
  </si>
  <si>
    <t>With average thickness of 120 mm and minimum thickness at Khurra as 65mm</t>
  </si>
  <si>
    <t>Total of Schedule Items as per DSR'23</t>
  </si>
  <si>
    <t>Add percentage (%) above/below +/- on DSR 2023 Rates (to be quoted by contractor)</t>
  </si>
  <si>
    <t>Add Amount above/below +/- on the amount for DSR Items as per quoted percentage</t>
  </si>
  <si>
    <t>Total of Schedule Items Part IIIA</t>
  </si>
  <si>
    <t>Total Tax</t>
  </si>
  <si>
    <t>Date:</t>
  </si>
  <si>
    <t>Name:</t>
  </si>
  <si>
    <t>Place:</t>
  </si>
  <si>
    <t>Designation:</t>
  </si>
  <si>
    <t>Activity Description</t>
  </si>
  <si>
    <t>Rate of GST applicable ( in %)</t>
  </si>
  <si>
    <t>Description</t>
  </si>
  <si>
    <t>Total Erection Charges</t>
  </si>
  <si>
    <t>Total Tax GST</t>
  </si>
  <si>
    <t>Part B: Non - Schedule Items (Civil works)</t>
  </si>
  <si>
    <t>Non-Schedule Item</t>
  </si>
  <si>
    <r>
      <rPr>
        <b/>
        <sz val="11"/>
        <rFont val="Cambria"/>
        <family val="1"/>
      </rPr>
      <t>NS-8</t>
    </r>
    <r>
      <rPr>
        <sz val="11"/>
        <rFont val="Cambria"/>
        <family val="1"/>
      </rPr>
      <t xml:space="preserve"> Forming groove of uniform size in the external plaster surface as per approved pattern using wooden battens, nailed to the under layer, including removal of wooden battens, repair to the edges of panels and finishing the groove complete as per specifications and direction of the Engineer-in-charge :</t>
    </r>
  </si>
  <si>
    <r>
      <rPr>
        <b/>
        <sz val="11"/>
        <rFont val="Cambria"/>
        <family val="1"/>
      </rPr>
      <t>NS-9</t>
    </r>
    <r>
      <rPr>
        <sz val="11"/>
        <rFont val="Cambria"/>
        <family val="1"/>
      </rPr>
      <t xml:space="preserve"> Providing and fixing C.P.  brass towel ring  of make  kohler cat no- 17528T-CP  or  Jaquar Continental: ACN-CHR-1121N or equivalent make  fixed  with   PVC cleats and brass screws including  cutting and making good the walls wherever required complete as directed by Engineer-in-charge.</t>
    </r>
  </si>
  <si>
    <r>
      <rPr>
        <b/>
        <sz val="11"/>
        <color indexed="8"/>
        <rFont val="Bookman Old Style"/>
        <family val="1"/>
      </rPr>
      <t>NS-10</t>
    </r>
    <r>
      <rPr>
        <sz val="11"/>
        <color indexed="8"/>
        <rFont val="Bookman Old Style"/>
        <family val="1"/>
      </rPr>
      <t xml:space="preserve">  Providing and Fixing Towel rack with single rail of make Jaquar -Cat No: AHS-CHR-1581 or ,kohler cat no- 17529T-CP or  equivalent as approved  with Rawl Plugs and brass screws complete as directed by Engineer-in-charge.</t>
    </r>
  </si>
  <si>
    <r>
      <rPr>
        <b/>
        <sz val="11"/>
        <color indexed="8"/>
        <rFont val="Bookman Old Style"/>
        <family val="1"/>
      </rPr>
      <t>NS-11</t>
    </r>
    <r>
      <rPr>
        <sz val="11"/>
        <color indexed="8"/>
        <rFont val="Bookman Old Style"/>
        <family val="1"/>
      </rPr>
      <t xml:space="preserve">  Providing and fixing liquid soap dispenser horizontal /vertical matt finish with simple push lever of make Jaquar ACN-CHR-1137N or Kohler cat K -10712D-CP or equivalent as approved including  cutting and making good the walls, wherever required complete as directed by Engineer-in-charge.</t>
    </r>
  </si>
  <si>
    <r>
      <rPr>
        <b/>
        <sz val="11"/>
        <color indexed="8"/>
        <rFont val="Bookman Old Style"/>
        <family val="1"/>
      </rPr>
      <t>NS-12</t>
    </r>
    <r>
      <rPr>
        <sz val="11"/>
        <color indexed="8"/>
        <rFont val="Bookman Old Style"/>
        <family val="1"/>
      </rPr>
      <t xml:space="preserve">  Providing and Fixing C.P. brass Central Hole  basin mixer without pop up waste system of make Jaquar Model: CON-CHR-167KNB or kohler cat no- 16027IN-4ND-CP or equivalent make as approved with 450mm long copper pipe and brass nuts including cutting and making good the walls wherever required complete as directed by Engineer-in-charge.  </t>
    </r>
  </si>
  <si>
    <r>
      <rPr>
        <b/>
        <sz val="11"/>
        <color indexed="8"/>
        <rFont val="Bookman Old Style"/>
        <family val="1"/>
      </rPr>
      <t xml:space="preserve">NS-13 </t>
    </r>
    <r>
      <rPr>
        <sz val="11"/>
        <color indexed="8"/>
        <rFont val="Bookman Old Style"/>
        <family val="1"/>
      </rPr>
      <t xml:space="preserve"> Providing and Fixing Over head Rose shower with revolving joint (with body rotation), 115 mm long shower arm of make Jaquar Cat No: OHS-CHR-1989 or kohler cat no- 16356IN-A-CP or  equivalent make as approved complete as directed by Engineer-in-charge </t>
    </r>
  </si>
  <si>
    <r>
      <rPr>
        <b/>
        <sz val="11"/>
        <color indexed="8"/>
        <rFont val="Bookman Old Style"/>
        <family val="1"/>
      </rPr>
      <t>NS-14</t>
    </r>
    <r>
      <rPr>
        <sz val="11"/>
        <color indexed="8"/>
        <rFont val="Bookman Old Style"/>
        <family val="1"/>
      </rPr>
      <t xml:space="preserve">  Providing and Fixing Soap dish of make Jaquar Continental ACN-CHR-1131 N or kohler cat no- 17524T-CP  or   equivalent make as approved with PVC / Wooden plugs and screws including making good the walls wherever required complete as directed by Engineer-in-charge.</t>
    </r>
  </si>
  <si>
    <r>
      <rPr>
        <b/>
        <sz val="11"/>
        <color indexed="8"/>
        <rFont val="Bookman Old Style"/>
        <family val="1"/>
      </rPr>
      <t xml:space="preserve">NS-15 </t>
    </r>
    <r>
      <rPr>
        <sz val="11"/>
        <color indexed="8"/>
        <rFont val="Bookman Old Style"/>
        <family val="1"/>
      </rPr>
      <t xml:space="preserve"> Providing and fixing 6mm thick Clear mirror with bevelled edge on the wall over 6mm thick polycorbonate sheet with ss screw / stud,  machine cut in required size, approved shade &amp; colour etc. complete with all respect at all levels as directed by Engineer-in-charge. (Sample of Mirror shall be got approved from Engineer-in-Charge).</t>
    </r>
  </si>
  <si>
    <r>
      <rPr>
        <b/>
        <sz val="11"/>
        <color indexed="8"/>
        <rFont val="Bookman Old Style"/>
        <family val="1"/>
      </rPr>
      <t>NS-16</t>
    </r>
    <r>
      <rPr>
        <sz val="11"/>
        <color indexed="8"/>
        <rFont val="Bookman Old Style"/>
        <family val="1"/>
      </rPr>
      <t xml:space="preserve">  Providing and Fixing 32mm CP Brass bottle trap complete with 250 mm long wall connecting pipe of Jaquar ALD-CHR-769 B or kohler cat no- 16407IN-CP or equivalent make as  approved  of size   including CP Wall flange complete as directed by Engineer-in-charge.</t>
    </r>
  </si>
  <si>
    <r>
      <rPr>
        <b/>
        <sz val="11"/>
        <color indexed="8"/>
        <rFont val="Bookman Old Style"/>
        <family val="1"/>
      </rPr>
      <t>NS-17</t>
    </r>
    <r>
      <rPr>
        <sz val="11"/>
        <color indexed="8"/>
        <rFont val="Bookman Old Style"/>
        <family val="1"/>
      </rPr>
      <t xml:space="preserve">  Providing and fixing  white color vitreous China oval shape, under counter wash basin of make of Kohler cat. no. 2211 IN-O or jaquar FLS-WHT-0401 or  equivalent as approved of 32mm dia outlet with CP Brass connection, Rubber adopter for waste connection and CI Brackets etc including cutting and making good the walls wherever required complete as per direction of engineer-in-charge.</t>
    </r>
  </si>
  <si>
    <r>
      <rPr>
        <b/>
        <sz val="11"/>
        <color indexed="8"/>
        <rFont val="Bookman Old Style"/>
        <family val="1"/>
      </rPr>
      <t>NS-19</t>
    </r>
    <r>
      <rPr>
        <sz val="11"/>
        <color indexed="8"/>
        <rFont val="Bookman Old Style"/>
        <family val="1"/>
      </rPr>
      <t xml:space="preserve">  Grouting of pressed steel door frames, profile B and Profile C with CC 1:2:4(1 cement:2 sand:4 gardeded agrregate 12.5mm  nominal size)</t>
    </r>
  </si>
  <si>
    <t>Cum</t>
  </si>
  <si>
    <t>KG</t>
  </si>
  <si>
    <t xml:space="preserve"> </t>
  </si>
  <si>
    <t xml:space="preserve">Total for Non-Schedule Items (Schedule II) </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</si>
  <si>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</si>
  <si>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</si>
  <si>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</si>
  <si>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</si>
  <si>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</si>
  <si>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BILL OF QUNATITIES FOR  Type- C AS PER STANDARD TOWNSHIP DRAWING</t>
  </si>
  <si>
    <t>SL.No.</t>
  </si>
  <si>
    <t>D.S.R 2021 Item No</t>
  </si>
  <si>
    <t>DESCRIPTION OF ITEM</t>
  </si>
  <si>
    <t>UNIT</t>
  </si>
  <si>
    <t>No.</t>
  </si>
  <si>
    <t>Length</t>
  </si>
  <si>
    <t>Breadth/Width</t>
  </si>
  <si>
    <t>Height</t>
  </si>
  <si>
    <t>B2 (Qty for 01 block)</t>
  </si>
  <si>
    <r>
      <t xml:space="preserve">PART -A SCHEDULE ITEMS - </t>
    </r>
    <r>
      <rPr>
        <b/>
        <sz val="11"/>
        <color indexed="10"/>
        <rFont val="Cambria"/>
        <family val="1"/>
      </rPr>
      <t>(DSR 2021)</t>
    </r>
  </si>
  <si>
    <t>Total excavation</t>
  </si>
  <si>
    <t>Deduct filling</t>
  </si>
  <si>
    <t>Total</t>
  </si>
  <si>
    <t>say</t>
  </si>
  <si>
    <t>3A</t>
  </si>
  <si>
    <t>Earth work in excavation by mechanical means (Hydraulic excavator)/ manual means over areas (exceeding 30 cm in depth, 1.5 m in width as well as 10 sqm on plan) including getting out and disposal of excavated earth lead upto 50 m and lift upto 1.5 m, as d</t>
  </si>
  <si>
    <t>cu.m</t>
  </si>
  <si>
    <t>3B</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</si>
  <si>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</si>
  <si>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All kinds of soil.</t>
  </si>
  <si>
    <t>PLINTH BEAM</t>
  </si>
  <si>
    <t>3C</t>
  </si>
  <si>
    <t>Extra for excavating trenches for pipes, cables etc. in all kinds of soil for depth exceeding 1.5 m, but not exceeding 3 m. (Rate is over corresponding basic item for depth upto 1.5 metre).</t>
  </si>
  <si>
    <t>2.10.1</t>
  </si>
  <si>
    <t>mtrs</t>
  </si>
  <si>
    <t>Cu.m.</t>
  </si>
  <si>
    <t>Total Excavation</t>
  </si>
  <si>
    <t>Deduct PCC</t>
  </si>
  <si>
    <t>Deduct RCC in footing</t>
  </si>
  <si>
    <t>Deduct RCC in column upto plinth</t>
  </si>
  <si>
    <t>Volume of moorum filling below foundations</t>
  </si>
  <si>
    <t>2.26</t>
  </si>
  <si>
    <t>6.2</t>
  </si>
  <si>
    <t>FILLING ABOVE GROUND As per block b1 Area</t>
  </si>
  <si>
    <t>1:4:8 (1 cement : 4 coarse sand : 8 graded stone aggregate 40 mm nominal size)</t>
  </si>
  <si>
    <t>FOOTING</t>
  </si>
  <si>
    <t>Providing and laying cement concrete in retaining walls, return walls, walls (any thickness) including attached pilasters, columns, piers, abutments, pillars, posts, struts, buttresses, string or lacing courses,parapets, coping, bed blocks, anchor blocks, plain window sills, fillets,sunken floor,etc., up to floor five level, excluding the cost of centering,shuttering and finishing :</t>
  </si>
  <si>
    <t>Parapet wall top</t>
  </si>
  <si>
    <t>For pcc</t>
  </si>
  <si>
    <t>sqm</t>
  </si>
  <si>
    <t>At plinth level</t>
  </si>
  <si>
    <t>Extra for providing and mixing water proofing material in cement concrete per 50 kg work in doses by weight of cement as per manufacturer's specification.</t>
  </si>
  <si>
    <t>per 50 kg cement</t>
  </si>
  <si>
    <t>Applying a coat of residual petroleum bitumen of grade of VG-10 of approved quality using 1.7 kg per square metre on damp proof course after cleaning the surface with brushes and finally with a piece of cloth lightly soaked in kerosene oil.</t>
  </si>
  <si>
    <t>Making plinth protection 50mm thick of cement concrete 1:3:6 ( 1 cement : 3 coarse sand : 6 graded stone aggregate 20 mm nominal size) over 75 mm thick bed of dry brick ballast 40 mm nominal size, well rammed and consolidated and grouted with fine sand, including finishing the top smooth.</t>
  </si>
  <si>
    <t>15</t>
  </si>
  <si>
    <t>Sq.m.</t>
  </si>
  <si>
    <t>Footing pedestal</t>
  </si>
  <si>
    <t>Walls (any thickness) including attached pilasters, buttresses, plinth &amp; string courses etc. U.G.W.T.</t>
  </si>
  <si>
    <t>FF slab + Roof Slab</t>
  </si>
  <si>
    <t>each unit area</t>
  </si>
  <si>
    <t>Stair foyer</t>
  </si>
  <si>
    <t>Landing</t>
  </si>
  <si>
    <t>Stair cabin</t>
  </si>
  <si>
    <t>D)</t>
  </si>
  <si>
    <t>Gr.Slab lvl</t>
  </si>
  <si>
    <t>First Floor slab</t>
  </si>
  <si>
    <t>Second Floor slab</t>
  </si>
  <si>
    <t>Roof slab level beam</t>
  </si>
  <si>
    <t>RCC Columns upto plinth level</t>
  </si>
  <si>
    <t>Plinth to gf slab Column</t>
  </si>
  <si>
    <t>first floor to second floor</t>
  </si>
  <si>
    <t xml:space="preserve">second floor to terrace </t>
  </si>
  <si>
    <t>stair cabin</t>
  </si>
  <si>
    <t>F)</t>
  </si>
  <si>
    <t>Staircase Waiste slab- HP TO First Floor</t>
  </si>
  <si>
    <t>First floor to second floor</t>
  </si>
  <si>
    <t>second floor to terrace</t>
  </si>
  <si>
    <t>G)</t>
  </si>
  <si>
    <t>Drawing room balcony pardi</t>
  </si>
  <si>
    <t>Lintel beams over internal doors</t>
  </si>
  <si>
    <t>Window Chajja</t>
  </si>
  <si>
    <t>edge of chajja</t>
  </si>
  <si>
    <t>Weathershade chajjas</t>
  </si>
  <si>
    <t>Edge of chajja in RFT</t>
  </si>
  <si>
    <t>5.11</t>
  </si>
  <si>
    <t>Extra for additional height in centring &amp;, shuttering where ever required with adequate bracing, propping etc. including cost of de-shuttering and decentring at all levels over a height of 3.5 m for every additional height of 1m or part thereof (Plan area to be measured)</t>
  </si>
  <si>
    <t>5.11.1</t>
  </si>
  <si>
    <t>Suspended floors, roofs, landings, beams and balconies (Plan area to be measured)</t>
  </si>
  <si>
    <t>17</t>
  </si>
  <si>
    <t>NS21</t>
  </si>
  <si>
    <t>Steel Reinforcement for R.C.C. work including straightening, cutting, bending, placing in postion and binding all complete up to plinth level.</t>
  </si>
  <si>
    <t>Thermo-Mechanically Treated bars</t>
  </si>
  <si>
    <t>Kg.</t>
  </si>
  <si>
    <t>Footing</t>
  </si>
  <si>
    <t>Comlumn upto plinth lvl</t>
  </si>
  <si>
    <t>Grad slab</t>
  </si>
  <si>
    <t>Plinth beam</t>
  </si>
  <si>
    <t>UGWT Bottom and top slab</t>
  </si>
  <si>
    <t>UGWT wall</t>
  </si>
  <si>
    <t>Total for Steel upto plinth lvl</t>
  </si>
  <si>
    <t>NS22</t>
  </si>
  <si>
    <t>Steel Reinforcement for R.C.C. work including straightening, cutting, bending, placing in postion and binding all complete above plinth level.</t>
  </si>
  <si>
    <t>As per standard</t>
  </si>
  <si>
    <t>Columns above plinth level upto Floor V</t>
  </si>
  <si>
    <t>Beam</t>
  </si>
  <si>
    <t>slab</t>
  </si>
  <si>
    <t>Add for plaster drip corse/groove in plastered surface or moulding to RCC projections.</t>
  </si>
  <si>
    <t>Mtr.</t>
  </si>
  <si>
    <t>Window chajja</t>
  </si>
  <si>
    <t>At mumty level</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</si>
  <si>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 9103 to accelerate/ retard setting of concrete, improve workability without impairing strength and durability as per direction of the Engineer - in - charge.</t>
  </si>
  <si>
    <t>(Note :- Cement content considered in this item is @ 330 kg/cum. Excess/less cement used as per design mix is payable/ recoverable separately).</t>
  </si>
  <si>
    <t>5.33.1</t>
  </si>
  <si>
    <t>All works upto plinth level</t>
  </si>
  <si>
    <t>Cu.m</t>
  </si>
  <si>
    <t>sub-total (A)</t>
  </si>
  <si>
    <t>Sub-total (B)</t>
  </si>
  <si>
    <t>Floor Slab</t>
  </si>
  <si>
    <t>as per unit carpet area</t>
  </si>
  <si>
    <t>Sub-total (C)</t>
  </si>
  <si>
    <t>Depth</t>
  </si>
  <si>
    <t>Sub-Total (D)</t>
  </si>
  <si>
    <t>compact earth</t>
  </si>
  <si>
    <t>PCC</t>
  </si>
  <si>
    <t>Say</t>
  </si>
  <si>
    <t>Pedestal</t>
  </si>
  <si>
    <t>5.33.2</t>
  </si>
  <si>
    <t>All works above plinth level upto floor V level</t>
  </si>
  <si>
    <t>GF slab level beam</t>
  </si>
  <si>
    <t>Plinth</t>
  </si>
  <si>
    <t>FF slab level beam</t>
  </si>
  <si>
    <t>SF slab level beam</t>
  </si>
  <si>
    <t>Sub-Total (A)</t>
  </si>
  <si>
    <t>GF Slab</t>
  </si>
  <si>
    <t>Staircase Waiste slab</t>
  </si>
  <si>
    <t>Kitchen platform slab</t>
  </si>
  <si>
    <t>Kitchen loft</t>
  </si>
  <si>
    <t>Facia in canopy</t>
  </si>
  <si>
    <t>Sub-Total (B)</t>
  </si>
  <si>
    <t>RCC columns From Plinth level to Second Floor level</t>
  </si>
  <si>
    <t>RCC in Columns above roof slab upto parapet level</t>
  </si>
  <si>
    <t>RCC columns from roof level to mumty parapet level</t>
  </si>
  <si>
    <t xml:space="preserve">Sub-Total © </t>
  </si>
  <si>
    <t>chajja</t>
  </si>
  <si>
    <t>Total for chajja</t>
  </si>
  <si>
    <t>quintal</t>
  </si>
  <si>
    <t>Upto plinth level</t>
  </si>
  <si>
    <t>@.50 qtl/cu.m.</t>
  </si>
  <si>
    <t>Above plinth level</t>
  </si>
  <si>
    <t>For surface drain</t>
  </si>
  <si>
    <t>Below plinth beam</t>
  </si>
  <si>
    <t>23</t>
  </si>
  <si>
    <t>Brick work with common burnt clay F.P.S. (non modular) bricks of class designation 7.5 in superstructure above plinth level up to floor V level in all shapes and sizes in</t>
  </si>
  <si>
    <t>Less winvow</t>
  </si>
  <si>
    <t>24</t>
  </si>
  <si>
    <t>First Floor</t>
  </si>
  <si>
    <t>x</t>
  </si>
  <si>
    <t>=</t>
  </si>
  <si>
    <t>Second Floor</t>
  </si>
  <si>
    <t>cabin</t>
  </si>
  <si>
    <t>Extra for providing and placing in position 2 Nos., 6mm dia M.S. bars at every third course of half brick masonry.</t>
  </si>
  <si>
    <t>Qty same as half brick work</t>
  </si>
  <si>
    <t>26.1</t>
  </si>
  <si>
    <t>23.5</t>
  </si>
  <si>
    <t>Supplying, filling, spreading &amp; leveling stone boulders of size range 5 cm to 20 cm, in recharge pit, in the required thickness, for all leads &amp; lifts, all complete as per direction of Engineer-in-charge</t>
  </si>
  <si>
    <t>CU.M.</t>
  </si>
  <si>
    <t>26.2</t>
  </si>
  <si>
    <t>23.7</t>
  </si>
  <si>
    <t>Supplying, filling, spreading &amp; leveling coarse sand of size range 1.5
mm to 2 mm in recharge pit, in required thickness over gravel layer,
for all leads &amp; lifts, all complete as per direction of Engineer -incharge</t>
  </si>
  <si>
    <t>Providing and fixing 18 mm thick  gang saw cut, mirror polished, premoulded and prepolished, machine cut for  kitchen platforms, vanity counters, window sills, facias and similar locations of required size of approved shade, colour and texture laid over 20 mm thick base cement mortar 1:4 (1 cement : 4 coarse sand) with joints treated with white cement, mixed with matching pigment, epoxy touch ups, including rubbing curing, moulding and polishing to edges to give high gloss finish etc. complete at all levels.</t>
  </si>
  <si>
    <t>A)</t>
  </si>
  <si>
    <t>Kitchen Shelf</t>
  </si>
  <si>
    <t>Wash</t>
  </si>
  <si>
    <t>B)</t>
  </si>
  <si>
    <t>Windpw sill</t>
  </si>
  <si>
    <t>Area of slab over 0.50 sqm Kitchen platform</t>
  </si>
  <si>
    <t>28</t>
  </si>
  <si>
    <t>30</t>
  </si>
  <si>
    <t>Providing and fixing wire gauge shutters using stainless steel grade 304 wire gauge with wire of dia 0.5 mm and average width of aperture 1.4 mm in both directions for doors, windows and clerestory windows with necessary screws ::</t>
  </si>
  <si>
    <t>Main door</t>
  </si>
  <si>
    <t>metre</t>
  </si>
  <si>
    <t>For Windows</t>
  </si>
  <si>
    <t>Balcony railing 49.5x49.5x3.6 mm living room</t>
  </si>
  <si>
    <t>18 kg per meter</t>
  </si>
  <si>
    <t>25mm pipe</t>
  </si>
  <si>
    <t>2.41 kg per meter</t>
  </si>
  <si>
    <t>bed</t>
  </si>
  <si>
    <t>verticalsupport</t>
  </si>
  <si>
    <t>40mm pipe</t>
  </si>
  <si>
    <t>3.56 kg per meter</t>
  </si>
  <si>
    <t>@ 15kg/sq.m. of window area</t>
  </si>
  <si>
    <t>@15 kg/m.</t>
  </si>
  <si>
    <t>35</t>
  </si>
  <si>
    <t>Toilets D3</t>
  </si>
  <si>
    <t>Providing and fixing factory made 30 mm thick door shutter made of solid PVC foam profile. The styles &amp; rails shall be of size 75 mm x 30 mm having wall thickness 5 mm. The styles, top &amp; bottom rails shall have one side wall thickness of 15 mm integrally extruded on the hinge side of the profile for better screw holding power. The styles and rails shall be reinforced with M.S. tubes of size 33 mm x 17 mmx 1 mm, painted with primer , all four corners of reinforcement to be welded or sealed. Solid PVC extruded bidding (push fit type) will be set inside the styles and the rails with a cavity, to receive single piece extruded 5 mm PVC sheet as panel. The styles and rails will be mitred cut and joint with the help of PVC solvent cement &amp; self driven self tapping screws. Single piece extruded solid PVC lock rail of size 100 mm x 30 mm with wall thickness 5 mm &amp; 15 mm integrally extruded in the middle of the lock rail &amp; fixed with styles with the help of PVC solvent cement &amp; self driven self tapping screws of size 100 mm x 8 mm complete as per manufacturer's specifications and direction of Engineer-in-charge.</t>
  </si>
  <si>
    <t>Decorative finish (both side wood grained finish)</t>
  </si>
  <si>
    <t>Providing and fixing ISI marked flush door shutters conforming to IS : 2202 (Part I) decorative type, core of block board construction with frame of 1st class hard wood and well matched teak 3 ply veneering with vertical grains or cross bands and face ven</t>
  </si>
  <si>
    <t>35 mm thick including ISI marked Stainless Steel butt hinges
with necessary screws</t>
  </si>
  <si>
    <t>D2</t>
  </si>
  <si>
    <t>Sq.m</t>
  </si>
  <si>
    <t>D1 (mumty door)</t>
  </si>
  <si>
    <t>Staircase railing 40 mm NB</t>
  </si>
  <si>
    <t>In treads</t>
  </si>
  <si>
    <t>In risers</t>
  </si>
  <si>
    <t>In landings</t>
  </si>
  <si>
    <t>Entrance</t>
  </si>
  <si>
    <t>Extra for marble stone flooring in treads of steps and risers using single length up to 2.00 metre . Main entry</t>
  </si>
  <si>
    <t>Providing and Fixing 1st quality ceramic glazed wall tiles conforming to IS 15622(thickness to bespecified by the manufacturer) of approved make in all colours, shades except burgundy, bottle-green, black of any size as approved by the Engineer-in-charge in skirting, risers of steps and dados over 12 mm thick bed of Cement mortar 1:3  (1 Cement:3 Coarse Sand) and jointing with grey cement slurry @ 3.3 kg per sq m including pointing in white cement mixed with pigment of matching shade complete.</t>
  </si>
  <si>
    <t>In dado of toilet</t>
  </si>
  <si>
    <t>In dado above kitchen platform toilet</t>
  </si>
  <si>
    <t>Providing and laying rectified Glazed Ceramic floor tiles of size 300x300 mm or more (thickness to be specified by the manufacturer), of 1st quality conforming to IS : 15622, of approved make, in all colours, shades, except White, Ivory, Grey, Fume Red Brown, laid on 20 mm thick Cement Mortar 1:4 (1 Cement : 4 Coarse sand), including pointing the joints with white cement and matching pigments etc., complete.</t>
  </si>
  <si>
    <t>In toilet</t>
  </si>
  <si>
    <t>WASH</t>
  </si>
  <si>
    <t>(A)</t>
  </si>
  <si>
    <t>Qty same as that of flooring</t>
  </si>
  <si>
    <t>11.50</t>
  </si>
  <si>
    <t>Deduct for not grouting the joints with white cement and matching pigmenin the items of fixing of vitrified tiles.</t>
  </si>
  <si>
    <t>Providing and fixing on wall face unplasticised -Rigid PVC rain water pipes conforming to IS: 13592 Type A including jointing with seal ring conforming to IS: 5382 leaving 10 mm gap for thermal expansion.</t>
  </si>
  <si>
    <t>( i )</t>
  </si>
  <si>
    <t>Single socketed pipes</t>
  </si>
  <si>
    <t>SAY</t>
  </si>
  <si>
    <t>C)</t>
  </si>
  <si>
    <t>Providing and fixing PTMT grating of approved quality and colour.</t>
  </si>
  <si>
    <t>Rectangular type with openable circular lid
18.58.2.1 150 mm nominal size square 100 mm
diameter of the inner hinged round grating</t>
  </si>
  <si>
    <t>12 mm cement plaster of mix : slab</t>
  </si>
  <si>
    <t>6 MM</t>
  </si>
  <si>
    <t>Each unit</t>
  </si>
  <si>
    <t>HP Slab</t>
  </si>
  <si>
    <t>Stair cabin slab</t>
  </si>
  <si>
    <t>Stair bottom</t>
  </si>
  <si>
    <t>Stair side</t>
  </si>
  <si>
    <t xml:space="preserve">15 mm cement plaster on rough side of single or half brick masonry wall of mix : </t>
  </si>
  <si>
    <t>Sqm.</t>
  </si>
  <si>
    <t>Hollow plinth Column</t>
  </si>
  <si>
    <t>stair wall</t>
  </si>
  <si>
    <t>Bedroom 1 (2 nos)</t>
  </si>
  <si>
    <t>long wall</t>
  </si>
  <si>
    <t>deduction</t>
  </si>
  <si>
    <t>window</t>
  </si>
  <si>
    <t>door</t>
  </si>
  <si>
    <t>short wall</t>
  </si>
  <si>
    <t>Bedroom 2 (2 nos)</t>
  </si>
  <si>
    <t>Kitchen(2 nos)</t>
  </si>
  <si>
    <t>Drawing room(2 nos)</t>
  </si>
  <si>
    <t>opening</t>
  </si>
  <si>
    <t>Foyer(2 nos)</t>
  </si>
  <si>
    <t>Toilet plaster</t>
  </si>
  <si>
    <t>Cabin</t>
  </si>
  <si>
    <t>Parapet plaster</t>
  </si>
  <si>
    <t>LS</t>
  </si>
  <si>
    <t>18 mm cement plaster in two coats under layer 12 mm thick cement plaster 1:5 (1 Cement : 5 Coarse sand)  finished with top layer 6 mm thick cement plaster 1:6 (1 Cement : 6 Fine sand)</t>
  </si>
  <si>
    <t>Hollow plinth</t>
  </si>
  <si>
    <t>Outer perimiter</t>
  </si>
  <si>
    <t>Less window</t>
  </si>
  <si>
    <t>Less balcony gaps</t>
  </si>
  <si>
    <t>In two coats</t>
  </si>
  <si>
    <t>Providing and applying white cement based putty of average thickness
1 mm, of approved brand and manufacturer, over the plastered wall
surface to prepare the surface even and smooth complete</t>
  </si>
  <si>
    <t>Qty same as internal plaster including ceiling except staircase, stilt area</t>
  </si>
  <si>
    <t>INCLUDING STAIR</t>
  </si>
  <si>
    <t>New work (Two or more coats applied @ 1.43 ltr/10 sqm over and including priming coat of exterior primer applied @ 2.20 kg/10 sqm)</t>
  </si>
  <si>
    <t>FULL</t>
  </si>
  <si>
    <t>MS Work wherever required</t>
  </si>
  <si>
    <t>Providing and laying 60mm thick faciory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</si>
  <si>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Entrance pavement</t>
  </si>
  <si>
    <t>17.7B</t>
  </si>
  <si>
    <t>Providing and fixing wash basin with C.I. brackets, 15 mm PTMT pillar cock, 32 mm PTMT waste coupling of standard pattern, including painting of fittings and brackets, cutting and making good the walls wherever required. White Vitreous China Flat back wash basin size 550x400 mm with single 15 mm PTMT pillar cock.</t>
  </si>
  <si>
    <t>(a)</t>
  </si>
  <si>
    <t>White Vitreous China Wash basin size 550x400 mm with a 15 mm CP Brass single hole basin mixer</t>
  </si>
  <si>
    <t>Providing and fixing 600x450 mm beveled edge mirror of superior glass (of approved quality) complete with 6 mm thick hard board ground fixed to wooden cleats with C.P . brass screws and washers complete. each 817.95</t>
  </si>
  <si>
    <t xml:space="preserve">Providing and fixing PTMT towel ring trapezoidal shape 215 mm long, 200 mm wide with a minimum distances of 37 mm from wall face with concealed fittings arrangement of approved quality, colour and make weighing not less than 88 gms </t>
  </si>
  <si>
    <t xml:space="preserve">Providing and fixing Chlorinated Polyvinyl Chloride (CPVC) pipes, having thermal stability for hot &amp; cold water supply, including all CPVC plain &amp; brass threaded fittings, i/c fixing the pipe with clamps at 1.00 m spacing. This includes jointing of pipes </t>
  </si>
  <si>
    <t>meter</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</si>
  <si>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</si>
  <si>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each</t>
  </si>
  <si>
    <t>Providing and fixing gun metal non-return valve of approved quality (screwed end)</t>
  </si>
  <si>
    <t>82</t>
  </si>
  <si>
    <t>Providing and fixing CP brass shower rose with 15 or 20 mm inlet.</t>
  </si>
  <si>
    <t>100 mm diameter</t>
  </si>
  <si>
    <t>Providing and placing on terrace(at all floor levels) polyethylene water storage tank ISI: 12701 marked with cover and suitable locking arrangement and making necessary holes for inlet,outlet and overflow pipes but without fittings and the base suport for tank:</t>
  </si>
  <si>
    <t>18.54</t>
  </si>
  <si>
    <t>Providing and fixing PTMT bib cock of approved quality and colour</t>
  </si>
  <si>
    <t>18.54.1</t>
  </si>
  <si>
    <t>18.55</t>
  </si>
  <si>
    <t>Providing and fixing PTMT stop cock of approved quality and colour</t>
  </si>
  <si>
    <t>18.55.2</t>
  </si>
  <si>
    <t>18.56</t>
  </si>
  <si>
    <t>Providing and fixing PTMT pillar cock of approved quality and colour.</t>
  </si>
  <si>
    <t>18.56.2</t>
  </si>
  <si>
    <t>15 mm nominal bore, 125 mm long foam flow, weighing
not less than 120 gms</t>
  </si>
  <si>
    <t>For toilets</t>
  </si>
  <si>
    <t>For kitchen</t>
  </si>
  <si>
    <t>For wash area</t>
  </si>
  <si>
    <t>19.4.3.2</t>
  </si>
  <si>
    <t>Constructing brick masonry manhole in bricks in cement mortar 1:4 (1 cement : 4 coarse sand) RCC top slab with 1:2:4 mix (1 cement : 2 coarse sand : 4 graded stone aggregate 20 mm nominal size) foundation concrete 1:4:8 (1 cement : 4 coarse sand : 8 graded stone aggregate 40 mm nominal size) inside plastering 12 mm thick with cement mortar 1:3 (1 cement : 3 coarse sand) finished with a floating coat of neat cement and making channel in cement concrete 1:2:4 (1 cement : 2 coarse sand : 4 graded stone aggregate 20 mm nominal size) finished with a floating coat of a neat cement complete as per standard design.</t>
  </si>
  <si>
    <t>19.7.1.2</t>
  </si>
  <si>
    <t>Providing and fixing aluminium work for doors, windows, ventilators and partitions with extruded built up standard tubular sections/appropriate Z sections and other sections of approved make conforming to IS: 733 and IS: 1285, fixing with dash fasteners o</t>
  </si>
  <si>
    <t>21.1.1.</t>
  </si>
  <si>
    <t>fixed portion</t>
  </si>
  <si>
    <t>For sliding windows</t>
  </si>
  <si>
    <t>SQ.MT</t>
  </si>
  <si>
    <t>8 kg oer sq,mt</t>
  </si>
  <si>
    <t>SQ.M</t>
  </si>
  <si>
    <t>Providing and fixing glazing in aluminium door, window,ventilator,shutter and partitions etc. with EPDM rubber/neoprene gasket etc. complete as per the architectual drawings and the directions of Engineer in charge(Cost of aluminium snap beading shall be paid in basic item)</t>
  </si>
  <si>
    <t>With float glass panes of 5.50 mm thickness</t>
  </si>
  <si>
    <t>W2</t>
  </si>
  <si>
    <t>W3</t>
  </si>
  <si>
    <t>W4</t>
  </si>
  <si>
    <t>W5</t>
  </si>
  <si>
    <t>DW1</t>
  </si>
  <si>
    <t>Providing and laying water proofing treatment to vertical and horizontal surfaces of depressed portions of W.C., kitchen and the like consisting of:</t>
  </si>
  <si>
    <t>(i) Ist course of applying cement slurry @ 4.4 kg/sqm mixed with water proofing compound conforming to IS 2645 in recommended proportions including rounding off junction of vertical and horizontal surfaces.</t>
  </si>
  <si>
    <t>(ii) Iind course of 20mm cement plaster 1:3 (1 cement : 3 coarse sand ) mixed with water proofing compound in recommended prportion including rounding off junction of vertical and horizontal surfaces.</t>
  </si>
  <si>
    <t>(iii) IIIrd course of applying blown or residual bitumen applied hot at 1.7 kg per sq.m. of area.</t>
  </si>
  <si>
    <t>(iv) Ivth course of 400 micron thick PVC sheet. (overlaps at joints of PVC sheet should be 100 mm wide and pasted to each other with bitumen @ 1.7 kg/sq.m.)</t>
  </si>
  <si>
    <t>Toilet floor</t>
  </si>
  <si>
    <t>2nd Toilet</t>
  </si>
  <si>
    <t>wash</t>
  </si>
  <si>
    <t>Add for sides- Toilet</t>
  </si>
  <si>
    <t>Providing and laying integral cement based water proofing treatment including preparation of surface as required for treatment of roofs, balconies terraces etc. consisting of following operations.</t>
  </si>
  <si>
    <t>(a) Applying a slurry coat of neat cement using 2.75Kg/sq.m. of cement admixed with water proofing compound conforming to IS:2645 and approved by Engneer in charge over the RCC slab including adjoining walls upto 300 mm height including cleaning the surface before treatment.</t>
  </si>
  <si>
    <t>(c )After two days of proper curing applying a second coat of cement slurry  using 2.75 kg/sq.m. of cement admixed with water proofing compound conforming to IS:2645 and approved by the Engineer in charge.</t>
  </si>
  <si>
    <t>(d) Finishing the surface with 20mm thick jointless cement mortar of mix 1:4 (1 cement : 4 coarse sand) admixed with water proofing compound conforming to IS:2645 and approved by Engineer in charge and finally finishing the surface with trowel with neat cement slurry and making of 300 x 300mm square 3 mm deep.</t>
  </si>
  <si>
    <t>Terrace area- as per plan</t>
  </si>
  <si>
    <t>PART-(B) : NON DSR  ITEMS(NON SCHEDULED ITEM)</t>
  </si>
  <si>
    <t>Non D.S.R</t>
  </si>
  <si>
    <t>B2(Qty for 01 block)</t>
  </si>
  <si>
    <t>NS-1</t>
  </si>
  <si>
    <t>Supply, Diluting &amp; injecting chemical emulsion ecluding of the cost of the chemical emulsion) for PRE-CONSTRUCTIONAL ANTI TERMITE treatment and creating a continuos chemical barrier under all round the column pits, wall trenches, basement excavation, top surface of plinth filling, junction of wall and floor along the external perimeter of building expansion joints over the top surface of consolidated earth on which apron is to be laid, surroundings of pipes, conduits etc. complete as per specifications. (Plinth area of the building at ground floor only shall be measured for payment)</t>
  </si>
  <si>
    <t>Chloropyriphos/Lindane emulsifiable concentrate of 20%</t>
  </si>
  <si>
    <t>Plinth area</t>
  </si>
  <si>
    <t>NS-2</t>
  </si>
  <si>
    <t>Providing and fixing rubber shock absorbers of minimum 25 mm dia and 40 mm length to be fixed on back side of door including screws and nuts etc. all complete.</t>
  </si>
  <si>
    <t>D1</t>
  </si>
  <si>
    <t>TOTAL</t>
  </si>
  <si>
    <t>NS-3</t>
  </si>
  <si>
    <t>Providing and placing  cinder/brick bat filling  to the sunk floors in toilets/kitchen sunks, well compacted carefully by hand beating to required slopes including consolidation, curing, (mix shall be one part of cement  mortar 4 parts of Cinder/brickbat  finishing the same with the cement mortor 1:4 (1cement:4 coarse sand) by adding water proofing compound as per manufacturers recommendations including providing 25mm dia PVC drain pipe of required length. For toilet and Kitchen sunkun portions</t>
  </si>
  <si>
    <t>NS-4</t>
  </si>
  <si>
    <t>Providing, fixing , laying, testing &amp; commissioning (Concealed/surface mounted or underground) uPVC SWR Rigid pipes confirming to IS 13592-1992 of PRICE/SUPREME/FINOLEX or equivalent make of working pressure 6kg/sq.cm for drainage line including necessary fittings such as couplers, bends, tees, cross tees, cowls, clamps, rubber packing ring etc. confirming to DIN 19561, DIN 19534, IS 14735-99, IS-5382, joining with adhessive solvent cement including cost of jointing materials and all other necessary fixtures, fitting, air and water tight testing of the line etc. complete at all levels. (Centre line length of completed pipe line shall be measured for payment purpose)</t>
  </si>
  <si>
    <t>NS-4A</t>
  </si>
  <si>
    <t>40mm outer dia.</t>
  </si>
  <si>
    <t>In toilets</t>
  </si>
  <si>
    <t>In kitchen</t>
  </si>
  <si>
    <t>NS-4B</t>
  </si>
  <si>
    <t>75mm outer dia.</t>
  </si>
  <si>
    <t>External line upto manhole for toilets</t>
  </si>
  <si>
    <t>External line upto manhole for kitchens</t>
  </si>
  <si>
    <t>NS-4C</t>
  </si>
  <si>
    <t>110mm outer dia.</t>
  </si>
  <si>
    <t>NS-8</t>
  </si>
  <si>
    <t>Providing, fixing, testing and commissioning uPVC SWR Nahani trap, plain floor trap/ Multi floor trap with strainer/top cover etc. confirming to DIN 19531, DIN 19534, IS 14735-99, IS-5382 of 110 mm dia inlet and 75 mm outlet nominal dia. including fixing PVC reducer of 110mm dia. to 75 mm dia. and jointing with adhessive solvent cement including cost of cutting and making good the walls and floors at all levels etc. complete.</t>
  </si>
  <si>
    <t>Toilets</t>
  </si>
  <si>
    <t>Kitchen</t>
  </si>
  <si>
    <t>NS-6</t>
  </si>
  <si>
    <t>Providing and fixing fly proof stainless steel grade 304 wire gauge, to windows and clrestory windows using wire gauge with average width of aperture 1.4mm in both directions with wire of dia. 0.50mm all complete.</t>
  </si>
  <si>
    <t>With anodised aluminium beading in aluminium window shutter leaf.</t>
  </si>
  <si>
    <t>NS-7</t>
  </si>
  <si>
    <t>Providing &amp; fixing Hindware/Jaquar make or equivalent bathroom accessories including cutting wall/making holes and making good the surface with the same finish as directed by the Engineer in charge.</t>
  </si>
  <si>
    <t>NS 7A</t>
  </si>
  <si>
    <t>CP brass high flow single lever concealed diverter with body and plate for bath and shower system.</t>
  </si>
  <si>
    <t>Batch cum WC</t>
  </si>
  <si>
    <t>NS 7B</t>
  </si>
  <si>
    <t>CP brass hand shower (Health faucet) for WC/EWC system</t>
  </si>
  <si>
    <t>20 mm wide and 6 mm deep groove</t>
  </si>
  <si>
    <r>
      <rPr>
        <b/>
        <sz val="11"/>
        <color indexed="8"/>
        <rFont val="Bookman Old Style"/>
        <family val="1"/>
      </rPr>
      <t xml:space="preserve">NS-18 </t>
    </r>
    <r>
      <rPr>
        <sz val="11"/>
        <color indexed="8"/>
        <rFont val="Bookman Old Style"/>
        <family val="1"/>
      </rPr>
      <t xml:space="preserve"> Extra for providing frosted glass panes 4 mm thick instead of ordinary float glass panes 4 mm thick in alkuminium doors, windows and clerestory window shutters. (Area of opening for glass panes excluding portion inside rebate shall be measured).</t>
    </r>
  </si>
  <si>
    <t>NS-20</t>
  </si>
  <si>
    <t>NS-13 : NS-01: Supply and filling of good quality moorum under floor in layers not exceeding 20 cms in depth, consolidating each deposited layer by ramming and watering,   consolidating and dressing complete. (Measurement shall be based on compacted volum</t>
  </si>
  <si>
    <t>CU.M</t>
  </si>
  <si>
    <t>NS23</t>
  </si>
  <si>
    <t xml:space="preserve"> Supply of earth (Excluding rock &amp; boulder) at site including royalty,carriage and filling in specified area in layer not exceeding 200mm in depth,compacting under optimum moisture condition to achive 95% of proctor density,finishing etc.all complete for all leads and lifts,all labour,material,tools,tackle,equipments,safegaurd and incedential as nessesary as per drawing,specification and direction of Engineerin-Charge</t>
  </si>
  <si>
    <t>BILL OF QUNATITIES FOR type -D AS PER STANDARD TOWNSHIP DRAWING</t>
  </si>
  <si>
    <t xml:space="preserve">Vertical </t>
  </si>
  <si>
    <t>Front hall area</t>
  </si>
  <si>
    <t>Footing Pile footing</t>
  </si>
  <si>
    <t>Less door</t>
  </si>
  <si>
    <t>7.1</t>
  </si>
  <si>
    <t>7.1.1</t>
  </si>
  <si>
    <t>Supplying, filling, spreading &amp; leveling coarse sand of size range 1.5 mm to 2 mm in recharge pit, in required thickness over gravel layer, for all leads &amp; lifts, all complete as per direction of Engineer -incharge</t>
  </si>
  <si>
    <t>Balcony railing 49.5x49.5x3.6</t>
  </si>
  <si>
    <t>As per carpet</t>
  </si>
  <si>
    <t>Less toilet floor</t>
  </si>
  <si>
    <t>enry</t>
  </si>
  <si>
    <t>….</t>
  </si>
  <si>
    <t>Ground Floor</t>
  </si>
  <si>
    <t>PERIMITER Internal</t>
  </si>
  <si>
    <t>13.24.2</t>
  </si>
  <si>
    <t>13.26</t>
  </si>
  <si>
    <t>Painting with synthetic enamel paint, having VOC(Volatile Organic Compound ) content less than 150 grams/litre, of approved brand and manufacture, including applying additional coats wherever required, to achieve even shade and colour.</t>
  </si>
  <si>
    <t>68.1</t>
  </si>
  <si>
    <t>8.10</t>
  </si>
  <si>
    <t>68.2</t>
  </si>
  <si>
    <t>17.23</t>
  </si>
  <si>
    <t>Providing and fixing white vitreous china flat back or wall corner type lipped front urinal basin of 430x260x350 mm or 340x410x265 mm sizes respectively.</t>
  </si>
  <si>
    <t>68.3</t>
  </si>
  <si>
    <t>17.25</t>
  </si>
  <si>
    <t>Providing and fixing PTMT 15 mm Urinal spreader size 95x69x100 mm with 1/2" BSP thread and shapes, weighing not less than 60 gms.</t>
  </si>
  <si>
    <t>68.4</t>
  </si>
  <si>
    <t>17.76</t>
  </si>
  <si>
    <t>Providing and fixing PTMT urinal cock of approved quality and colour</t>
  </si>
  <si>
    <t>17.76.1 15 mm nominal bore, 80 mm long, 42 mm high and 30mm wide with BSP female threads weighing not less than 48
gms</t>
  </si>
  <si>
    <t>17.22A</t>
  </si>
  <si>
    <t>18.54.2</t>
  </si>
  <si>
    <t>W1</t>
  </si>
  <si>
    <t>V</t>
  </si>
  <si>
    <t>Door</t>
  </si>
  <si>
    <t>With float glass panes of 5 mm thickness (weight not
less than 12.50 kg/sqm)</t>
  </si>
  <si>
    <t>qty</t>
  </si>
  <si>
    <t>w</t>
  </si>
  <si>
    <t>ht</t>
  </si>
  <si>
    <t>Toilet area</t>
  </si>
  <si>
    <t>NS-7C</t>
  </si>
  <si>
    <t>CP Concealed flush valve 32 mm of make Jaquar FLV-CHR-1095 or equivalent make as  approved complete.</t>
  </si>
  <si>
    <t xml:space="preserve">BILL OF QUANTITIES FOR Construction of Residential Quarters, Guest House and Community Center including parking shed, concrete roads, Drains and Culverts, water supply &amp; Sewerage system at Itarsi S/s under O&amp;M Add CAP in tariff block 2019-24. </t>
  </si>
  <si>
    <t>WESTERN REGION -  II, VADODARA</t>
  </si>
  <si>
    <t xml:space="preserve">DSR (E&amp;M0 2022 Item No. </t>
  </si>
  <si>
    <t xml:space="preserve"> DESCRIPTION OF ITEMS</t>
  </si>
  <si>
    <t xml:space="preserve"> UNIT</t>
  </si>
  <si>
    <t xml:space="preserve"> Total Quantity </t>
  </si>
  <si>
    <t>Rate  (Rs.)</t>
  </si>
  <si>
    <t>Amount (Rs.)</t>
  </si>
  <si>
    <t>1.10.2</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</si>
  <si>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 Group B)</t>
  </si>
  <si>
    <t>Point</t>
  </si>
  <si>
    <t>Supplying and fixing two module stepped type electronic fanregulator on the existing modular plate switch box includingconnections but excluding modular plate etc. as required.</t>
  </si>
  <si>
    <t>Supplying &amp; fixing suitable size GI box with modular plate and cover in front on surface or in recess including providing and fixing 25 A modular socket outlet and 25 A modular SP MCB, "C" curve including connections, painting etc. as required.</t>
  </si>
  <si>
    <t>1.18.2</t>
  </si>
  <si>
    <t>2 pair</t>
  </si>
  <si>
    <t>20 mm</t>
  </si>
  <si>
    <t>1.24.6</t>
  </si>
  <si>
    <t>Telephone socket outlet</t>
  </si>
  <si>
    <t>Wiring  for  circuit/  submain wiring  alongwith earth wire  with  the following sizes of  FRLS PVC insulated copper conductor, single core  cable  in  surface/  recessed medium class  PVC conduit as required.</t>
  </si>
  <si>
    <t>1.14.1</t>
  </si>
  <si>
    <t>1.14.2</t>
  </si>
  <si>
    <t>1.14.3</t>
  </si>
  <si>
    <t>2 X 4 sq. mm + 1   X 4 sq. mm earth wire</t>
  </si>
  <si>
    <t>1.14.9</t>
  </si>
  <si>
    <t>4 X 6 sq. mm + 2   X 6 sq. mm earth wire</t>
  </si>
  <si>
    <t>2.4.3</t>
  </si>
  <si>
    <t>8 way (4 + 24), Double door</t>
  </si>
  <si>
    <t>Supplying and fixing 5 A to 32 A rating, 240/415 V, 10 kA, "C" curve, miniature circuit breaker suitable for inductive load of following poles in the existing MCB DB complete with connections, testing and commissioning etc. as required.</t>
  </si>
  <si>
    <t>Single pole 16/20 Amp</t>
  </si>
  <si>
    <t>2.15.2</t>
  </si>
  <si>
    <t>40A</t>
  </si>
  <si>
    <t>Earthing with G.I. earth plate 600 mm X 600 mm X  6 mm thick including accessories, and providing masonry enclosure with cover plate having locking arrangement and watering pipe of 2. 7 metre lone etc. with charcoal/ coke and salt as required</t>
  </si>
  <si>
    <t>Total Schedule Item</t>
  </si>
  <si>
    <t>Add percentage (%) above/below +/- on DSR 2022Rates (to be quoted by contractor)</t>
  </si>
  <si>
    <t>Add Amount above/below +/- on the amount for DSR 22 Items as per quoted percentage</t>
  </si>
  <si>
    <t>Nos</t>
  </si>
  <si>
    <t>Nos.</t>
  </si>
  <si>
    <t>(SUMMARY OF TAXES &amp; DUTIES)</t>
  </si>
  <si>
    <t xml:space="preserve">Name </t>
  </si>
  <si>
    <t>Address</t>
  </si>
  <si>
    <t>Item Nos.</t>
  </si>
  <si>
    <t>Total Price
 (in ₹)</t>
  </si>
  <si>
    <t>TOTAL GST on Services</t>
  </si>
  <si>
    <t>a.</t>
  </si>
  <si>
    <t>b.</t>
  </si>
  <si>
    <t>d</t>
  </si>
  <si>
    <t>GRAND TOTAL [a+b+c+d]</t>
  </si>
  <si>
    <t xml:space="preserve">Schedule-6 </t>
  </si>
  <si>
    <t>Total Price (INR)</t>
  </si>
  <si>
    <t>Service/Installation Charges</t>
  </si>
  <si>
    <t>TOTAL SCHEDULE NO.-3A</t>
  </si>
  <si>
    <t>TOTAL SCHEDULE NO.-3B</t>
  </si>
  <si>
    <t>TOTAL SCHEDULE NO.-3C</t>
  </si>
  <si>
    <t>TOTAL SCHEDULE NO.-3D</t>
  </si>
  <si>
    <t>Total of Service/Installation Charge 
(ITEMS TAB: Item 01  for BID PRICE SUMMARY Statement )</t>
  </si>
  <si>
    <t>Total GST against Service/Installation Charge
(ITEMS TAB: Item 02  for BID PRICE SUMMARY Statement )</t>
  </si>
  <si>
    <t xml:space="preserve">Grand Total </t>
  </si>
  <si>
    <t>While filling up the worksheets following may please be observed :</t>
  </si>
  <si>
    <t>Fill up only green shaded cells.</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</si>
  <si>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</si>
  <si>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</si>
  <si>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</si>
  <si>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</si>
  <si>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</si>
  <si>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</si>
  <si>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</si>
  <si>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</si>
  <si>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</si>
  <si>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</si>
  <si>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</si>
  <si>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</si>
  <si>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</si>
  <si>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</si>
  <si>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</si>
  <si>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</si>
  <si>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</si>
  <si>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</si>
  <si>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</si>
  <si>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</si>
  <si>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</si>
  <si>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</si>
  <si>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</si>
  <si>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</si>
  <si>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</si>
  <si>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</si>
  <si>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</si>
  <si>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</si>
  <si>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</si>
  <si>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</si>
  <si>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</si>
  <si>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</si>
  <si>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</si>
  <si>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</si>
  <si>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</si>
  <si>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</si>
  <si>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</si>
  <si>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</si>
  <si>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</si>
  <si>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</si>
  <si>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</si>
  <si>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</si>
  <si>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</si>
  <si>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</si>
  <si>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</si>
  <si>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</si>
  <si>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</si>
  <si>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</si>
  <si>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</si>
  <si>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</si>
  <si>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Extension of Transit Camp Building at POWERGRID Gwalior Sub-Station</t>
  </si>
  <si>
    <t>Rfx No.: 5001000872</t>
  </si>
  <si>
    <t>WR2/NT/W-CIVIL/DOM/G01/24/14946</t>
  </si>
  <si>
    <t>9 Months</t>
  </si>
  <si>
    <t>General Instruction to the Bidders for filling up this workbook of Price Schedules for Package  Extension of Transit Camp Building at POWERGRID Gwalior Sub-Station.</t>
  </si>
  <si>
    <t>Extension of Transit Camp Building at POWERGRID Gwalior Sub-Station.</t>
  </si>
  <si>
    <t>BILL OF QUANTITIES FOR Extension of Transit Camp Building at POWERGRID Gwalior Sub-Station</t>
  </si>
  <si>
    <t>Earth work in excavation by mechanical means (Hydraulic excavator) / manual means over areas (exceeding 30cm in depth. 1.5 m in width as well as 10 sqm on plan) including disposal of excavated earth, lead upto 50m and lift upto 1.5m, disposed earth to be levelled and neatly dressed.</t>
  </si>
  <si>
    <t>All kinds of soil</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</si>
  <si>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</si>
  <si>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 xml:space="preserve"> All kinds of soil</t>
  </si>
  <si>
    <t xml:space="preserve"> Pipes, cables etc. exceeding 80 mm dia. but not exceeding 300 mm dia</t>
  </si>
  <si>
    <t>Extra for every additional lift of 1.5 m or part thereof in excavation / banking excavated or stacked materials.</t>
  </si>
  <si>
    <t>Providing and laying in position cement concrete of specified grade excluding the cost of centering and shuttering - All work up to plinth level :</t>
  </si>
  <si>
    <t>1:4:8 (1 cement : 4 coarse sand :8 graded stone aggr. 40 mm nominal size)</t>
  </si>
  <si>
    <t>Providing and laying in position specified grade of reinforced cement concrete, excluding the cost of centering, shuttering, finishing and reinforcement - All work up to plinth level:</t>
  </si>
  <si>
    <t>5.1.3</t>
  </si>
  <si>
    <t>1:2:4 (1 cement : 2 coarse sand (zone-III) derived from natural sources : 4 graded stone aggregate 20 mm nominal size derived from natural sources)</t>
  </si>
  <si>
    <t>Centering and shuttering including strutting, propping etc. and removal of form for :</t>
  </si>
  <si>
    <t>Foundations, footings, bases of columns, etc. for mass concrete</t>
  </si>
  <si>
    <t>Lintels, beams, plinth beams, girders, bressumers and cantilevers</t>
  </si>
  <si>
    <t>Columns, Pillars, Piers, Abutments, Posts and Struts</t>
  </si>
  <si>
    <t>Weather shade, Chajjas, corbels etc., including edges</t>
  </si>
  <si>
    <t xml:space="preserve">Providing precast cement concrete Jali 1:2:4 (1 cement : 2 coarse sand(zone-III) : 4 graded stone aggregate 6mm nominal size ), reinforced with 1.6 mm dia mild steel wire, including centering and shuttering, roughening cleaning, fixing and finishing in cement mortar 1:3 (1 cement: 3 fine sand) etc. complete, excluding plastering of the jambs, sills and soffits. </t>
  </si>
  <si>
    <t>5.18.1</t>
  </si>
  <si>
    <t>50 mm thick</t>
  </si>
  <si>
    <t>Steel reinforcement for R.C.C. work including straightening, cutting, bending, placing in position and binding all complete upto plinth level.</t>
  </si>
  <si>
    <t>5.22.6</t>
  </si>
  <si>
    <t>5.22A</t>
  </si>
  <si>
    <t>Steel reinforcement for R.C.C. work including straightening, cutting, bending, placing in position and binding all complete above plinth level.</t>
  </si>
  <si>
    <t>5.22.6A</t>
  </si>
  <si>
    <t>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times of the specified minimum cement content, the contractor shall have discretion to either re- design the mix or bear the cost of extra cement.</t>
  </si>
  <si>
    <t>5.33.1.1</t>
  </si>
  <si>
    <t>Concrete of M25 grade with minimum cement content of 330 kg /cum</t>
  </si>
  <si>
    <t>5.33.2.1</t>
  </si>
  <si>
    <t>Brick work with clay flyash F.P.S. (non modular) brick of class designation 7.5 in superstructure above plinth level up to floor five level in :</t>
  </si>
  <si>
    <t>6.4.1</t>
  </si>
  <si>
    <t>Cement mortar 1:4 (1 cement : 4 coarse sand)</t>
  </si>
  <si>
    <t>Half brick masonry with common burnt clay F.P.S. (non modular) bricksof class designation 7.5 in foundations and plinth in :</t>
  </si>
  <si>
    <t>6.12.2</t>
  </si>
  <si>
    <t>cement mortar 1:4 (1 cement : 4 coarse sand)</t>
  </si>
  <si>
    <t>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</si>
  <si>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Granite stone slab of colour black, Cherry/Ruby red</t>
  </si>
  <si>
    <t>Providing edge moulding to 18 mm thick marble stone counters, Vanities etc., including machine polishing to edge to give high gloss finish etc. complete as per design approved by Engineer-in-Charge.</t>
  </si>
  <si>
    <t>8.3.2</t>
  </si>
  <si>
    <t>Granite Work</t>
  </si>
  <si>
    <t>Extra for fixing marble /granite stone, over and above corresponding basic item, in facia and drops of width upto 150 mm with epoxy resin based adhesive, including cleaning etc. complete (Kitchen Platform front wall, platform vertical patta etc.)</t>
  </si>
  <si>
    <t>Extra for providing opening of required size &amp; shape for wash basin/ kitchen sink in kitchen platform, vanity counter and similar location in marble/Granite/stone work, including necessary holes for pillar taps etc. including moulding, rubbing and polishing of cut edges etc. complete.</t>
  </si>
  <si>
    <t>Providing and fixing in wall lining flat pressed three layer (medium density) particle board or graded wood Pre-laminated one side decorative lamination and other side balancing lamination Grade I, Type II, IS : 12823 marked, including priming coat on unexposed arrangement and screws etc. complete :</t>
  </si>
  <si>
    <t>8.26.1</t>
  </si>
  <si>
    <t>12mm thick</t>
  </si>
  <si>
    <t>Providing and fixing plywood 4 mm thick, one side decorative veneer conforming to IS: 1328 (type-1), for plain lining / cladding with necessary screws, including priming coat on unexposed surface with :</t>
  </si>
  <si>
    <t>8.28.1</t>
  </si>
  <si>
    <t>Decorative veneer facings of approved manufacture</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</si>
  <si>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</si>
  <si>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 xml:space="preserve">Providing and fixing chromium plated brass curtain rod having wall thickness of 1.25mm with two chromium plated brass brackets fixed with C.P. brass screws and PVC sleeves etc., wherever necessary complete : </t>
  </si>
  <si>
    <t>25mmØ</t>
  </si>
  <si>
    <t xml:space="preserve">Providing and fixing M.S. grills of required pattern in frames of windows etc. with M.S. flats, square or round bars etc. including priming coat with approved steel primer all complete. </t>
  </si>
  <si>
    <t xml:space="preserve">Fixed to openings /wooden frames with rawl plugs screws etc. </t>
  </si>
  <si>
    <t xml:space="preserve">Providing 40x5 mm flat iron hold fast 400 mm long including fixing to frame with 10 mm diameter bolts, nuts and wooden plugs and embedding in cement concrete block 300x100x150 mm 1:3:6 mix (1 cement : 3 coarse sand : 6 graded stone aggregate 20mm nominal size). </t>
  </si>
  <si>
    <t>Providing and fixing bright finished brass butt hinges with necessary screws etc. complete :</t>
  </si>
  <si>
    <t>9.72.2</t>
  </si>
  <si>
    <t xml:space="preserve">125x70x4 mm (ordinary type) </t>
  </si>
  <si>
    <t xml:space="preserve">Providing and fixing bright finished brass parliamentary hinges with necessary screws etc. complete : </t>
  </si>
  <si>
    <t>9.73.2</t>
  </si>
  <si>
    <t xml:space="preserve">125x125x27x5 mm </t>
  </si>
  <si>
    <t>Providing and fixing bright finished brass tower bolts (barrel type) with necessary screws etc. complete :</t>
  </si>
  <si>
    <t>9.74.2</t>
  </si>
  <si>
    <t xml:space="preserve">200x10 mm </t>
  </si>
  <si>
    <t xml:space="preserve">Providing and fixing bright finished brass handles with screws etc. complete: </t>
  </si>
  <si>
    <t>9.81.1</t>
  </si>
  <si>
    <t xml:space="preserve">125 mm </t>
  </si>
  <si>
    <t xml:space="preserve">Providing and fixing bright finished brass hanging type floor door stopper with necessary screws, etc. complete. </t>
  </si>
  <si>
    <t xml:space="preserve">Providing and fixing aluminium extruded section body tubular type universal hydraulic door closer (having brand logo with ISI, IS : 3564, embossed on the body, door weight upto 36 kg to 80 kg and door width from 701 mm to 1000 mm), with double speed adjustment with necessary accessories and screws etc. complete. </t>
  </si>
  <si>
    <t xml:space="preserve">Providing and fixing chromium plated brass 100 mm mortice latch and lock with 6 levers and a pair of lever handles of approved quality with necessary screws etc. complete. </t>
  </si>
  <si>
    <t xml:space="preserve">Providing and fixing chromium plated brass night latch of approved quality including necessary screws etc. complete. </t>
  </si>
  <si>
    <t>9.147 A</t>
  </si>
  <si>
    <t>Providing and fixing factory made uPVC glazed/wire mesh windows/doors comprising of uPVC multi-chambered frame, sash and mullion/coupler (where ever required) extruded profiles having wall thickness of 1.70 mm for Series R1 and R2 profiles and 2.10 mm for series R3 &amp; R4 profiles confirming to EN: 12608 in any shape, color and design duly reinforced with galvanized mild steel section made made of required shape &amp; size as per CPWD specifications, uPVC extruded glazing beads, interlocks and inline sash adaptor (where ever required) of appropriate dimensions, EPDM gasket, hardware, SS 304 grade fasteners of minimum dia with countersunk head, comprising of matching polyamide PA6 grade sleeve for fixing frame to finished wall as per IS 1367: Part 1 to 14, plastic packers, plastic caps and necessary stainless steel screws etc. Profile of frame, sash and mullion (if required) shall be mitred cut and fusion welded/mechanically jointed duly sealed all corners, including drilling of holes for fixing hardware and drainage of water etc. After fixing frame the gap between frame and adjecent finished wall shall be filled with weather proof silicon sealant over backer rod of approved size and quality, all complete as per approved size and quality, all complete as per approved drawing confirming to CPWD specification &amp; direction of Engineer-in-Charge. Section of steel reinforcement and cross sections of uPVC profiles to be as per design approved by Engineer-in-Charge.
Wire mesh/glazing of plain/toughened/laminated/double glass unit with/without high perofrmance coatings as per design requirements and confirming to IS: 3548 &amp; IS: 16231 shall be paid separately.
Note: Structural design proof checked from a Government Engineering Institute, to be provided by the manufacturer for:
i) Site with basic wind speed&gt;45 m/sec as per IS 875-Part 3
ii) Sites with structure height more than 20 m for all wind speeds</t>
  </si>
  <si>
    <t>9.147.E5</t>
  </si>
  <si>
    <t>Casement cum fixed panel window having single casement panel both ends &amp; middle fixed panel with SS 304 friction hinges as per size and weight of sash, multi-point locking system, zinc alloy (zamak) powder coated handles.</t>
  </si>
  <si>
    <t>9.147.E5.1</t>
  </si>
  <si>
    <t>Using R2 series with frame (39 mm &amp; above) x (39 mm &amp; above) &amp; sash (39 mm &amp; above) x 960 mm &amp; above) &amp; mullion (39 mm &amp; above) x (60 mm &amp; above). (Height upto 1.2 meter: each openable shutter upto 0.8m width)</t>
  </si>
  <si>
    <t xml:space="preserve">Providing and fixing cupboard shutter with 19mm thick one side decorative and other side balancing lamination factory pressed BWP grade marine ply as per IS 710 of approved brand including 2mm thick PVC edge banding tape with hot glue by edge bending machine etc. with auto closing spring loaded hinges (hydraulic type) etc. complete as per direction of Engineer in-charge.(Payment of providing and fixing auto closing hinges shall be paid separately) </t>
  </si>
  <si>
    <t>Providing and fixing stainless steel fancy handle of approved make fixed with SS screws etc. complete as per direction of Engineer-in-charge.</t>
  </si>
  <si>
    <t>9.170.1</t>
  </si>
  <si>
    <t>200 mm</t>
  </si>
  <si>
    <t xml:space="preserve">Providing and fixing stainless steel soft closing spring hinges at 0 degree hinges (hydraulic type) of approved make/brand to cupboard shutters with full threaded steel screws including making necessary recess in board and finished etc. complete as per direction of Engineer-in-charge. </t>
  </si>
  <si>
    <t xml:space="preserve">Providing and fixing stainless steel soft closing heavy type telescopic drawer channels of approved make 500 mm long with screws etc. complete as per directions of Engineer- in-charge. </t>
  </si>
  <si>
    <t>Providing and fixing ready made 304 grade stainless steel Modular kitchen basket and accessories such as right angle basket (Plain Cup &amp; Saucer, plant, Partition, Bottle rack, Thali, Cutlery) kitchen utensil basket, Dinner set basket, kitchen grain basket, Multipurpose basket as per site requirement including finishing (wherever required) and fittings. The same shall be fixed with necessary stainless steel nuts &amp; bolts, Stainless Steel screws &amp; telescopic channel etc. as per direction of Engineer-in-charge.
(For payment purpose only weight of Stainless steel basket shall be considered excluding weight of all fixing accessories such as nuts, bolts, fasteners telescopic basket channels etc. Payment of providing and fixing telescopic channel shall be paid separately)</t>
  </si>
  <si>
    <t xml:space="preserve">Providing and fixing 2mm thick 16 to 19mm wide PVC edge binding tape of approved quality for cupboard/wardrobe shutters including necessary synthetic resin hot pressed to edges on binding machine etc. complete as per directions of Engineer- in-charge. 
</t>
  </si>
  <si>
    <t xml:space="preserve">62 mm thick cement concrete flooring with concrete hardener topping, under layer 50 mm thick cement concrete 1:2:4 (1 cement : 2 coarse sand : 4 graded stone aggregate 20mm nominal size) and top layer 12mm thick cement hardener consisting of mix 1:2 (1 cement hardener mix : 2 graded stone aggregate, 6mm nominal size) by volume, hardening compound mixed @ 2 litre per 50 kg of cement or as per manufacture’s specifications. This includes cost of cement slurry, but excluding the cost of nosing of steps etc. complete. </t>
  </si>
  <si>
    <t xml:space="preserve">Providing and laying rectified Glazed Ceramic floor tiles of size 300x300 mm or more (thickness to be specified by the manufacturer), of 1st quality conforming to IS : 15622, of approved make, in colours White, Ivory, Grey, Fume Red Brown, laid on 20 mm thick cement mortar 1:4 (1 Cement: 4 Coarse sand), jointing with grey cement slurry @ 3.3 kg/ sqm including grouting the joints with white cement and matching pigments etc., complete. </t>
  </si>
  <si>
    <t>11.41.A</t>
  </si>
  <si>
    <t>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t>
  </si>
  <si>
    <t>11.41A.1</t>
  </si>
  <si>
    <t>Double charge vitrified tile polished finish of size</t>
  </si>
  <si>
    <t>11.41A.1.3</t>
  </si>
  <si>
    <t xml:space="preserve">Size of Tile 600 x 1200 mm </t>
  </si>
  <si>
    <t>Deduct for not using 20 mm thick cement mortar 1:4 (1 cement : 4 coarse sand) bedding in laying of floor tiles and jointing with grey cement slurry @ 3.3 kg/ sqm.</t>
  </si>
  <si>
    <t xml:space="preserve">Fixing glazed/ Ceramic/ Vitrified floor tiles with cement based high polymer modified quick-set tile adhesive (Water based) conforming to IS: 15477, in average 3mm thickness. </t>
  </si>
  <si>
    <t>Grouting the joints of flooring tiles having joints of 3 mm width, using epoxy grout mix of 0.70 kg of organic coated filler of desired shade (0.10 kg of hardener and 0.20 kg of resin per kg), including filling / grouting and finishing complete as per direction of Engineer-in-charge.</t>
  </si>
  <si>
    <t>11.48.3</t>
  </si>
  <si>
    <t>Size of tile 800x800 mm</t>
  </si>
  <si>
    <t>Providing and laying flamed finish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t>
  </si>
  <si>
    <t>11.55.1</t>
  </si>
  <si>
    <t xml:space="preserve">Flamed finish granite stone slab Jet Black, Cherry Red, Elite Brown, Cat Eye or equivalent. </t>
  </si>
  <si>
    <t>Providing and fixing on wall face unplasticised Rigid PVC rain water pipes conforming to IS : 13592 Type A, including jointing with seal ring conforming to IS : 5382, leaving 10 mm gap for thermal expansion, (i) Single socketed pipes.</t>
  </si>
  <si>
    <t>Providing and fixing on wall face unplasticised - PVC moulded fittings/ accessories for unplasticised Rigid PVC rain water pipes conforming to IS : 13592 Type A, including jointing with seal ring conforming to IS : 5382, leaving 10 mm gap for thermal expansion.</t>
  </si>
  <si>
    <t xml:space="preserve">Bend 87.5°  </t>
  </si>
  <si>
    <t>110 mm Shoe</t>
  </si>
  <si>
    <t>Providing and fixing to the inlet mouth of rain water pipe cast iron grating 15 cm diameter and weighing not less than 440 grams.</t>
  </si>
  <si>
    <t>Providing and fixing false ceiling at all height including providing and fixing of frame work made of special sections, power pressed from M.S. sheets and galvanized with zinc coating of 120 gms/sqm  consisting of angle cleats of size 25 mm wide x 1.6 mm thick with flanges of 27 mm and 37mm, at 1200 mm centre to centre, one flange fixed to the ceiling with dash fastener 12.5 mm dia x 50mm long with 6mm dia bolts, other flange of cleat fixed to the angle hangers of 25x10x0.50 mm of required length  fixed with intermediate G.I. channels 45x15x0.9 mm running at the spacing of 1200 mm centre to centre, to which the ceiling section 0.5 mm thick bottom wedge of 80 mm with tapered flanges of 26 mm each having lips of 10.5 mm, at 450 mm centre to centre, shall be fixed in a direction perpendicular to G.I. intermediate channel with connecting clips made out of 2.64 mm dia x 230 mm long G.I. wire at every junction, including fixing perimeter channels 0.5 mm thick 27 mm high having flanges of 20 mm and 30 mm long, the perimeter of ceiling fixed to wall/partition with the help of rawl plugs including fixing of gypsum board to ceiling section and perimeter channel with the help of dry wall screws of size 3.5 x 25 mm at 230 mm c/c, including jointing and finishing to a flush finish of tapered and square edges of the board with recommended jointing compound , jointing tapes , finishing with jointing compound in 3 layers covering upto 150 mm on both sides of joint and two coats of primer suitable for board, all as per manufacturer's specification and also including the cost of making openings for light fittings, grills, diffusers, cutouts made with frame of perimeter channels suitably fixed, all complete as per drawings, specification and direction of the Engineer in Charge but excluding the cost of painting with :</t>
  </si>
  <si>
    <t>12.45.1</t>
  </si>
  <si>
    <t>12.5 mm thick tapered edge gypsum plain board confirming to IS:2095-(Part I) : 201 (Board with BIS certification marks)</t>
  </si>
  <si>
    <t xml:space="preserve">Providing and fixing tiled false ceiling of specified materials of size 595x595 mm in true horizontal level, suspended on inter locking metal grid of hot dipped galvanized steel sections ( galvanized @ 120 grams/ sqm, both side inclusive) consisting of main "T" runner with suitably spaced joints to get required length and of size 24x38 mm made from 0.30 mm thick (minimum) sheet, spaced at 1200 mm center to center and cross "T" of size 24x25 mm made of 0.30 mm thick (minimum) sheet, 1200 mm long spaced between main "T" at 600 mm center to center to form a grid of 1200x600 mm and secondary cross "T" of length 600 mm and size 24x25 mm made of 0.30 mm thick (minimum) sheet to be interlocked at middle of the 1200x600 mm panel to form grids of 600x600 mm and wall angle of size 24x24x0.3 mm and laying false ceiling tiles of approved texture in the grid including, required cutting/making, opening for services like diffusers, grills, light fittings, fixtures, smoke detectors etc. Main "T" runners to be suspended from ceiling using GI slotted cleats of size 27 x 37 x 25 x1.6 mm fixed to ceiling with 12.5 mm dia and 50 mm long dash fasteners, 4 mm GI adjustable rods with galvanised butterfly level clips of size 85 x 30 x 0.8 mm spaced at 1200 mm center to center along main T, bottom exposed width of 24 mm of all T-sections shall be pre-painted with polyester paint, all complete for all heights as per specifications, drawings and as directed by Engineer-in-charge. </t>
  </si>
  <si>
    <t>12.52.1</t>
  </si>
  <si>
    <t>GI Metal Ceiling Lay in plain Tegular edge Global white color tiles of size 595x595 mm, and 0.5 mm thick with 8 mm drop; made of G I sheet having galvanizing of 100 gms/sqm (both sides inclusive) and electro statically polyester powder coated of thickness 60 microns (minimum), including factory painted after bending.</t>
  </si>
  <si>
    <t xml:space="preserve">Providing and fixing Heat Resistant Terrace Tiles (300 mm x 300 mm x 20 mm) with SRI (solar refractive index) &gt; 78, solar reflection &gt; 0.70 and initial emittance &gt; 0.75 on waterproof and sloped surface of terrace, laid on 20 mm thick cement sand mortar in the ratio of 1:4 (1 cement : 4 coarse sand) and grouting the joints with mix of white cement &amp; marble powder in ratio of 1:1, including rubbing and polishing of the surface upto 3 cuts complete, including providing skirting upto 150 mm height along the parapet walls in the same manner. </t>
  </si>
  <si>
    <t xml:space="preserve">15 mm cement plaster on rough side of single or half brick wall finished with a floating coat of neat cement of mix : </t>
  </si>
  <si>
    <t>13.8.2</t>
  </si>
  <si>
    <t>1:4 (1 cement: 4 fine sand)</t>
  </si>
  <si>
    <t xml:space="preserve">18 mm cement plaster in two coats under layer 12 mm thick cement plaster 1:5 (1 cement : 5 coarse sand) and a top layer 6 mm thick cement plaster 1:3 (1 cement : 3 coarse sand) finished rough with sponge. </t>
  </si>
  <si>
    <t xml:space="preserve">Finishing walls with Acrylic Smooth exterior paint  of required shade: </t>
  </si>
  <si>
    <t>13.46.1</t>
  </si>
  <si>
    <t>New work (Two or more coats applied @ 1.67 ltr/10 Sq mtrs over and including priming coat of exterior primer applied @ 0.90 Kg/ 10 sq mtrs).</t>
  </si>
  <si>
    <t>Painting with synthetic enamel paint of approved brand and manufacture of required colour to give an even shade :</t>
  </si>
  <si>
    <t>Two or more coats on new work over an under coat of suitable shade with ordinary paint of approved brand and manufacture</t>
  </si>
  <si>
    <t>Providing and applying white cement based putty of average thickness 1 mm, of approved brand and manufacturer, over the plastered wall surface to prepare the surface even and smooth complete.</t>
  </si>
  <si>
    <t>Wall painting with premium acrylic emulsion paint of interior grade, having VOC (Volatile Organic Compound ) content less than 50 grams/litre of approved brand and manufacture, including applying additional coats wherever required to achieve even shade and colour.</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</si>
  <si>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 :</t>
  </si>
  <si>
    <t>White Vitreous china Orissa pattern W.C. pan of size 580x440 mm with integral type foot rests</t>
  </si>
  <si>
    <t>Providing and fixing wash basin with C.I. brackets, 15 mm C.P. brass pillar taps, 32 mm C.P. brass waste of standard pattern, including painting of fittings and brackets, cutting and making good the walls wherever require:</t>
  </si>
  <si>
    <t xml:space="preserve">Providing and fixing Stainless Steel A ISI 304 (18/8) kitchen sink as per IS:13983 counter type fitted in garnite platform with C.I. brackets and stainless steel plug 40 mm, including painting of fittings and brackets, cutting and making good the walls wherever required </t>
  </si>
  <si>
    <t xml:space="preserve">Kitchen sink with drain board </t>
  </si>
  <si>
    <t>17.10.1.1</t>
  </si>
  <si>
    <t>Size 510 x 1040 bowl depth 250 mm</t>
  </si>
  <si>
    <t>17.22.A</t>
  </si>
  <si>
    <t xml:space="preserve">Providing and fixing CP Brass 32mm size Bottle Trap of approved quality &amp; make and as per the direction of Engineer-in-charge. </t>
  </si>
  <si>
    <t>17.22 B</t>
  </si>
  <si>
    <t xml:space="preserve">Providing and fixing CP Brass Single lever telephonic wall mixer of quality &amp; make as approved by Engineer in charge. </t>
  </si>
  <si>
    <t>17.22.B (a)</t>
  </si>
  <si>
    <t xml:space="preserve">15 mm nominal dia </t>
  </si>
  <si>
    <t xml:space="preserve">Semi rigid pipe </t>
  </si>
  <si>
    <t>40mm Ø</t>
  </si>
  <si>
    <t xml:space="preserve">Providing and fixing 100 mm sand cast Iron grating for gully trap. 
</t>
  </si>
  <si>
    <t>17.32</t>
  </si>
  <si>
    <t xml:space="preserve">Providing and fixing mirror of superior glass (of approved quality) and of required shape and size with plastic moulded frame of approved make and shade with 6 mm thick hard board backing : </t>
  </si>
  <si>
    <t>17.32.4</t>
  </si>
  <si>
    <t xml:space="preserve">Rectangular shape 1500x450 mm </t>
  </si>
  <si>
    <t>Providing and fixing PTMT Waste Coupling for wash basin and sink, of approved quality and colour.</t>
  </si>
  <si>
    <t>Providing and fixing PTMT Bottle Trap for Wash basin and sink.</t>
  </si>
  <si>
    <t>17.70.1</t>
  </si>
  <si>
    <t>Bottle trap 31mm single piece moulded with height of 270 mm, effective length of tail pipe 260 mm from the centre of the waste coupling, 77 mm breadth with 25 mm minimum water seal, weighing not less than 260 gms</t>
  </si>
  <si>
    <t>Providing and fixing PTMT liquid soap container 109 mm wide,125 mm high and 112 mm distance from wall of standard shape with bracket of the same materials with snap fittings of approved quality and colour, weighing not less than 105 gms.</t>
  </si>
  <si>
    <t xml:space="preserve">Providing and fixing PTMT towel ring trapezoidal shape 215 mm long, 200 mm wide with a minimum distances of 37 mm from wall face with concealed fittings arrangement of approved quality and colour weighing not less than 88 gms </t>
  </si>
  <si>
    <t>Providing and fixing PTMT towel rail complete with brackets fixed to wooden cleats with CP brass screws with concealed fittings arrangement of approved quality and colour.</t>
  </si>
  <si>
    <t xml:space="preserve">600 mm long towel rail with total length of 645 mm, width 78 mm and effective height of 88 mm, weighing not less than 190 gms. </t>
  </si>
  <si>
    <t>Providing and fixing white vitreous china extended wall mounting water closet of size 780x370x690 mm of approved shape including providing &amp; fixing white vitreous china cistern with dual flush fitting, of flushing capacity 3 litre/ 6 litre (adjustable to 4 litre/ 8 litres), including seat cover, and cistern fittings, nuts, bolts and gasket etc complete.</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</si>
  <si>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</si>
  <si>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18.7.3</t>
  </si>
  <si>
    <t>25 mm nominal dia Pipes</t>
  </si>
  <si>
    <t>18.7.6</t>
  </si>
  <si>
    <t xml:space="preserve">50 mm nominal dia Pipes </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</si>
  <si>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</si>
  <si>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18.8.3</t>
  </si>
  <si>
    <t>25 mm nominal outer dia Pipes</t>
  </si>
  <si>
    <t>Providing and fixing G.I. pipes complete with G.I. fittings and clamps, i/c cutting and making good the walls etc. Internal work - Exposed on wall</t>
  </si>
  <si>
    <t>18.10.6</t>
  </si>
  <si>
    <t>50 mm dia nominal bore</t>
  </si>
  <si>
    <t>Providing and fixing gun metal gate valve with C.I. wheel of approved quality (screwed end) :</t>
  </si>
  <si>
    <t xml:space="preserve">18.17.2 </t>
  </si>
  <si>
    <t xml:space="preserve">18.17.3 </t>
  </si>
  <si>
    <t xml:space="preserve">40 mm nominal bore </t>
  </si>
  <si>
    <t xml:space="preserve">Providing and fixing uplasticised PVC connection pipe with brass unions </t>
  </si>
  <si>
    <t>18.21.2.2</t>
  </si>
  <si>
    <t>20 mm nominal bore</t>
  </si>
  <si>
    <t xml:space="preserve">Providing and fixing C.P. brass shower rose with 15 or 20 mm inlet : 
</t>
  </si>
  <si>
    <t>18.22.2</t>
  </si>
  <si>
    <t>150 mm diameter</t>
  </si>
  <si>
    <t>Providing and fixing G.I. Union in G.I. pipe including cutting and threading the pipe and making long screws etc. complete (New work) :</t>
  </si>
  <si>
    <t>18.46.6</t>
  </si>
  <si>
    <t>50 mm nominal bore</t>
  </si>
  <si>
    <t xml:space="preserve">Providing and placing on terrace polyethylene water storage tank, IS : 12701 marked, with cover and suitable locking arrangement and making necessary holes for inlet, outlet and overflow pipes but without fittings and the base support for tank. </t>
  </si>
  <si>
    <t>Providing &amp; fixing CP brass bib cock of approved quality conforming IS:8931.</t>
  </si>
  <si>
    <t>Providing and fixing C.P. brass long nose bib cock of approved quality conforming to IS standards and weighing not less than 810 gms.</t>
  </si>
  <si>
    <t>18.50.1</t>
  </si>
  <si>
    <t>Providing &amp; fixing CP brass long body  bib cock of approved quality conforming IS standards and weighing not less than 690gms</t>
  </si>
  <si>
    <t>Providing and fixing C.P. brass stop cock (concealed) of standard design and of approved make conforming to IS:8931.</t>
  </si>
  <si>
    <t>Providing &amp; fixing CP brass angle valve for basin mixer and geyser points of approved quality conforming to IS:8931.</t>
  </si>
  <si>
    <t>18.53.A</t>
  </si>
  <si>
    <t>Providing and fixing C.P. Brass extension nipple (size 15mmx50mm) of approved make and quality as per direction of Engineer-in-charge.</t>
  </si>
  <si>
    <t>Providing and fixing PTMT grating of approved quality and colour :</t>
  </si>
  <si>
    <t>Rectangular type with openable circular lid</t>
  </si>
  <si>
    <t>150 mm nominal size square, 100mm diametre of the inner hinged round grating.</t>
  </si>
  <si>
    <t xml:space="preserve">Providing and fixing PTMT Ball cock of approved quality, colour and make complete with Epoxy coated aluminium rod with L.P./ H.P.H.D. plastic ball.       </t>
  </si>
  <si>
    <t>18.62.4</t>
  </si>
  <si>
    <t>40 mm nominal bore, 206mm long, weighing not less than 690 gms</t>
  </si>
  <si>
    <t>18.62.5</t>
  </si>
  <si>
    <t>50 mm nominal bore, 242mm long, weighing not less 1240 grams</t>
  </si>
  <si>
    <t>Providing, laying and jointing glazed stoneware pipes class SP-1 with stiff mixture of cement mortar in the proportion of 1:1 (1 cement : 1 fine sand) including testing of joints etc. complete :</t>
  </si>
  <si>
    <t>19.1.2</t>
  </si>
  <si>
    <t>19.4.2</t>
  </si>
  <si>
    <t>150 x 100 mm size P type</t>
  </si>
  <si>
    <t>19.4.2.2</t>
  </si>
  <si>
    <t>With sewer bricks conforming to IS : 4885</t>
  </si>
  <si>
    <t>Providing and laying non-pressure NP2 class (light duty) R.C.C. pipes with collars jointed with stiff mixture of cement mortar in the proportion of 1:2 (1 cement : 2 fine sand) including testing of joints etc. complete :</t>
  </si>
  <si>
    <t>19.6.4</t>
  </si>
  <si>
    <t>300 mm dia. R.C.C. pipe</t>
  </si>
  <si>
    <t>Constructing brick masonry manhole in cement mortar 1:4 ( 1 cement : 4 coarse sand ) with R.C.C. top slab with 1:1.5:3 mix (1 cement : 1.5 coarse sand (zone-III) : 3 graded stone aggregate 20 mm nominal size), foundation concrete 1:4:8 mix (1 cement : 4 coarse sand (zone-III)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t>
  </si>
  <si>
    <t>Inside size 90x80 cm and 45 cm deep including  with frame (light duty) 455x610 mm internal dimensions, total weight of cover and frame to be not less than 38 kg (weight of cover 23 kg and weight of frame 15 kg) :</t>
  </si>
  <si>
    <t>With Sewer bricks confirming to IS : 4885</t>
  </si>
  <si>
    <t>Extra for depth for manholes Size 90x80 cm</t>
  </si>
  <si>
    <t>19.8.1.2</t>
  </si>
  <si>
    <t xml:space="preserve">Constructing brick masonry road gully chamber 50x45x60 cm with bricks in cement mortar 1:4 (1 cement : 4 coarse sand) including 500x450 mm pre-cast R.C.C. horizontal grating with frame complete as per standard design : </t>
  </si>
  <si>
    <t>19.27.1</t>
  </si>
  <si>
    <t xml:space="preserve">With common burnt clay F.P.S. (non modular) bricks of class designation 7.5 </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</si>
  <si>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</si>
  <si>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21.1.1.2</t>
  </si>
  <si>
    <t xml:space="preserve">Powder coated aluminium (minimum
thickness of powder coating 50 micron) </t>
  </si>
  <si>
    <t>21.1.2.2</t>
  </si>
  <si>
    <t>Powder coated aluminium (minimum
thickness of powder coating 50 micron)</t>
  </si>
  <si>
    <t>With float glass panes of 5 mm thickness (weight not less than 12.50 kg/sqm)</t>
  </si>
  <si>
    <t>Providing and fixing aluminium tubular handle bar 32 mm outer dia, 3.0 mm thick &amp; 2100 mm long with SS screws etc .complete as per direction of Engineer-in-Charge.</t>
  </si>
  <si>
    <t>21.12.2</t>
  </si>
  <si>
    <t xml:space="preserve">Powder coated minimum thickness 50 micron aluminium tubular handle bar </t>
  </si>
  <si>
    <t>21.13</t>
  </si>
  <si>
    <t xml:space="preserve">Providing and fixing Brass 100mm mortice latch and lock with 6 levers without pair of handles (best make of approved quality) for aluminium doors including necessary cutting and making good etc. complete. 
</t>
  </si>
  <si>
    <t>Providing and fixing aluminium casement windows fastener of required length for aluminium windows with necessary screws etc. complete.</t>
  </si>
  <si>
    <t>21.15.2</t>
  </si>
  <si>
    <t>Powder coated minimum thickness 50 micron aluminium</t>
  </si>
  <si>
    <t xml:space="preserve">Providing and fixing factory made single extruded WPC (Wood Polymer Composite) solid door/window/clerestory windows &amp; desertory other Frames/Chowkhat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 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t>
  </si>
  <si>
    <t>26.86.3</t>
  </si>
  <si>
    <t xml:space="preserve">Frame size 50 x 100 mm </t>
  </si>
  <si>
    <t>26.86.5</t>
  </si>
  <si>
    <t>Frame size 65 x 100 mm</t>
  </si>
  <si>
    <t>26.88</t>
  </si>
  <si>
    <t xml:space="preserve">Providing and fixing factory made single extruded WPC (Wood Polymer Composite) solid decorative type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 mm2, modulus of elasticity 850 N/mm2 and resistance to spread of flame of Class A category with property of being termite/ borer proof, water/moisture proof and fire retardant. WPC to be laminated with PVC foil of minimum 14 microns thick of approved design pasted with hot melt adhesive on both faces of shutter and fixing with stainless steel butt hinges of required size with necessary full body threaded star headed counter sunk S.S screws, all as per direction of Engineer-In- Charge. (Note: stainless steel butt hinges and necessary S.S screws shall be paid separately) </t>
  </si>
  <si>
    <t>26.88.2</t>
  </si>
  <si>
    <t>35 mm thick</t>
  </si>
  <si>
    <t/>
  </si>
  <si>
    <t>cum</t>
  </si>
  <si>
    <t>one set</t>
  </si>
  <si>
    <t>sqm.</t>
  </si>
  <si>
    <t>a)</t>
  </si>
  <si>
    <t>b)</t>
  </si>
  <si>
    <t>c)</t>
  </si>
  <si>
    <t>d)</t>
  </si>
  <si>
    <t>e)</t>
  </si>
  <si>
    <t xml:space="preserve">Providing, fixing , laying, testing &amp; commissioning (Concealed/surface mounted or underground) PVC SWR Rigid pipes confirming to IS 13592-1992 of PRINCE/SUPREME/ FINOLEX or equivalent make of working pressure 6kg/sq.cm for drainage line excluding necessary fittings such as couplers, bends, tees, cross tees, cowls, clamps, rubber packing ring etc. joining with adhessive solvent cement including cost of jointing materials and all other necessary fixtures, fitting, air and water tight testing of the line etc. complete at all levels. </t>
  </si>
  <si>
    <t>PVC SWR Rigid pipes 75mmØ Inner Diameter bathroom and kitchen waste Drain Pipe</t>
  </si>
  <si>
    <t>PVC SWR Rigid pipes 100mmØ inner Diameter bathroom and kitchen waste Drain Pipe</t>
  </si>
  <si>
    <t>PVC SWR Rigid pipes 150mmØ inner Diameter WC solid waste Drain Pipe</t>
  </si>
  <si>
    <t>PVC SWR Rigid pipe plain bend 75 mm dia</t>
  </si>
  <si>
    <t>PVC SWR Rigid pipe plain bend 100 mm dia</t>
  </si>
  <si>
    <t>PVC SWR Rigid pipe plain bend 160 mm dia</t>
  </si>
  <si>
    <t>PVC SWR Rigid pipe bend with access door 75 mm dia</t>
  </si>
  <si>
    <t>PVC SWR Rigid pipe bend with access door 100 mm dia</t>
  </si>
  <si>
    <t>PVC SWR Rigid pipe bend with access door 160 mm dia</t>
  </si>
  <si>
    <t>PVC SWR Rigid pipe plain single equal junctions 75x75x75 mm dia</t>
  </si>
  <si>
    <t>PVC SWR Rigid pipe plain single equal junctions 100x100x100 mm dia</t>
  </si>
  <si>
    <t>PVC SWR Rigid pipe plain single equal junctions 150x150x150 mm dia</t>
  </si>
  <si>
    <t>PVC SWR Rigid pipe single equal junctions 75x75x75 mm dia with access door</t>
  </si>
  <si>
    <t>PVC SWR Rigid pipe single equal junctions 100x100x100 mm dia with access Door</t>
  </si>
  <si>
    <t>PVC SWR Rigid pipe single equal junctions 150x150x150 mm dia with access Door</t>
  </si>
  <si>
    <t>Slotted cowl (terminal guard) 75 mm dia</t>
  </si>
  <si>
    <t>Slotted cowl (terminal guard) 100 mm dia</t>
  </si>
  <si>
    <t>Slotted cowl (terminal guard) 150 mm dia</t>
  </si>
  <si>
    <t>Metal Pipe Clip 75mm</t>
  </si>
  <si>
    <t>Metal Pipe Clip 100mm</t>
  </si>
  <si>
    <t>Metal Pipe Clip 150mm</t>
  </si>
  <si>
    <t>NS-01</t>
  </si>
  <si>
    <t>NS-01 a)</t>
  </si>
  <si>
    <t>NS-01 b)</t>
  </si>
  <si>
    <t>NS-01 c)</t>
  </si>
  <si>
    <t>NS-01 d)</t>
  </si>
  <si>
    <t>NS-01 e)</t>
  </si>
  <si>
    <t>NS-01 f)</t>
  </si>
  <si>
    <t>NS-01 g)</t>
  </si>
  <si>
    <t>NS-01 h)</t>
  </si>
  <si>
    <t>NS-01 i)</t>
  </si>
  <si>
    <t>NS-01 j)</t>
  </si>
  <si>
    <t>NS-01 k)</t>
  </si>
  <si>
    <t>NS-01 l)</t>
  </si>
  <si>
    <t>NS-01 m)</t>
  </si>
  <si>
    <t>NS-01 n)</t>
  </si>
  <si>
    <t>NS-01 o)</t>
  </si>
  <si>
    <t>NS-01 p)</t>
  </si>
  <si>
    <t>NS-01 q)</t>
  </si>
  <si>
    <t>NS-01 r)</t>
  </si>
  <si>
    <t>NS-01 s)</t>
  </si>
  <si>
    <t>NS-01 t)</t>
  </si>
  <si>
    <t>NS-01 u)</t>
  </si>
  <si>
    <t>NS-02</t>
  </si>
  <si>
    <t>No</t>
  </si>
  <si>
    <t>Supplying and stacking of good earth at site including royalty and carriage upto 5 km lead complete (earth measured in stacks will be reduced by 20% for payment).</t>
  </si>
  <si>
    <t>Supplying and stacking sludge at site including royalty and carriage upto 5 km lead complete (sludge measured in stacks will be reduced by 8% for payment).</t>
  </si>
  <si>
    <t xml:space="preserve">Supplying and stacking at site dump manure from approved source, including carriage upto 5 km lead complete (manure measured in stacks will be reduced by 8% for payment) : </t>
  </si>
  <si>
    <t>2.4.1</t>
  </si>
  <si>
    <t xml:space="preserve">Screened through sieve of I.S. designation 20 mm </t>
  </si>
  <si>
    <t>Spreading of sludge, dump manure and/or good earth in required thickness as per direction of officer-in-charge (cost of sludge, dump manure and/ or good earth to be paid separately).</t>
  </si>
  <si>
    <t>Cum.</t>
  </si>
  <si>
    <t>---</t>
  </si>
  <si>
    <t>4 way (4 + 12), Double door</t>
  </si>
  <si>
    <t>63A</t>
  </si>
  <si>
    <t>1.21.2</t>
  </si>
  <si>
    <t>2,15.3</t>
  </si>
  <si>
    <t>Supply and installation of Ceiling light  surface mounted 2x2 36W LED luminaire having CRI≥80, PF≥0.9,IP 20 protection complete with diffuser  and lamp having minimum two years warranty for Living/drawing room area  as per drawing, civil  layout, site condition and direction of engg-in-charge.</t>
  </si>
  <si>
    <t xml:space="preserve">Supply and installation of Decorativ,  Ceiling light  surface mounted having CRI ≥ 80 PF≥0.9,IP 20 protection, ≥80 lumens/watt  with electronic driver and 12W LED lamp having minimum life 50000 burning hours and minimum 2 years warranty. Pre-wired with 230V rated and suitable for 1.5 sqmm wire connection ready to use as per drawing, civil  layout, site condition and direction of engg-in-charge. </t>
  </si>
  <si>
    <t>Supplying,delivery,erecting, testing and commissioning of environment friendly energy efficient sleek energy saver luminaire of 20W LED light fixture having CRI≥80, PF≥0.9,IP 20 protection,  life minimum 50000 burning hours and minimum two years waranty. Pre-wired with 230V having in-built driver pre-fitted with lamp having high efficacy of greater than or equal to 100 lm/W along with other accessories connected with necessary 1.5 sq.mm flexible wire as required as per interior layout, site condition and direction of engg-in-charge.</t>
  </si>
  <si>
    <t xml:space="preserve">Supplying,delivery,erecting, testing and commissioning of asthetically designed decorative wall/ceiling mounting fixture along with suitable  15W  retrofit LED lamp having CRI≥80, PF≥0.9,IP 20 protection ,minimum two years warranty life minimum 50000 burning hours. Pre-wired with 230V rated and suitable for 1.5 sqmm wire connection ready to use as per drawing, civil  layout, site condition and direction of engg-in-charge. </t>
  </si>
  <si>
    <t xml:space="preserve">Supply delivery,testing and erecting 10 Watt LED  Mirror Light fixture  with minimum two years warranty  having  CRI≥80, PF≥0.9, life minimum 50000 burning hours  . Pre-wired with 230V rated and suitable for 1.5 sqmm wire connection ready to use as per drawing, civil  layout, site condition and direction of engg-in-charge. </t>
  </si>
  <si>
    <t>Supplying, erecting, testing and commissioning of high speed 48" (1200mm sweep) , 350 RPM , Air Delivery 220 CMM ,BLDC ceiling fan with condenser A.C. 230V, 50 cycles with canopy, down rod upto 300mm length with rubber bushing, bolts &amp; nuts in the provided fan hook box of required size complete erected  of  Havells Efficiencia Neo  model or  Equivalent  make.</t>
  </si>
  <si>
    <t>Supplying, delivery,erecting, testing and commissioning of exhaust fan of 1200 RPM of 250mm  size Air Delivery 860 CMH Made of High quality engineering plastic resistant to colour change with anti static properety  with bracket blades complete for light duty suitable for operate 230V 50Hz, AC supply. with cawl for using in Kitchen Havells Ventilair DX model  or  Equivalent  make.</t>
  </si>
  <si>
    <t>Supplying and fixing 63 A rating, 415 V, 15 kA, "C" curve, FOUR POLE
miniature circuit breaker suitable for inductive load of following poles in the   existing   MCB   DB   complete   with   connections,   testing   and commissioning etc. as required.</t>
  </si>
  <si>
    <t>63 A MCB</t>
  </si>
  <si>
    <t>40 A MCB</t>
  </si>
  <si>
    <t>e</t>
  </si>
  <si>
    <t>TOTAL SCHEDULE NO.-3E</t>
  </si>
  <si>
    <t xml:space="preserve">Supply &amp; Installation Charges- Schedule Civil Items </t>
  </si>
  <si>
    <t xml:space="preserve">Installation Charges- Non-Schedule Civil Items </t>
  </si>
  <si>
    <t xml:space="preserve">Supply &amp; Installation Charges- Schedule Electrical Items </t>
  </si>
  <si>
    <t>Supply &amp; Installation Charges- Schedule Horticulture Items</t>
  </si>
  <si>
    <t xml:space="preserve">Supply &amp; Installation Charges- Non Schedule Electrical Items </t>
  </si>
  <si>
    <t>Description
(DSR'23 Items- Civil Works)</t>
  </si>
  <si>
    <t>120000345</t>
  </si>
  <si>
    <t>995433</t>
  </si>
  <si>
    <t>120000354</t>
  </si>
  <si>
    <t>170000817</t>
  </si>
  <si>
    <t>995414</t>
  </si>
  <si>
    <t>120000392</t>
  </si>
  <si>
    <t>120000442</t>
  </si>
  <si>
    <t>995454</t>
  </si>
  <si>
    <t>120000489</t>
  </si>
  <si>
    <t>120000499</t>
  </si>
  <si>
    <t>995457</t>
  </si>
  <si>
    <t>120000501</t>
  </si>
  <si>
    <t>120000503</t>
  </si>
  <si>
    <t>120000504</t>
  </si>
  <si>
    <t>120000518</t>
  </si>
  <si>
    <t>120000532</t>
  </si>
  <si>
    <t>120000543</t>
  </si>
  <si>
    <t>995478</t>
  </si>
  <si>
    <t>120003380</t>
  </si>
  <si>
    <t>995421</t>
  </si>
  <si>
    <t>120003382</t>
  </si>
  <si>
    <t>120000568</t>
  </si>
  <si>
    <t>120000601</t>
  </si>
  <si>
    <t>995456</t>
  </si>
  <si>
    <t>120000606</t>
  </si>
  <si>
    <t>120000616</t>
  </si>
  <si>
    <t>120000739</t>
  </si>
  <si>
    <t>995474</t>
  </si>
  <si>
    <t>120000741</t>
  </si>
  <si>
    <t>120000742</t>
  </si>
  <si>
    <t>120000743</t>
  </si>
  <si>
    <t>170002821</t>
  </si>
  <si>
    <t>120000863</t>
  </si>
  <si>
    <t>995476</t>
  </si>
  <si>
    <t>120000867</t>
  </si>
  <si>
    <t>120000873</t>
  </si>
  <si>
    <t>120000928</t>
  </si>
  <si>
    <t>120000935</t>
  </si>
  <si>
    <t>120000939</t>
  </si>
  <si>
    <t>120000952</t>
  </si>
  <si>
    <t>120000955</t>
  </si>
  <si>
    <t>120000957</t>
  </si>
  <si>
    <t>120000965</t>
  </si>
  <si>
    <t>120000966</t>
  </si>
  <si>
    <t>100050402</t>
  </si>
  <si>
    <t>995432</t>
  </si>
  <si>
    <t>100050403</t>
  </si>
  <si>
    <t>100050404</t>
  </si>
  <si>
    <t>100050405</t>
  </si>
  <si>
    <t>100050406</t>
  </si>
  <si>
    <t>120001172</t>
  </si>
  <si>
    <t>120001248</t>
  </si>
  <si>
    <t>120003394</t>
  </si>
  <si>
    <t>120001254</t>
  </si>
  <si>
    <t>120001255</t>
  </si>
  <si>
    <t>120001268</t>
  </si>
  <si>
    <t>120003396</t>
  </si>
  <si>
    <t>120001351</t>
  </si>
  <si>
    <t>995453</t>
  </si>
  <si>
    <t>120001353</t>
  </si>
  <si>
    <t>120001361</t>
  </si>
  <si>
    <t>120001363</t>
  </si>
  <si>
    <t>120001365</t>
  </si>
  <si>
    <t>120001366</t>
  </si>
  <si>
    <t>120001367</t>
  </si>
  <si>
    <t>120001383</t>
  </si>
  <si>
    <t>120001390</t>
  </si>
  <si>
    <t>120001414</t>
  </si>
  <si>
    <t>995472</t>
  </si>
  <si>
    <t>120001466</t>
  </si>
  <si>
    <t>995473</t>
  </si>
  <si>
    <t>120001419</t>
  </si>
  <si>
    <t>120001491</t>
  </si>
  <si>
    <t>120001511</t>
  </si>
  <si>
    <t>120001517</t>
  </si>
  <si>
    <t>120001522</t>
  </si>
  <si>
    <t>120001868</t>
  </si>
  <si>
    <t>120001886</t>
  </si>
  <si>
    <t>120001899</t>
  </si>
  <si>
    <t>120003124</t>
  </si>
  <si>
    <t>120003125</t>
  </si>
  <si>
    <t>120001936</t>
  </si>
  <si>
    <t>120001939</t>
  </si>
  <si>
    <t>120001940</t>
  </si>
  <si>
    <t>120001941</t>
  </si>
  <si>
    <t>120001945</t>
  </si>
  <si>
    <t>120001947</t>
  </si>
  <si>
    <t>120002049</t>
  </si>
  <si>
    <t>120002050</t>
  </si>
  <si>
    <t>120002052</t>
  </si>
  <si>
    <t>120002053</t>
  </si>
  <si>
    <t>120002055</t>
  </si>
  <si>
    <t>120002056</t>
  </si>
  <si>
    <t>120002062</t>
  </si>
  <si>
    <t>120002104</t>
  </si>
  <si>
    <t>995424</t>
  </si>
  <si>
    <t>120002106</t>
  </si>
  <si>
    <t>120002107</t>
  </si>
  <si>
    <t>120002109</t>
  </si>
  <si>
    <t>120002110</t>
  </si>
  <si>
    <t>120002108</t>
  </si>
  <si>
    <t>120002127</t>
  </si>
  <si>
    <t>120002146</t>
  </si>
  <si>
    <t>120002147</t>
  </si>
  <si>
    <t>120002171</t>
  </si>
  <si>
    <t>120002172</t>
  </si>
  <si>
    <t>120002174</t>
  </si>
  <si>
    <t>120002275</t>
  </si>
  <si>
    <t>120002286</t>
  </si>
  <si>
    <t>120002287</t>
  </si>
  <si>
    <t>120002288</t>
  </si>
  <si>
    <t>120002289</t>
  </si>
  <si>
    <t>120002290</t>
  </si>
  <si>
    <t>120002291</t>
  </si>
  <si>
    <t>120003126</t>
  </si>
  <si>
    <t>120002305</t>
  </si>
  <si>
    <t>120002320</t>
  </si>
  <si>
    <t>120002321</t>
  </si>
  <si>
    <t>120002625</t>
  </si>
  <si>
    <t>120002641</t>
  </si>
  <si>
    <t>120002655</t>
  </si>
  <si>
    <t>120002666</t>
  </si>
  <si>
    <t>120002672</t>
  </si>
  <si>
    <t>120002722</t>
  </si>
  <si>
    <t>120002791</t>
  </si>
  <si>
    <t>120002794</t>
  </si>
  <si>
    <t>120002799</t>
  </si>
  <si>
    <t>120002807</t>
  </si>
  <si>
    <t>120002817</t>
  </si>
  <si>
    <t>120002819</t>
  </si>
  <si>
    <t>120002822</t>
  </si>
  <si>
    <t>120003503</t>
  </si>
  <si>
    <t>995428</t>
  </si>
  <si>
    <t>Name of Package: Extension of Transit Camp Building at POWERGRID Gwalior Sub-Station</t>
  </si>
  <si>
    <t>Installation Charges- Sch 3A:-Schedule Items for Extension of Transit Camp Building at POWERGRID Gwalior Sub-Station</t>
  </si>
  <si>
    <t>Installation Charges- Sch 3B: Non-Schedule Items for Extension of Transit Camp Building at POWERGRID Gwalior Sub-Station.</t>
  </si>
  <si>
    <r>
      <t>In case of JV partners more than 2, enter details of 3</t>
    </r>
    <r>
      <rPr>
        <vertAlign val="superscript"/>
        <sz val="10"/>
        <rFont val="Aptos"/>
        <family val="2"/>
      </rPr>
      <t>rd</t>
    </r>
    <r>
      <rPr>
        <sz val="10"/>
        <rFont val="Aptos"/>
        <family val="2"/>
      </rPr>
      <t xml:space="preserve"> &amp; more partners along with details of 2</t>
    </r>
    <r>
      <rPr>
        <vertAlign val="superscript"/>
        <sz val="10"/>
        <rFont val="Aptos"/>
        <family val="2"/>
      </rPr>
      <t>nd</t>
    </r>
    <r>
      <rPr>
        <sz val="10"/>
        <rFont val="Aptos"/>
        <family val="2"/>
      </rPr>
      <t xml:space="preserve"> partner.</t>
    </r>
  </si>
  <si>
    <r>
      <t>Schedule Items:</t>
    </r>
    <r>
      <rPr>
        <sz val="10"/>
        <rFont val="Aptos"/>
        <family val="2"/>
      </rPr>
      <t xml:space="preserve"> only % above/below DSR-2014 is to be filled up.</t>
    </r>
  </si>
  <si>
    <r>
      <rPr>
        <b/>
        <sz val="10"/>
        <rFont val="Aptos"/>
        <family val="2"/>
      </rPr>
      <t>Non-Schedule Items</t>
    </r>
    <r>
      <rPr>
        <sz val="10"/>
        <rFont val="Aptos"/>
        <family val="2"/>
      </rPr>
      <t>: Fill up unit rates for all the items in numeric values greater than 0 (zero). If unit rate is left blank, the corresponding item shall be deemed to be included in the total price.</t>
    </r>
  </si>
  <si>
    <r>
      <t>Bid from 2</t>
    </r>
    <r>
      <rPr>
        <b/>
        <vertAlign val="superscript"/>
        <sz val="10"/>
        <color indexed="12"/>
        <rFont val="Aptos"/>
        <family val="2"/>
      </rPr>
      <t>nd</t>
    </r>
    <r>
      <rPr>
        <b/>
        <sz val="10"/>
        <color indexed="12"/>
        <rFont val="Aptos"/>
        <family val="2"/>
      </rPr>
      <t xml:space="preserve"> Envelope :</t>
    </r>
  </si>
  <si>
    <t>120000847</t>
  </si>
  <si>
    <t>120003230</t>
  </si>
  <si>
    <t>120003494</t>
  </si>
  <si>
    <t>100037408</t>
  </si>
  <si>
    <t>120003392</t>
  </si>
  <si>
    <t>995462</t>
  </si>
  <si>
    <t>Gwalior SS</t>
  </si>
  <si>
    <t>Description
(DSR'2020 Items- Horticulture Works)</t>
  </si>
  <si>
    <r>
      <t>2 X 1.5 sq. mm + 1    X 1.5 sq</t>
    </r>
    <r>
      <rPr>
        <sz val="10"/>
        <color indexed="8"/>
        <rFont val="Aptos"/>
        <family val="2"/>
      </rPr>
      <t>.  mm earth wire</t>
    </r>
  </si>
  <si>
    <r>
      <t>2 X 2.5 sq. mm + 1    X 2.5 sq</t>
    </r>
    <r>
      <rPr>
        <sz val="10"/>
        <color indexed="8"/>
        <rFont val="Aptos"/>
        <family val="2"/>
      </rPr>
      <t>.  mm earth wire</t>
    </r>
  </si>
  <si>
    <t>BILL OF QUANTITY FOR: Extension of Transit Camp Building at POWERGRID Gwalior Sub-Station</t>
  </si>
  <si>
    <t>COST ESTIMATE  FOR INTERNAL ELECTRIFICATION WORKS OF  Extension of Transit Camp Building at POWERGRID Gwalior Sub-Station</t>
  </si>
  <si>
    <t>S. No.</t>
  </si>
  <si>
    <t>DSR (E&amp;M 2022 Item No.)</t>
  </si>
  <si>
    <t>Supplying and fixing suitable size GI box with modular plate and cover in front on surface or in recess, including providing and fixing 3 pin 5/6 A modular socket outlet and 5/6 A modular switch, connections etc. as required.</t>
  </si>
  <si>
    <t>Supplying and fixing suitable size GI box with modular plate and cover in front on surface or in recess, including providing and fixing 6 pin 5/6 &amp; 15/16 A modular socket outlet and 15/16 A modular switch, connections etc. as required.</t>
  </si>
  <si>
    <t>Supplying and drawing following pair 0.5 mm dia FRLS PVC insulated annealed copper conductor, unarmored telephone cable in the existing surface/ recessed steel/ PVC conduit as required.</t>
  </si>
  <si>
    <t>Supplying and fixing of following sizes of medium class PVC conduit along with accessories in surface/recess including cutting the wall and making good the same in case of recessed conduit as required.</t>
  </si>
  <si>
    <t>Supplying and fixing following modular switch/ socket on the existing modular plate &amp; switch box including connections but excluding modular plate etc. as required.</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</si>
  <si>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MCB/RCCB/lsolator).</t>
  </si>
  <si>
    <t>Supplying   and  fixing  following   rating,  four  pole,  (three phase and neutral),  415 volts,  residual  current  circuit  breaker  (RCCB),  having a sensitivity   current    30  mA  in the  existing   MCB  DB  complete with connections, testing and commissioning etc. as required.</t>
  </si>
  <si>
    <t>Providing and fixing 25 mm X 5 mm G.I. strip in 40 mm dia G.I. pipe from earth electrode including connection with G.I. nut, bolt, spring, washer excavation and re-fillinq  etc. as required.</t>
  </si>
  <si>
    <t>995461</t>
  </si>
  <si>
    <t>Name of Package:  Extension of Transit Camp Building at POWERGRID Gwalior Sub-Station</t>
  </si>
  <si>
    <t>Installation Charges- Sch 3D: Schedule Electrical Items for Extension of Transit Camp Building at POWERGRID Gwalior Sub-Station</t>
  </si>
  <si>
    <r>
      <t xml:space="preserve">Total GST on Supply &amp; Installation Services  (indentified in Schedule-3A) </t>
    </r>
    <r>
      <rPr>
        <sz val="10"/>
        <rFont val="Aptos"/>
        <family val="2"/>
      </rPr>
      <t xml:space="preserve"> which are not included in the Installationas per the provision of the Bidding Documents, as applicable</t>
    </r>
  </si>
  <si>
    <r>
      <t xml:space="preserve">Total GST on Supply &amp; Installation Services  (indentified in Schedule-3B) </t>
    </r>
    <r>
      <rPr>
        <sz val="10"/>
        <rFont val="Aptos"/>
        <family val="2"/>
      </rPr>
      <t xml:space="preserve"> which are not included in the Installationas per the provision of the Bidding Documents, as applicable</t>
    </r>
  </si>
  <si>
    <r>
      <t xml:space="preserve">Total GST on Supply &amp; Installation Services  (indentified in Schedule-3C) </t>
    </r>
    <r>
      <rPr>
        <sz val="10"/>
        <rFont val="Aptos"/>
        <family val="2"/>
      </rPr>
      <t xml:space="preserve"> which are not included in the Installationas per the provision of the Bidding Documents, as applicable</t>
    </r>
  </si>
  <si>
    <r>
      <t xml:space="preserve">Total GST on Supply &amp; Installation Services  (indentified in Schedule-3D) </t>
    </r>
    <r>
      <rPr>
        <sz val="10"/>
        <rFont val="Aptos"/>
        <family val="2"/>
      </rPr>
      <t xml:space="preserve"> which are not included in the Installationas per the provision of the Bidding Documents, as applicable</t>
    </r>
  </si>
  <si>
    <r>
      <t xml:space="preserve">Total GST on Supply &amp; Installation Services  (indentified in Schedule-3E) </t>
    </r>
    <r>
      <rPr>
        <sz val="10"/>
        <rFont val="Aptos"/>
        <family val="2"/>
      </rPr>
      <t xml:space="preserve"> which are not included in the Installationas per the provision of the Bidding Documents, as applicable</t>
    </r>
  </si>
  <si>
    <t>Grand Summary for Extension of Transit Camp Building at POWERGRID Gwalior Sub-Station</t>
  </si>
  <si>
    <t>998597</t>
  </si>
  <si>
    <t>Installation Charges- Sch 3C:-Schedule Items for Extension of Transit Camp Building at POWERGRID Gwalior Sub-Station</t>
  </si>
  <si>
    <t>PART -A : Schedule Items as per DSR 2020 (Horticulture works)</t>
  </si>
  <si>
    <t>Total of Schedule Items as per DSR'2020</t>
  </si>
  <si>
    <t>Add percentage (%) above/below +/- on DSR 2020 Rates (to be quoted by contractor)</t>
  </si>
  <si>
    <t>Schedule-5</t>
  </si>
  <si>
    <t>Installation Charges- Sch 3E: Non-Schedule Electrical Items for Extension of Transit Camp Building at POWERGRID Gwalior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</si>
</sst>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164" formatCode="0.000"/>
    <numFmt numFmtId="165" formatCode="0.0000"/>
    <numFmt numFmtId="166" formatCode="0.00000000"/>
    <numFmt numFmtId="167" formatCode="#\,##\,##0.00"/>
    <numFmt numFmtId="168" formatCode="0.00%;\-0.00%;;@"/>
    <numFmt numFmtId="169" formatCode="#\,##\,##\,##0.00"/>
    <numFmt numFmtId="170" formatCode="[$₹-4009]\ #,##0.00"/>
    <numFmt numFmtId="171" formatCode="[$-4009]General"/>
    <numFmt numFmtId="172" formatCode="[$-4009]0.00"/>
    <numFmt numFmtId="173" formatCode="0.0"/>
    <numFmt numFmtId="174" formatCode="&quot;₹&quot;\ #,##0.00"/>
    <numFmt numFmtId="175" formatCode="0.000%"/>
  </numFmts>
  <fonts count="49">
    <font>
      <sz val="11"/>
      <color theme="1"/>
      <name val="Calibri"/>
      <family val="2"/>
      <scheme val="minor"/>
    </font>
    <font>
      <sz val="10"/>
      <name val="Bookman Old Style"/>
      <family val="1"/>
    </font>
    <font>
      <sz val="10"/>
      <name val="Arial"/>
      <family val="2"/>
    </font>
    <font>
      <sz val="11"/>
      <name val="Book Antiqua"/>
      <family val="1"/>
    </font>
    <font>
      <sz val="10"/>
      <name val="Arial"/>
      <family val="2"/>
    </font>
    <font>
      <sz val="10"/>
      <name val="Cambria"/>
      <family val="1"/>
    </font>
    <font>
      <sz val="11"/>
      <name val="Cambria"/>
      <family val="1"/>
    </font>
    <font>
      <b/>
      <sz val="10"/>
      <name val="Cambria"/>
      <family val="1"/>
    </font>
    <font>
      <b/>
      <sz val="11"/>
      <color indexed="10"/>
      <name val="Cambria"/>
      <family val="1"/>
    </font>
    <font>
      <sz val="10"/>
      <color indexed="8"/>
      <name val="Arial1"/>
      <charset val="134"/>
    </font>
    <font>
      <sz val="10"/>
      <color indexed="8"/>
      <name val="Arial"/>
      <family val="2"/>
    </font>
    <font>
      <u/>
      <sz val="10"/>
      <color indexed="8"/>
      <name val="Arial"/>
      <family val="2"/>
    </font>
    <font>
      <sz val="10"/>
      <color indexed="10"/>
      <name val="Arial"/>
      <family val="2"/>
    </font>
    <font>
      <sz val="11"/>
      <color indexed="8"/>
      <name val="Bookman Old Style"/>
      <family val="1"/>
    </font>
    <font>
      <b/>
      <sz val="11"/>
      <name val="Cambria"/>
      <family val="1"/>
    </font>
    <font>
      <b/>
      <sz val="11"/>
      <color indexed="8"/>
      <name val="Bookman Old Style"/>
      <family val="1"/>
    </font>
    <font>
      <sz val="11"/>
      <color theme="1"/>
      <name val="Calibri"/>
      <family val="2"/>
      <scheme val="minor"/>
    </font>
    <font>
      <sz val="10"/>
      <color rgb="FF000000"/>
      <name val="Arial1"/>
    </font>
    <font>
      <sz val="10"/>
      <color theme="1"/>
      <name val="Cambria"/>
      <family val="1"/>
      <scheme val="major"/>
    </font>
    <font>
      <sz val="10"/>
      <color theme="1"/>
      <name val="Bookman Old Style"/>
      <family val="1"/>
    </font>
    <font>
      <sz val="10"/>
      <name val="Cambria"/>
      <family val="1"/>
      <scheme val="major"/>
    </font>
    <font>
      <sz val="11"/>
      <name val="Cambria"/>
      <family val="1"/>
      <scheme val="major"/>
    </font>
    <font>
      <b/>
      <sz val="10"/>
      <name val="Cambria"/>
      <family val="1"/>
      <scheme val="major"/>
    </font>
    <font>
      <sz val="10"/>
      <color rgb="FFFF0000"/>
      <name val="Cambria"/>
      <family val="1"/>
      <scheme val="major"/>
    </font>
    <font>
      <sz val="10"/>
      <name val="Calibri"/>
      <family val="2"/>
      <scheme val="minor"/>
    </font>
    <font>
      <b/>
      <sz val="10"/>
      <color rgb="FFFF0000"/>
      <name val="Cambria"/>
      <family val="1"/>
      <scheme val="major"/>
    </font>
    <font>
      <sz val="11"/>
      <color theme="1"/>
      <name val="Cambria"/>
      <family val="1"/>
      <scheme val="major"/>
    </font>
    <font>
      <b/>
      <sz val="11"/>
      <name val="Cambria"/>
      <family val="1"/>
      <scheme val="major"/>
    </font>
    <font>
      <sz val="11"/>
      <color rgb="FFFF0000"/>
      <name val="Cambria"/>
      <family val="1"/>
      <scheme val="major"/>
    </font>
    <font>
      <sz val="10"/>
      <color rgb="FF000000"/>
      <name val="Arial"/>
      <family val="2"/>
    </font>
    <font>
      <u/>
      <sz val="10"/>
      <color rgb="FF000000"/>
      <name val="Arial"/>
      <family val="2"/>
    </font>
    <font>
      <sz val="12"/>
      <color rgb="FF000000"/>
      <name val="F"/>
    </font>
    <font>
      <b/>
      <sz val="16"/>
      <name val="Cambria"/>
      <family val="1"/>
      <scheme val="major"/>
    </font>
    <font>
      <sz val="10"/>
      <name val="Book Antiqua"/>
      <family val="1"/>
    </font>
    <font>
      <sz val="10"/>
      <color theme="1"/>
      <name val="Calibri"/>
      <family val="2"/>
      <scheme val="minor"/>
    </font>
    <font>
      <b/>
      <sz val="10"/>
      <color rgb="FFFF0000"/>
      <name val="Aptos"/>
      <family val="2"/>
    </font>
    <font>
      <sz val="10"/>
      <color theme="1"/>
      <name val="Aptos"/>
      <family val="2"/>
    </font>
    <font>
      <b/>
      <sz val="10"/>
      <name val="Aptos"/>
      <family val="2"/>
    </font>
    <font>
      <sz val="10"/>
      <name val="Aptos"/>
      <family val="2"/>
    </font>
    <font>
      <b/>
      <sz val="10"/>
      <color theme="1"/>
      <name val="Aptos"/>
      <family val="2"/>
    </font>
    <font>
      <sz val="10"/>
      <color rgb="FF363435"/>
      <name val="Aptos"/>
      <family val="2"/>
    </font>
    <font>
      <sz val="10"/>
      <color rgb="FFFF0000"/>
      <name val="Aptos"/>
      <family val="2"/>
    </font>
    <font>
      <sz val="10"/>
      <color theme="4"/>
      <name val="Aptos"/>
      <family val="2"/>
    </font>
    <font>
      <b/>
      <sz val="10"/>
      <color theme="4"/>
      <name val="Aptos"/>
      <family val="2"/>
    </font>
    <font>
      <b/>
      <sz val="10"/>
      <color indexed="12"/>
      <name val="Aptos"/>
      <family val="2"/>
    </font>
    <font>
      <b/>
      <sz val="10"/>
      <color indexed="9"/>
      <name val="Aptos"/>
      <family val="2"/>
    </font>
    <font>
      <vertAlign val="superscript"/>
      <sz val="10"/>
      <name val="Aptos"/>
      <family val="2"/>
    </font>
    <font>
      <b/>
      <vertAlign val="superscript"/>
      <sz val="10"/>
      <color indexed="12"/>
      <name val="Aptos"/>
      <family val="2"/>
    </font>
    <font>
      <sz val="10"/>
      <color indexed="8"/>
      <name val="Aptos"/>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indexed="12"/>
        <bgColor indexed="64"/>
      </patternFill>
    </fill>
    <fill>
      <patternFill patternType="solid">
        <fgColor indexed="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8"/>
      </right>
      <top/>
      <bottom/>
      <diagonal/>
    </border>
    <border>
      <left/>
      <right style="thin">
        <color indexed="8"/>
      </right>
      <top/>
      <bottom/>
      <diagonal/>
    </border>
    <border>
      <left/>
      <right style="medium">
        <color indexed="64"/>
      </right>
      <top/>
      <bottom/>
      <diagonal/>
    </border>
    <border>
      <left style="medium">
        <color indexed="64"/>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4">
    <xf numFmtId="0" fontId="0" fillId="0" borderId="0"/>
    <xf numFmtId="39" fontId="2" fillId="0" borderId="0" applyFont="0" applyFill="0" applyBorder="0" applyAlignment="0" applyProtection="0"/>
    <xf numFmtId="44" fontId="2" fillId="0" borderId="0" applyFont="0" applyFill="0" applyBorder="0" applyAlignment="0" applyProtection="0"/>
    <xf numFmtId="0" fontId="9" fillId="0" borderId="0" applyBorder="0" applyProtection="0"/>
    <xf numFmtId="171" fontId="17" fillId="0" borderId="0"/>
    <xf numFmtId="0" fontId="2" fillId="0" borderId="0"/>
    <xf numFmtId="0" fontId="2" fillId="0" borderId="0"/>
    <xf numFmtId="0" fontId="3" fillId="0" borderId="0"/>
    <xf numFmtId="0" fontId="4" fillId="0" borderId="0"/>
    <xf numFmtId="0" fontId="16" fillId="0" borderId="0"/>
    <xf numFmtId="0" fontId="2" fillId="0" borderId="0"/>
    <xf numFmtId="9" fontId="16" fillId="0" borderId="0" applyFont="0" applyFill="0" applyBorder="0" applyAlignment="0" applyProtection="0"/>
    <xf numFmtId="0" fontId="33" fillId="0" borderId="0"/>
    <xf numFmtId="0" fontId="16" fillId="0" borderId="0"/>
  </cellStyleXfs>
  <cellXfs count="634">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0" fontId="1" fillId="4"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4" fillId="0" borderId="0" xfId="8"/>
    <xf numFmtId="0" fontId="20" fillId="0" borderId="1" xfId="8" applyFont="1" applyBorder="1" applyAlignment="1">
      <alignment horizontal="center" vertical="top" wrapText="1"/>
    </xf>
    <xf numFmtId="0" fontId="20" fillId="0" borderId="1" xfId="8" applyFont="1" applyBorder="1" applyAlignment="1">
      <alignment horizontal="justify" vertical="top" wrapText="1"/>
    </xf>
    <xf numFmtId="49" fontId="20" fillId="0" borderId="1" xfId="8" applyNumberFormat="1" applyFont="1" applyBorder="1" applyAlignment="1">
      <alignment horizontal="center" vertical="top" wrapText="1"/>
    </xf>
    <xf numFmtId="49" fontId="21" fillId="0" borderId="1" xfId="8" applyNumberFormat="1" applyFont="1" applyBorder="1" applyAlignment="1">
      <alignment horizontal="center" vertical="top" wrapText="1"/>
    </xf>
    <xf numFmtId="0" fontId="20" fillId="0" borderId="1" xfId="8" applyFont="1" applyBorder="1" applyAlignment="1">
      <alignment vertical="top"/>
    </xf>
    <xf numFmtId="0" fontId="22" fillId="0" borderId="1" xfId="8" applyFont="1" applyBorder="1" applyAlignment="1">
      <alignment horizontal="right"/>
    </xf>
    <xf numFmtId="2" fontId="20" fillId="0" borderId="1" xfId="8" applyNumberFormat="1" applyFont="1" applyBorder="1" applyAlignment="1">
      <alignment horizontal="center" vertical="top" wrapText="1"/>
    </xf>
    <xf numFmtId="0" fontId="23" fillId="0" borderId="1" xfId="8" applyFont="1" applyBorder="1" applyAlignment="1">
      <alignment horizontal="justify" vertical="top" wrapText="1"/>
    </xf>
    <xf numFmtId="49" fontId="23" fillId="0" borderId="1" xfId="8" applyNumberFormat="1" applyFont="1" applyBorder="1" applyAlignment="1">
      <alignment horizontal="center" vertical="top" wrapText="1"/>
    </xf>
    <xf numFmtId="2" fontId="22" fillId="0" borderId="1" xfId="8" applyNumberFormat="1" applyFont="1" applyBorder="1" applyAlignment="1">
      <alignment horizontal="center" vertical="center" wrapText="1"/>
    </xf>
    <xf numFmtId="0" fontId="20" fillId="0" borderId="1" xfId="8" applyFont="1" applyBorder="1" applyAlignment="1">
      <alignment horizontal="center" vertical="center" wrapText="1"/>
    </xf>
    <xf numFmtId="0" fontId="18" fillId="0" borderId="1" xfId="8" applyFont="1" applyBorder="1" applyAlignment="1">
      <alignment horizontal="center" vertical="center" wrapText="1"/>
    </xf>
    <xf numFmtId="1" fontId="20" fillId="0" borderId="1" xfId="8" applyNumberFormat="1" applyFont="1" applyBorder="1" applyAlignment="1">
      <alignment horizontal="center" vertical="center" wrapText="1"/>
    </xf>
    <xf numFmtId="49" fontId="20" fillId="0" borderId="1" xfId="8" applyNumberFormat="1" applyFont="1" applyBorder="1" applyAlignment="1">
      <alignment horizontal="center" vertical="center" wrapText="1"/>
    </xf>
    <xf numFmtId="2" fontId="20" fillId="0" borderId="1" xfId="8" applyNumberFormat="1" applyFont="1" applyBorder="1" applyAlignment="1">
      <alignment horizontal="center" vertical="center" wrapText="1"/>
    </xf>
    <xf numFmtId="2" fontId="22" fillId="0" borderId="1" xfId="8" applyNumberFormat="1" applyFont="1" applyBorder="1" applyAlignment="1">
      <alignment horizontal="center" vertical="top" wrapText="1"/>
    </xf>
    <xf numFmtId="0" fontId="22" fillId="0" borderId="1" xfId="8" applyFont="1" applyBorder="1" applyAlignment="1">
      <alignment horizontal="center" vertical="top" wrapText="1"/>
    </xf>
    <xf numFmtId="1" fontId="20" fillId="0" borderId="1" xfId="8" applyNumberFormat="1" applyFont="1" applyBorder="1" applyAlignment="1">
      <alignment horizontal="center" vertical="top" wrapText="1"/>
    </xf>
    <xf numFmtId="0" fontId="20" fillId="0" borderId="1" xfId="8" applyFont="1" applyBorder="1" applyAlignment="1">
      <alignment horizontal="right" vertical="top" wrapText="1"/>
    </xf>
    <xf numFmtId="0" fontId="20" fillId="0" borderId="1" xfId="8" applyFont="1" applyBorder="1" applyAlignment="1">
      <alignment horizontal="left" vertical="top" wrapText="1"/>
    </xf>
    <xf numFmtId="0" fontId="18" fillId="0" borderId="2" xfId="8" applyFont="1" applyBorder="1" applyAlignment="1">
      <alignment horizontal="left" vertical="top" wrapText="1"/>
    </xf>
    <xf numFmtId="0" fontId="20" fillId="0" borderId="1" xfId="6" applyFont="1" applyBorder="1" applyAlignment="1">
      <alignment horizontal="center" vertical="top"/>
    </xf>
    <xf numFmtId="2" fontId="22" fillId="0" borderId="1" xfId="8" applyNumberFormat="1" applyFont="1" applyBorder="1" applyAlignment="1">
      <alignment horizontal="right" vertical="top" wrapText="1"/>
    </xf>
    <xf numFmtId="0" fontId="18" fillId="0" borderId="1" xfId="8" applyFont="1" applyBorder="1" applyAlignment="1">
      <alignment horizontal="center" vertical="top" wrapText="1"/>
    </xf>
    <xf numFmtId="2" fontId="22" fillId="0" borderId="1" xfId="8" applyNumberFormat="1" applyFont="1" applyBorder="1" applyAlignment="1">
      <alignment horizontal="center" vertical="top"/>
    </xf>
    <xf numFmtId="49" fontId="18" fillId="0" borderId="1" xfId="8" applyNumberFormat="1" applyFont="1" applyBorder="1" applyAlignment="1">
      <alignment horizontal="center" vertical="top" wrapText="1"/>
    </xf>
    <xf numFmtId="2" fontId="18" fillId="0" borderId="1" xfId="8" applyNumberFormat="1" applyFont="1" applyBorder="1" applyAlignment="1">
      <alignment horizontal="center" vertical="top" wrapText="1"/>
    </xf>
    <xf numFmtId="0" fontId="18" fillId="0" borderId="1" xfId="8" applyFont="1" applyBorder="1" applyAlignment="1">
      <alignment horizontal="left" vertical="top" wrapText="1"/>
    </xf>
    <xf numFmtId="49" fontId="22" fillId="0" borderId="1" xfId="8" applyNumberFormat="1" applyFont="1" applyBorder="1" applyAlignment="1">
      <alignment horizontal="center" vertical="top" wrapText="1"/>
    </xf>
    <xf numFmtId="49" fontId="20" fillId="0" borderId="11" xfId="8" applyNumberFormat="1" applyFont="1" applyBorder="1" applyAlignment="1">
      <alignment horizontal="center" vertical="top" wrapText="1"/>
    </xf>
    <xf numFmtId="49" fontId="20" fillId="0" borderId="10" xfId="8" applyNumberFormat="1" applyFont="1" applyBorder="1" applyAlignment="1">
      <alignment horizontal="center" vertical="top" wrapText="1"/>
    </xf>
    <xf numFmtId="49" fontId="20" fillId="0" borderId="12" xfId="8" applyNumberFormat="1" applyFont="1" applyBorder="1" applyAlignment="1">
      <alignment horizontal="center" vertical="top" wrapText="1"/>
    </xf>
    <xf numFmtId="2" fontId="20" fillId="0" borderId="10" xfId="8" applyNumberFormat="1" applyFont="1" applyBorder="1" applyAlignment="1">
      <alignment horizontal="center" vertical="top" wrapText="1"/>
    </xf>
    <xf numFmtId="0" fontId="20" fillId="0" borderId="10" xfId="8" applyFont="1" applyBorder="1" applyAlignment="1">
      <alignment horizontal="center" vertical="top" wrapText="1"/>
    </xf>
    <xf numFmtId="0" fontId="18" fillId="0" borderId="8" xfId="8" applyFont="1" applyBorder="1" applyAlignment="1">
      <alignment horizontal="left" vertical="top" wrapText="1"/>
    </xf>
    <xf numFmtId="0" fontId="18" fillId="0" borderId="10" xfId="8" applyFont="1" applyBorder="1" applyAlignment="1">
      <alignment horizontal="center" vertical="center" wrapText="1"/>
    </xf>
    <xf numFmtId="2" fontId="20" fillId="0" borderId="12" xfId="8" applyNumberFormat="1" applyFont="1" applyBorder="1" applyAlignment="1">
      <alignment horizontal="center" vertical="top" wrapText="1"/>
    </xf>
    <xf numFmtId="0" fontId="20" fillId="0" borderId="12" xfId="8" applyFont="1" applyBorder="1" applyAlignment="1">
      <alignment horizontal="center" vertical="top" wrapText="1"/>
    </xf>
    <xf numFmtId="0" fontId="18" fillId="0" borderId="6" xfId="8" applyFont="1" applyBorder="1" applyAlignment="1">
      <alignment horizontal="left" vertical="center" wrapText="1"/>
    </xf>
    <xf numFmtId="0" fontId="18" fillId="0" borderId="12" xfId="8" applyFont="1" applyBorder="1" applyAlignment="1">
      <alignment horizontal="center" vertical="center" wrapText="1"/>
    </xf>
    <xf numFmtId="0" fontId="18" fillId="0" borderId="6" xfId="8" applyFont="1" applyBorder="1" applyAlignment="1">
      <alignment horizontal="left" vertical="top" wrapText="1"/>
    </xf>
    <xf numFmtId="2" fontId="20" fillId="0" borderId="11" xfId="8" applyNumberFormat="1" applyFont="1" applyBorder="1" applyAlignment="1">
      <alignment horizontal="center" vertical="top" wrapText="1"/>
    </xf>
    <xf numFmtId="0" fontId="20" fillId="0" borderId="11" xfId="8" applyFont="1" applyBorder="1" applyAlignment="1">
      <alignment horizontal="center" vertical="top" wrapText="1"/>
    </xf>
    <xf numFmtId="0" fontId="18" fillId="0" borderId="4" xfId="8" applyFont="1" applyBorder="1" applyAlignment="1">
      <alignment horizontal="left" vertical="top" wrapText="1"/>
    </xf>
    <xf numFmtId="0" fontId="18" fillId="0" borderId="11" xfId="8" applyFont="1" applyBorder="1" applyAlignment="1">
      <alignment horizontal="center" vertical="center" wrapText="1"/>
    </xf>
    <xf numFmtId="0" fontId="18" fillId="0" borderId="10" xfId="8" applyFont="1" applyBorder="1" applyAlignment="1">
      <alignment horizontal="left" vertical="center" wrapText="1"/>
    </xf>
    <xf numFmtId="0" fontId="18" fillId="0" borderId="12" xfId="8" applyFont="1" applyBorder="1" applyAlignment="1">
      <alignment horizontal="left" vertical="center" wrapText="1"/>
    </xf>
    <xf numFmtId="0" fontId="18" fillId="0" borderId="11" xfId="8" applyFont="1" applyBorder="1" applyAlignment="1">
      <alignment horizontal="left" vertical="top" wrapText="1"/>
    </xf>
    <xf numFmtId="2" fontId="22" fillId="0" borderId="11" xfId="8" applyNumberFormat="1" applyFont="1" applyBorder="1" applyAlignment="1">
      <alignment horizontal="center" vertical="top" wrapText="1"/>
    </xf>
    <xf numFmtId="0" fontId="22" fillId="0" borderId="11" xfId="8" applyFont="1" applyBorder="1" applyAlignment="1">
      <alignment horizontal="center" vertical="top" wrapText="1"/>
    </xf>
    <xf numFmtId="0" fontId="20" fillId="0" borderId="11" xfId="8" applyFont="1" applyBorder="1" applyAlignment="1">
      <alignment horizontal="justify" vertical="top" wrapText="1"/>
    </xf>
    <xf numFmtId="0" fontId="24" fillId="0" borderId="1" xfId="8" applyFont="1" applyBorder="1" applyAlignment="1">
      <alignment horizontal="center" vertical="center" wrapText="1"/>
    </xf>
    <xf numFmtId="0" fontId="24" fillId="0" borderId="1" xfId="8" applyFont="1" applyBorder="1" applyAlignment="1">
      <alignment horizontal="left" vertical="top" wrapText="1"/>
    </xf>
    <xf numFmtId="49" fontId="24" fillId="0" borderId="1" xfId="8" applyNumberFormat="1" applyFont="1" applyBorder="1" applyAlignment="1">
      <alignment horizontal="right" wrapText="1"/>
    </xf>
    <xf numFmtId="2" fontId="20" fillId="0" borderId="1" xfId="8" applyNumberFormat="1" applyFont="1" applyBorder="1" applyAlignment="1">
      <alignment horizontal="right" vertical="top" wrapText="1"/>
    </xf>
    <xf numFmtId="0" fontId="20" fillId="0" borderId="1" xfId="8" quotePrefix="1" applyFont="1" applyBorder="1" applyAlignment="1">
      <alignment horizontal="center" vertical="top" wrapText="1"/>
    </xf>
    <xf numFmtId="2" fontId="22" fillId="0" borderId="1" xfId="8" applyNumberFormat="1" applyFont="1" applyBorder="1" applyAlignment="1">
      <alignment vertical="top" wrapText="1"/>
    </xf>
    <xf numFmtId="0" fontId="22" fillId="0" borderId="1" xfId="8" applyFont="1" applyBorder="1" applyAlignment="1">
      <alignment horizontal="center" vertical="center" wrapText="1"/>
    </xf>
    <xf numFmtId="0" fontId="22" fillId="0" borderId="1" xfId="8" applyFont="1" applyBorder="1" applyAlignment="1">
      <alignment horizontal="left" vertical="top" wrapText="1"/>
    </xf>
    <xf numFmtId="0" fontId="20" fillId="0" borderId="1" xfId="8" applyFont="1" applyBorder="1" applyAlignment="1">
      <alignment horizontal="left" vertical="center" wrapText="1"/>
    </xf>
    <xf numFmtId="0" fontId="20" fillId="0" borderId="1" xfId="8" applyFont="1" applyBorder="1" applyAlignment="1">
      <alignment horizontal="center" vertical="top"/>
    </xf>
    <xf numFmtId="2" fontId="25" fillId="0" borderId="1" xfId="8" applyNumberFormat="1" applyFont="1" applyBorder="1" applyAlignment="1">
      <alignment horizontal="center" vertical="center" wrapText="1"/>
    </xf>
    <xf numFmtId="0" fontId="23" fillId="0" borderId="1" xfId="8" applyFont="1" applyBorder="1" applyAlignment="1">
      <alignment horizontal="center" vertical="top" wrapText="1"/>
    </xf>
    <xf numFmtId="2" fontId="20" fillId="0" borderId="1" xfId="8" applyNumberFormat="1" applyFont="1" applyBorder="1" applyAlignment="1">
      <alignment vertical="top" wrapText="1"/>
    </xf>
    <xf numFmtId="0" fontId="20" fillId="0" borderId="1" xfId="8" applyFont="1" applyBorder="1" applyAlignment="1">
      <alignment vertical="top" wrapText="1"/>
    </xf>
    <xf numFmtId="0" fontId="26" fillId="0" borderId="1" xfId="8" applyFont="1" applyBorder="1" applyAlignment="1">
      <alignment horizontal="center" vertical="top"/>
    </xf>
    <xf numFmtId="0" fontId="22" fillId="0" borderId="3" xfId="8" applyFont="1" applyBorder="1" applyAlignment="1">
      <alignment horizontal="center" vertical="top" wrapText="1"/>
    </xf>
    <xf numFmtId="0" fontId="18" fillId="0" borderId="2" xfId="8" applyFont="1" applyBorder="1" applyAlignment="1">
      <alignment horizontal="left" vertical="center" wrapText="1"/>
    </xf>
    <xf numFmtId="0" fontId="18" fillId="0" borderId="1" xfId="8" applyFont="1" applyBorder="1" applyAlignment="1">
      <alignment horizontal="center" vertical="center"/>
    </xf>
    <xf numFmtId="0" fontId="20" fillId="0" borderId="1" xfId="8" quotePrefix="1" applyFont="1" applyBorder="1" applyAlignment="1">
      <alignment horizontal="center" vertical="center" wrapText="1"/>
    </xf>
    <xf numFmtId="0" fontId="18" fillId="0" borderId="1" xfId="8" applyFont="1" applyBorder="1"/>
    <xf numFmtId="0" fontId="22" fillId="0" borderId="3" xfId="8" applyFont="1" applyBorder="1" applyAlignment="1">
      <alignment horizontal="left" vertical="top" wrapText="1"/>
    </xf>
    <xf numFmtId="0" fontId="4" fillId="0" borderId="1" xfId="8" applyBorder="1"/>
    <xf numFmtId="0" fontId="20" fillId="0" borderId="1" xfId="8" applyFont="1" applyBorder="1" applyAlignment="1">
      <alignment horizontal="left" vertical="top"/>
    </xf>
    <xf numFmtId="0" fontId="5" fillId="0" borderId="1" xfId="8" applyFont="1" applyBorder="1" applyAlignment="1">
      <alignment horizontal="right" vertical="top" wrapText="1"/>
    </xf>
    <xf numFmtId="2" fontId="20" fillId="0" borderId="1" xfId="8" applyNumberFormat="1" applyFont="1" applyBorder="1" applyAlignment="1">
      <alignment horizontal="center" vertical="top"/>
    </xf>
    <xf numFmtId="0" fontId="20" fillId="0" borderId="1" xfId="8" applyFont="1" applyBorder="1" applyAlignment="1">
      <alignment horizontal="left"/>
    </xf>
    <xf numFmtId="0" fontId="20" fillId="0" borderId="1" xfId="8" applyFont="1" applyBorder="1" applyAlignment="1">
      <alignment horizontal="center"/>
    </xf>
    <xf numFmtId="0" fontId="20" fillId="0" borderId="1" xfId="8" applyFont="1" applyBorder="1" applyAlignment="1">
      <alignment horizontal="justify"/>
    </xf>
    <xf numFmtId="2" fontId="22" fillId="0" borderId="1" xfId="8" applyNumberFormat="1" applyFont="1" applyBorder="1" applyAlignment="1">
      <alignment horizontal="center" vertical="center"/>
    </xf>
    <xf numFmtId="0" fontId="5" fillId="0" borderId="1" xfId="8" applyFont="1" applyBorder="1" applyAlignment="1">
      <alignment horizontal="center" vertical="center" wrapText="1"/>
    </xf>
    <xf numFmtId="0" fontId="5" fillId="0" borderId="1" xfId="8" applyFont="1" applyBorder="1" applyAlignment="1">
      <alignment horizontal="left" vertical="center"/>
    </xf>
    <xf numFmtId="0" fontId="5" fillId="0" borderId="1" xfId="8" applyFont="1" applyBorder="1" applyAlignment="1">
      <alignment horizontal="left" vertical="top" wrapText="1"/>
    </xf>
    <xf numFmtId="49" fontId="5" fillId="0" borderId="1" xfId="8" applyNumberFormat="1" applyFont="1" applyBorder="1" applyAlignment="1">
      <alignment horizontal="center" vertical="top" wrapText="1"/>
    </xf>
    <xf numFmtId="0" fontId="5" fillId="0" borderId="1" xfId="8" applyFont="1" applyBorder="1" applyAlignment="1">
      <alignment horizontal="center" vertical="top" wrapText="1"/>
    </xf>
    <xf numFmtId="0" fontId="5" fillId="0" borderId="1" xfId="8" applyFont="1" applyBorder="1" applyAlignment="1">
      <alignment horizontal="justify" vertical="top" wrapText="1"/>
    </xf>
    <xf numFmtId="0" fontId="21" fillId="0" borderId="1" xfId="8" applyFont="1" applyBorder="1" applyAlignment="1">
      <alignment horizontal="justify" vertical="top" wrapText="1"/>
    </xf>
    <xf numFmtId="0" fontId="20" fillId="0" borderId="1" xfId="8" applyFont="1" applyBorder="1" applyAlignment="1">
      <alignment vertical="center" wrapText="1"/>
    </xf>
    <xf numFmtId="0" fontId="6" fillId="0" borderId="1" xfId="8" applyFont="1" applyBorder="1" applyAlignment="1">
      <alignment horizontal="center" vertical="center" wrapText="1"/>
    </xf>
    <xf numFmtId="2" fontId="23" fillId="0" borderId="1" xfId="8" applyNumberFormat="1" applyFont="1" applyBorder="1" applyAlignment="1">
      <alignment horizontal="center" vertical="top" wrapText="1"/>
    </xf>
    <xf numFmtId="0" fontId="23" fillId="0" borderId="1" xfId="8" applyFont="1" applyBorder="1" applyAlignment="1">
      <alignment horizontal="left" vertical="top" wrapText="1"/>
    </xf>
    <xf numFmtId="0" fontId="5" fillId="0" borderId="1" xfId="8" applyFont="1" applyBorder="1" applyAlignment="1">
      <alignment horizontal="center" vertical="center"/>
    </xf>
    <xf numFmtId="0" fontId="20" fillId="0" borderId="1" xfId="8" applyFont="1" applyBorder="1" applyAlignment="1">
      <alignment horizontal="center" vertical="center"/>
    </xf>
    <xf numFmtId="0" fontId="23" fillId="0" borderId="1" xfId="8" applyFont="1" applyBorder="1" applyAlignment="1">
      <alignment vertical="top"/>
    </xf>
    <xf numFmtId="0" fontId="23" fillId="0" borderId="1" xfId="8" applyFont="1" applyBorder="1" applyAlignment="1">
      <alignment horizontal="center" vertical="top"/>
    </xf>
    <xf numFmtId="0" fontId="23" fillId="0" borderId="1" xfId="8" applyFont="1" applyBorder="1" applyAlignment="1">
      <alignment horizontal="left"/>
    </xf>
    <xf numFmtId="0" fontId="23" fillId="0" borderId="1" xfId="8" applyFont="1" applyBorder="1" applyAlignment="1">
      <alignment horizontal="center"/>
    </xf>
    <xf numFmtId="0" fontId="5" fillId="0" borderId="1" xfId="8" applyFont="1" applyBorder="1" applyAlignment="1">
      <alignment horizontal="left" wrapText="1"/>
    </xf>
    <xf numFmtId="49" fontId="20" fillId="0" borderId="1" xfId="8" applyNumberFormat="1" applyFont="1" applyBorder="1" applyAlignment="1">
      <alignment horizontal="right" vertical="top" wrapText="1"/>
    </xf>
    <xf numFmtId="0" fontId="22" fillId="0" borderId="1" xfId="8" applyFont="1" applyBorder="1" applyAlignment="1">
      <alignment horizontal="center" vertical="top"/>
    </xf>
    <xf numFmtId="0" fontId="20" fillId="0" borderId="1" xfId="8" applyFont="1" applyBorder="1"/>
    <xf numFmtId="164" fontId="20" fillId="0" borderId="1" xfId="8" applyNumberFormat="1" applyFont="1" applyBorder="1" applyAlignment="1">
      <alignment horizontal="center" vertical="top" wrapText="1"/>
    </xf>
    <xf numFmtId="0" fontId="18" fillId="0" borderId="1" xfId="8" quotePrefix="1" applyFont="1" applyBorder="1" applyAlignment="1">
      <alignment horizontal="center" vertical="top" wrapText="1"/>
    </xf>
    <xf numFmtId="165" fontId="20" fillId="0" borderId="1" xfId="8" applyNumberFormat="1" applyFont="1" applyBorder="1" applyAlignment="1">
      <alignment horizontal="center" vertical="top" wrapText="1"/>
    </xf>
    <xf numFmtId="165" fontId="20" fillId="0" borderId="2" xfId="8" applyNumberFormat="1" applyFont="1" applyBorder="1" applyAlignment="1">
      <alignment horizontal="center" vertical="top" wrapText="1"/>
    </xf>
    <xf numFmtId="0" fontId="22" fillId="0" borderId="1" xfId="8" applyFont="1" applyBorder="1" applyAlignment="1">
      <alignment horizontal="justify" vertical="top" wrapText="1"/>
    </xf>
    <xf numFmtId="2" fontId="5" fillId="0" borderId="1" xfId="8" applyNumberFormat="1" applyFont="1" applyBorder="1" applyAlignment="1">
      <alignment horizontal="center" vertical="top"/>
    </xf>
    <xf numFmtId="2" fontId="7" fillId="0" borderId="1" xfId="8" applyNumberFormat="1" applyFont="1" applyBorder="1" applyAlignment="1">
      <alignment horizontal="center" vertical="top"/>
    </xf>
    <xf numFmtId="2" fontId="22" fillId="0" borderId="10" xfId="8" applyNumberFormat="1" applyFont="1" applyBorder="1" applyAlignment="1">
      <alignment horizontal="center" vertical="top"/>
    </xf>
    <xf numFmtId="0" fontId="21" fillId="0" borderId="1" xfId="8" applyFont="1" applyBorder="1" applyAlignment="1">
      <alignment horizontal="center" vertical="top" wrapText="1"/>
    </xf>
    <xf numFmtId="0" fontId="27" fillId="0" borderId="1" xfId="8" applyFont="1" applyBorder="1" applyAlignment="1">
      <alignment horizontal="justify" vertical="top" wrapText="1"/>
    </xf>
    <xf numFmtId="0" fontId="10" fillId="0" borderId="13" xfId="3" applyFont="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10" fillId="0" borderId="14" xfId="3" applyFont="1" applyBorder="1" applyAlignment="1" applyProtection="1">
      <alignment horizontal="center" vertical="center" wrapText="1"/>
    </xf>
    <xf numFmtId="2" fontId="10" fillId="0" borderId="13" xfId="3" applyNumberFormat="1" applyFont="1" applyBorder="1" applyAlignment="1" applyProtection="1">
      <alignment horizontal="right" vertical="center" wrapText="1"/>
    </xf>
    <xf numFmtId="0" fontId="10" fillId="0" borderId="13" xfId="3" applyFont="1" applyBorder="1" applyAlignment="1" applyProtection="1">
      <alignment horizontal="left" vertical="center" wrapText="1"/>
    </xf>
    <xf numFmtId="2" fontId="10" fillId="0" borderId="14" xfId="3" applyNumberFormat="1" applyFont="1" applyBorder="1" applyAlignment="1" applyProtection="1">
      <alignment horizontal="center" vertical="center" wrapText="1"/>
    </xf>
    <xf numFmtId="0" fontId="11" fillId="0" borderId="14" xfId="3" applyFont="1" applyBorder="1" applyAlignment="1" applyProtection="1">
      <alignment horizontal="center" vertical="center" wrapText="1"/>
    </xf>
    <xf numFmtId="0" fontId="11" fillId="0" borderId="14" xfId="3" applyFont="1" applyBorder="1" applyAlignment="1" applyProtection="1">
      <alignment horizontal="left" vertical="center" wrapText="1"/>
    </xf>
    <xf numFmtId="0" fontId="11" fillId="0" borderId="13" xfId="3" applyFont="1" applyBorder="1" applyAlignment="1" applyProtection="1">
      <alignment horizontal="left" vertical="center" wrapText="1"/>
    </xf>
    <xf numFmtId="2" fontId="22" fillId="0" borderId="2" xfId="8" applyNumberFormat="1" applyFont="1" applyBorder="1" applyAlignment="1">
      <alignment horizontal="center" vertical="top"/>
    </xf>
    <xf numFmtId="0" fontId="11" fillId="0" borderId="0" xfId="3" applyFont="1" applyBorder="1" applyAlignment="1" applyProtection="1">
      <alignment horizontal="center" vertical="center" wrapText="1"/>
    </xf>
    <xf numFmtId="0" fontId="11" fillId="0" borderId="0" xfId="3" applyFont="1" applyBorder="1" applyAlignment="1" applyProtection="1">
      <alignment horizontal="left" vertical="center" wrapText="1"/>
    </xf>
    <xf numFmtId="0" fontId="10" fillId="0" borderId="15" xfId="3" applyFont="1" applyBorder="1" applyAlignment="1" applyProtection="1">
      <alignment horizontal="center" vertical="center" wrapText="1"/>
    </xf>
    <xf numFmtId="0" fontId="20" fillId="0" borderId="2" xfId="8" applyFont="1" applyBorder="1" applyAlignment="1">
      <alignment horizontal="justify" vertical="top" wrapText="1"/>
    </xf>
    <xf numFmtId="0" fontId="2" fillId="0" borderId="0" xfId="8" applyFont="1"/>
    <xf numFmtId="0" fontId="20" fillId="0" borderId="2" xfId="8" applyFont="1" applyBorder="1" applyAlignment="1">
      <alignment horizontal="center" vertical="top" wrapText="1"/>
    </xf>
    <xf numFmtId="0" fontId="20" fillId="0" borderId="1" xfId="8" quotePrefix="1" applyFont="1" applyBorder="1" applyAlignment="1">
      <alignment horizontal="justify" vertical="top" wrapText="1"/>
    </xf>
    <xf numFmtId="0" fontId="20" fillId="0" borderId="1" xfId="8" applyFont="1" applyBorder="1" applyAlignment="1">
      <alignment horizontal="left" wrapText="1"/>
    </xf>
    <xf numFmtId="2" fontId="20" fillId="0" borderId="1" xfId="8" applyNumberFormat="1" applyFont="1" applyBorder="1" applyAlignment="1">
      <alignment horizontal="justify" vertical="top" wrapText="1"/>
    </xf>
    <xf numFmtId="2" fontId="11" fillId="0" borderId="16" xfId="3" applyNumberFormat="1" applyFont="1" applyBorder="1" applyAlignment="1" applyProtection="1">
      <alignment horizontal="right" vertical="center" wrapText="1"/>
    </xf>
    <xf numFmtId="0" fontId="27" fillId="0" borderId="0" xfId="8" applyFont="1" applyAlignment="1">
      <alignment horizontal="center" vertical="top" wrapText="1"/>
    </xf>
    <xf numFmtId="0" fontId="23" fillId="0" borderId="0" xfId="8" applyFont="1"/>
    <xf numFmtId="0" fontId="21" fillId="0" borderId="0" xfId="8" applyFont="1"/>
    <xf numFmtId="2" fontId="20" fillId="0" borderId="1" xfId="1" applyNumberFormat="1" applyFont="1" applyFill="1" applyBorder="1" applyAlignment="1">
      <alignment horizontal="center" vertical="center" wrapText="1"/>
    </xf>
    <xf numFmtId="0" fontId="20" fillId="2" borderId="1" xfId="8" applyFont="1" applyFill="1" applyBorder="1" applyAlignment="1">
      <alignment horizontal="center" vertical="top" wrapText="1"/>
    </xf>
    <xf numFmtId="2" fontId="20" fillId="2" borderId="1" xfId="8" applyNumberFormat="1" applyFont="1" applyFill="1" applyBorder="1" applyAlignment="1">
      <alignment horizontal="center" vertical="top" wrapText="1"/>
    </xf>
    <xf numFmtId="49" fontId="22" fillId="2" borderId="1" xfId="8" applyNumberFormat="1" applyFont="1" applyFill="1" applyBorder="1" applyAlignment="1">
      <alignment horizontal="center" vertical="top" wrapText="1"/>
    </xf>
    <xf numFmtId="49" fontId="20" fillId="2" borderId="1" xfId="8" applyNumberFormat="1" applyFont="1" applyFill="1" applyBorder="1" applyAlignment="1">
      <alignment horizontal="center" vertical="top" wrapText="1"/>
    </xf>
    <xf numFmtId="0" fontId="22" fillId="2" borderId="1" xfId="8" applyFont="1" applyFill="1" applyBorder="1" applyAlignment="1">
      <alignment horizontal="center" vertical="top" wrapText="1"/>
    </xf>
    <xf numFmtId="2" fontId="20" fillId="2" borderId="1" xfId="8" applyNumberFormat="1" applyFont="1" applyFill="1" applyBorder="1" applyAlignment="1">
      <alignment horizontal="center" vertical="center" wrapText="1"/>
    </xf>
    <xf numFmtId="0" fontId="20" fillId="2" borderId="2" xfId="8" applyFont="1" applyFill="1" applyBorder="1" applyAlignment="1">
      <alignment horizontal="left" vertical="top" wrapText="1"/>
    </xf>
    <xf numFmtId="0" fontId="20" fillId="2" borderId="1" xfId="8" applyFont="1" applyFill="1" applyBorder="1" applyAlignment="1">
      <alignment horizontal="center" vertical="center" wrapText="1"/>
    </xf>
    <xf numFmtId="2" fontId="22" fillId="2" borderId="1" xfId="8" applyNumberFormat="1" applyFont="1" applyFill="1" applyBorder="1" applyAlignment="1">
      <alignment horizontal="center" vertical="top" wrapText="1"/>
    </xf>
    <xf numFmtId="2" fontId="22" fillId="2" borderId="1" xfId="8" applyNumberFormat="1" applyFont="1" applyFill="1" applyBorder="1" applyAlignment="1">
      <alignment horizontal="center" vertical="top"/>
    </xf>
    <xf numFmtId="0" fontId="20" fillId="2" borderId="1" xfId="8" applyFont="1" applyFill="1" applyBorder="1" applyAlignment="1">
      <alignment horizontal="justify" vertical="top" wrapText="1"/>
    </xf>
    <xf numFmtId="0" fontId="22" fillId="2" borderId="1" xfId="8" applyFont="1" applyFill="1" applyBorder="1" applyAlignment="1">
      <alignment horizontal="left" vertical="top" wrapText="1"/>
    </xf>
    <xf numFmtId="0" fontId="20" fillId="2" borderId="1" xfId="8" applyFont="1" applyFill="1" applyBorder="1" applyAlignment="1">
      <alignment horizontal="left" vertical="top" wrapText="1"/>
    </xf>
    <xf numFmtId="0" fontId="20" fillId="2" borderId="1" xfId="8" applyFont="1" applyFill="1" applyBorder="1" applyAlignment="1">
      <alignment horizontal="left" vertical="top"/>
    </xf>
    <xf numFmtId="0" fontId="21" fillId="0" borderId="0" xfId="8" applyFont="1" applyAlignment="1">
      <alignment horizontal="center"/>
    </xf>
    <xf numFmtId="0" fontId="21" fillId="0" borderId="0" xfId="8" applyFont="1" applyAlignment="1">
      <alignment horizontal="left"/>
    </xf>
    <xf numFmtId="2" fontId="20" fillId="0" borderId="2" xfId="8" applyNumberFormat="1" applyFont="1" applyBorder="1" applyAlignment="1">
      <alignment horizontal="center" vertical="top" wrapText="1"/>
    </xf>
    <xf numFmtId="2" fontId="20" fillId="0" borderId="3" xfId="8" applyNumberFormat="1" applyFont="1" applyBorder="1" applyAlignment="1">
      <alignment horizontal="center" vertical="top" wrapText="1"/>
    </xf>
    <xf numFmtId="0" fontId="21" fillId="0" borderId="0" xfId="8" applyFont="1" applyAlignment="1">
      <alignment horizontal="center" wrapText="1"/>
    </xf>
    <xf numFmtId="2" fontId="21" fillId="0" borderId="0" xfId="8" applyNumberFormat="1" applyFont="1" applyAlignment="1">
      <alignment horizontal="center"/>
    </xf>
    <xf numFmtId="0" fontId="20" fillId="0" borderId="2" xfId="8" applyFont="1" applyBorder="1" applyAlignment="1">
      <alignment horizontal="left" vertical="top" wrapText="1"/>
    </xf>
    <xf numFmtId="0" fontId="21" fillId="0" borderId="0" xfId="8" applyFont="1" applyAlignment="1">
      <alignment horizontal="center" vertical="top"/>
    </xf>
    <xf numFmtId="0" fontId="20" fillId="0" borderId="1" xfId="8" applyFont="1" applyBorder="1" applyAlignment="1">
      <alignment horizontal="right" wrapText="1"/>
    </xf>
    <xf numFmtId="0" fontId="20" fillId="0" borderId="0" xfId="8" applyFont="1" applyAlignment="1">
      <alignment horizontal="center" vertical="top" wrapText="1"/>
    </xf>
    <xf numFmtId="0" fontId="20" fillId="0" borderId="17" xfId="8" applyFont="1" applyBorder="1" applyAlignment="1">
      <alignment horizontal="left" vertical="top" wrapText="1"/>
    </xf>
    <xf numFmtId="0" fontId="20" fillId="0" borderId="3" xfId="8" applyFont="1" applyBorder="1" applyAlignment="1">
      <alignment horizontal="left" vertical="top" wrapText="1"/>
    </xf>
    <xf numFmtId="0" fontId="23" fillId="0" borderId="1" xfId="8" applyFont="1" applyBorder="1" applyAlignment="1">
      <alignment horizontal="right" vertical="top" wrapText="1"/>
    </xf>
    <xf numFmtId="0" fontId="23" fillId="0" borderId="1" xfId="8" applyFont="1" applyBorder="1" applyAlignment="1">
      <alignment horizontal="center" vertical="center" wrapText="1"/>
    </xf>
    <xf numFmtId="0" fontId="23" fillId="0" borderId="1" xfId="8" quotePrefix="1" applyFont="1" applyBorder="1" applyAlignment="1">
      <alignment horizontal="center" vertical="center" wrapText="1"/>
    </xf>
    <xf numFmtId="2" fontId="23" fillId="0" borderId="1" xfId="8" applyNumberFormat="1" applyFont="1" applyBorder="1" applyAlignment="1">
      <alignment horizontal="center" vertical="center" wrapText="1"/>
    </xf>
    <xf numFmtId="0" fontId="28" fillId="0" borderId="0" xfId="8" applyFont="1" applyAlignment="1">
      <alignment horizontal="center"/>
    </xf>
    <xf numFmtId="0" fontId="26" fillId="0" borderId="0" xfId="8" applyFont="1" applyAlignment="1">
      <alignment horizontal="center"/>
    </xf>
    <xf numFmtId="0" fontId="26" fillId="0" borderId="0" xfId="8" applyFont="1"/>
    <xf numFmtId="0" fontId="20" fillId="0" borderId="1" xfId="5" applyFont="1" applyBorder="1" applyAlignment="1">
      <alignment horizontal="justify" vertical="top" wrapText="1"/>
    </xf>
    <xf numFmtId="2" fontId="21" fillId="0" borderId="0" xfId="8" applyNumberFormat="1" applyFont="1"/>
    <xf numFmtId="2" fontId="11" fillId="0" borderId="16" xfId="3" applyNumberFormat="1" applyFont="1" applyBorder="1" applyAlignment="1" applyProtection="1">
      <alignment horizontal="left" vertical="center" wrapText="1"/>
    </xf>
    <xf numFmtId="2" fontId="11" fillId="0" borderId="18" xfId="3" applyNumberFormat="1" applyFont="1" applyBorder="1" applyAlignment="1" applyProtection="1">
      <alignment horizontal="left" vertical="center" wrapText="1"/>
    </xf>
    <xf numFmtId="0" fontId="11" fillId="0" borderId="19" xfId="3" applyFont="1" applyBorder="1" applyAlignment="1" applyProtection="1">
      <alignment horizontal="left" vertical="center" wrapText="1"/>
    </xf>
    <xf numFmtId="0" fontId="11" fillId="0" borderId="20" xfId="3" applyFont="1" applyBorder="1" applyAlignment="1" applyProtection="1">
      <alignment horizontal="left" vertical="center" wrapText="1"/>
    </xf>
    <xf numFmtId="0" fontId="10" fillId="0" borderId="19" xfId="3" applyFont="1" applyBorder="1" applyAlignment="1" applyProtection="1">
      <alignment horizontal="left" vertical="center" wrapText="1"/>
    </xf>
    <xf numFmtId="171" fontId="29" fillId="0" borderId="0" xfId="4" applyFont="1" applyAlignment="1">
      <alignment horizontal="center" vertical="center" wrapText="1"/>
    </xf>
    <xf numFmtId="171" fontId="29" fillId="0" borderId="1" xfId="4" applyFont="1" applyBorder="1" applyAlignment="1">
      <alignment horizontal="center" vertical="center" wrapText="1"/>
    </xf>
    <xf numFmtId="171" fontId="29" fillId="0" borderId="1" xfId="4" applyFont="1" applyBorder="1" applyAlignment="1">
      <alignment horizontal="right" vertical="center" wrapText="1"/>
    </xf>
    <xf numFmtId="171" fontId="29" fillId="0" borderId="29" xfId="4" applyFont="1" applyBorder="1" applyAlignment="1">
      <alignment horizontal="center" vertical="center" wrapText="1"/>
    </xf>
    <xf numFmtId="171" fontId="29" fillId="0" borderId="30" xfId="4" applyFont="1" applyBorder="1" applyAlignment="1">
      <alignment horizontal="center" vertical="center" wrapText="1"/>
    </xf>
    <xf numFmtId="171" fontId="29" fillId="0" borderId="30" xfId="4" applyFont="1" applyBorder="1" applyAlignment="1">
      <alignment horizontal="right" vertical="center" wrapText="1"/>
    </xf>
    <xf numFmtId="171" fontId="29" fillId="0" borderId="31" xfId="4" applyFont="1" applyBorder="1" applyAlignment="1">
      <alignment horizontal="center" vertical="center" wrapText="1"/>
    </xf>
    <xf numFmtId="171" fontId="29" fillId="0" borderId="32" xfId="4" applyFont="1" applyBorder="1" applyAlignment="1">
      <alignment horizontal="center" vertical="center" wrapText="1"/>
    </xf>
    <xf numFmtId="171" fontId="29" fillId="0" borderId="32" xfId="4" applyFont="1" applyBorder="1" applyAlignment="1">
      <alignment horizontal="left" vertical="center" wrapText="1"/>
    </xf>
    <xf numFmtId="171" fontId="29" fillId="0" borderId="32" xfId="4" applyFont="1" applyBorder="1" applyAlignment="1">
      <alignment horizontal="right" vertical="center" wrapText="1"/>
    </xf>
    <xf numFmtId="171" fontId="30" fillId="0" borderId="0" xfId="4" applyFont="1" applyAlignment="1">
      <alignment horizontal="left" vertical="center" wrapText="1"/>
    </xf>
    <xf numFmtId="171" fontId="31" fillId="0" borderId="32" xfId="4" applyFont="1" applyBorder="1" applyAlignment="1">
      <alignment horizontal="left" vertical="center" wrapText="1"/>
    </xf>
    <xf numFmtId="172" fontId="30" fillId="0" borderId="31" xfId="4" applyNumberFormat="1" applyFont="1" applyBorder="1" applyAlignment="1">
      <alignment horizontal="left" vertical="center" wrapText="1"/>
    </xf>
    <xf numFmtId="171" fontId="30" fillId="0" borderId="32" xfId="4" applyFont="1" applyBorder="1" applyAlignment="1">
      <alignment horizontal="left" vertical="center" wrapText="1"/>
    </xf>
    <xf numFmtId="171" fontId="30" fillId="0" borderId="33" xfId="4" applyFont="1" applyBorder="1" applyAlignment="1">
      <alignment horizontal="left" vertical="center" wrapText="1"/>
    </xf>
    <xf numFmtId="0" fontId="10" fillId="0" borderId="0" xfId="3" applyFont="1" applyBorder="1" applyAlignment="1" applyProtection="1">
      <alignment horizontal="left" vertical="center" wrapText="1"/>
    </xf>
    <xf numFmtId="2" fontId="10" fillId="0" borderId="16" xfId="3" applyNumberFormat="1" applyFont="1" applyBorder="1" applyAlignment="1" applyProtection="1">
      <alignment horizontal="right" vertical="center" wrapText="1"/>
    </xf>
    <xf numFmtId="2" fontId="11" fillId="0" borderId="16" xfId="3" applyNumberFormat="1" applyFont="1" applyBorder="1" applyAlignment="1" applyProtection="1">
      <alignment horizontal="center" vertical="center" wrapText="1"/>
    </xf>
    <xf numFmtId="0" fontId="12" fillId="0" borderId="13" xfId="3" applyFont="1" applyBorder="1" applyAlignment="1" applyProtection="1">
      <alignment horizontal="center" vertical="center" wrapText="1"/>
    </xf>
    <xf numFmtId="0" fontId="10" fillId="0" borderId="13" xfId="0" applyFont="1" applyBorder="1"/>
    <xf numFmtId="0" fontId="11" fillId="0" borderId="13" xfId="3" applyFont="1" applyBorder="1" applyAlignment="1" applyProtection="1">
      <alignment horizontal="center" vertical="center" wrapText="1"/>
    </xf>
    <xf numFmtId="0" fontId="20" fillId="0" borderId="2" xfId="8" applyFont="1" applyBorder="1" applyAlignment="1">
      <alignment horizontal="right" vertical="top" wrapText="1"/>
    </xf>
    <xf numFmtId="0" fontId="13" fillId="0" borderId="1" xfId="8" applyFont="1" applyBorder="1" applyAlignment="1">
      <alignment horizontal="left" vertical="top" wrapText="1"/>
    </xf>
    <xf numFmtId="0" fontId="24" fillId="4" borderId="1" xfId="13" applyFont="1" applyFill="1" applyBorder="1" applyAlignment="1">
      <alignment horizontal="center" vertical="center" wrapText="1"/>
    </xf>
    <xf numFmtId="0" fontId="24" fillId="4" borderId="1" xfId="13" applyFont="1" applyFill="1" applyBorder="1" applyAlignment="1">
      <alignment horizontal="center" vertical="center"/>
    </xf>
    <xf numFmtId="0" fontId="36" fillId="0" borderId="0" xfId="0" applyFont="1" applyAlignment="1">
      <alignment horizontal="center" vertical="center"/>
    </xf>
    <xf numFmtId="49" fontId="37" fillId="0" borderId="1" xfId="0" applyNumberFormat="1" applyFont="1" applyBorder="1" applyAlignment="1">
      <alignment horizontal="center" vertical="center" wrapText="1"/>
    </xf>
    <xf numFmtId="0" fontId="38" fillId="0" borderId="1" xfId="0" applyFont="1" applyBorder="1" applyAlignment="1" applyProtection="1">
      <alignment horizontal="center" vertical="center" wrapText="1"/>
      <protection hidden="1"/>
    </xf>
    <xf numFmtId="0" fontId="38" fillId="0" borderId="3" xfId="0" applyFont="1" applyBorder="1" applyAlignment="1" applyProtection="1">
      <alignment vertical="center" wrapText="1"/>
      <protection hidden="1"/>
    </xf>
    <xf numFmtId="0" fontId="38" fillId="0" borderId="11" xfId="0" applyFont="1" applyBorder="1" applyAlignment="1" applyProtection="1">
      <alignment horizontal="center" vertical="center"/>
      <protection hidden="1"/>
    </xf>
    <xf numFmtId="0" fontId="38" fillId="0" borderId="4" xfId="0" applyFont="1" applyBorder="1" applyAlignment="1" applyProtection="1">
      <alignment horizontal="center" vertical="center"/>
      <protection hidden="1"/>
    </xf>
    <xf numFmtId="0" fontId="38" fillId="0" borderId="21" xfId="0" applyFont="1" applyBorder="1" applyAlignment="1" applyProtection="1">
      <alignment horizontal="center" vertical="center"/>
      <protection hidden="1"/>
    </xf>
    <xf numFmtId="0" fontId="38" fillId="0" borderId="1" xfId="0" applyFont="1" applyBorder="1" applyAlignment="1" applyProtection="1">
      <alignment horizontal="center" vertical="center"/>
      <protection hidden="1"/>
    </xf>
    <xf numFmtId="9" fontId="38" fillId="0" borderId="21" xfId="11" applyFont="1" applyBorder="1" applyAlignment="1" applyProtection="1">
      <alignment horizontal="center" vertical="center"/>
      <protection hidden="1"/>
    </xf>
    <xf numFmtId="0" fontId="38" fillId="0" borderId="11" xfId="0" applyFont="1" applyBorder="1" applyAlignment="1" applyProtection="1">
      <alignment horizontal="center" vertical="center" wrapText="1"/>
      <protection hidden="1"/>
    </xf>
    <xf numFmtId="0" fontId="38" fillId="0" borderId="5" xfId="0" applyFont="1" applyBorder="1" applyAlignment="1" applyProtection="1">
      <alignment horizontal="center" vertical="center" wrapText="1"/>
      <protection hidden="1"/>
    </xf>
    <xf numFmtId="0" fontId="38" fillId="0" borderId="2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7" fillId="0" borderId="1" xfId="0" applyFont="1" applyBorder="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49"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9" fontId="38" fillId="0" borderId="1" xfId="11" applyFont="1" applyBorder="1" applyAlignment="1" applyProtection="1">
      <alignment horizontal="center" vertical="center"/>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8" fillId="3" borderId="1" xfId="0" applyFont="1" applyFill="1" applyBorder="1" applyAlignment="1">
      <alignment horizontal="center" vertical="center"/>
    </xf>
    <xf numFmtId="9" fontId="38" fillId="3" borderId="1" xfId="11" applyFont="1" applyFill="1" applyBorder="1" applyAlignment="1" applyProtection="1">
      <alignment horizontal="center" vertical="center"/>
    </xf>
    <xf numFmtId="0" fontId="38" fillId="0" borderId="1" xfId="13" applyFont="1" applyBorder="1" applyAlignment="1">
      <alignment horizontal="center" vertical="center"/>
    </xf>
    <xf numFmtId="0" fontId="38" fillId="0" borderId="2" xfId="13" applyFont="1" applyBorder="1" applyAlignment="1">
      <alignment horizontal="justify" vertical="center" wrapText="1"/>
    </xf>
    <xf numFmtId="2" fontId="38" fillId="0" borderId="1" xfId="13" applyNumberFormat="1" applyFont="1" applyBorder="1" applyAlignment="1">
      <alignment horizontal="center" vertical="center"/>
    </xf>
    <xf numFmtId="2" fontId="38" fillId="4" borderId="2" xfId="13" applyNumberFormat="1" applyFont="1" applyFill="1" applyBorder="1" applyAlignment="1">
      <alignment horizontal="center" vertical="center"/>
    </xf>
    <xf numFmtId="174" fontId="38" fillId="4" borderId="2" xfId="13" applyNumberFormat="1" applyFont="1" applyFill="1" applyBorder="1" applyAlignment="1">
      <alignment horizontal="center" vertical="center"/>
    </xf>
    <xf numFmtId="2" fontId="39" fillId="0" borderId="1" xfId="0" applyNumberFormat="1" applyFont="1" applyBorder="1" applyAlignment="1">
      <alignment horizontal="center" vertical="center" wrapText="1"/>
    </xf>
    <xf numFmtId="2" fontId="38" fillId="0" borderId="1" xfId="0" applyNumberFormat="1" applyFont="1" applyBorder="1" applyAlignment="1">
      <alignment horizontal="center" vertical="center"/>
    </xf>
    <xf numFmtId="1" fontId="38" fillId="0" borderId="1" xfId="13" applyNumberFormat="1" applyFont="1" applyBorder="1" applyAlignment="1">
      <alignment horizontal="center" vertical="center"/>
    </xf>
    <xf numFmtId="173" fontId="38" fillId="0" borderId="1" xfId="13" applyNumberFormat="1" applyFont="1" applyBorder="1" applyAlignment="1">
      <alignment horizontal="center" vertical="center"/>
    </xf>
    <xf numFmtId="0" fontId="38" fillId="0" borderId="1" xfId="13" applyFont="1" applyBorder="1" applyAlignment="1">
      <alignment horizontal="justify" vertical="center" wrapText="1"/>
    </xf>
    <xf numFmtId="0" fontId="38" fillId="0" borderId="0" xfId="13" applyFont="1" applyAlignment="1">
      <alignment horizontal="center" vertical="center"/>
    </xf>
    <xf numFmtId="49" fontId="38" fillId="0" borderId="1" xfId="13" applyNumberFormat="1" applyFont="1" applyBorder="1" applyAlignment="1">
      <alignment horizontal="center" vertical="center"/>
    </xf>
    <xf numFmtId="174" fontId="38" fillId="4" borderId="1" xfId="13" applyNumberFormat="1" applyFont="1" applyFill="1" applyBorder="1" applyAlignment="1">
      <alignment horizontal="center" vertical="center"/>
    </xf>
    <xf numFmtId="0" fontId="38" fillId="0" borderId="1" xfId="0" applyFont="1" applyBorder="1" applyAlignment="1">
      <alignment horizontal="justify" vertical="center" wrapText="1"/>
    </xf>
    <xf numFmtId="0" fontId="38" fillId="0" borderId="0" xfId="0" applyFont="1" applyAlignment="1">
      <alignment horizontal="justify" vertical="center"/>
    </xf>
    <xf numFmtId="174" fontId="36" fillId="4" borderId="1" xfId="0" applyNumberFormat="1" applyFont="1" applyFill="1" applyBorder="1" applyAlignment="1">
      <alignment horizontal="center" vertical="center"/>
    </xf>
    <xf numFmtId="173" fontId="38" fillId="4" borderId="1" xfId="13" applyNumberFormat="1" applyFont="1" applyFill="1" applyBorder="1" applyAlignment="1">
      <alignment horizontal="center" vertical="center"/>
    </xf>
    <xf numFmtId="174" fontId="36" fillId="4" borderId="0" xfId="0" applyNumberFormat="1" applyFont="1" applyFill="1" applyAlignment="1">
      <alignment horizontal="center" vertical="center"/>
    </xf>
    <xf numFmtId="0" fontId="38" fillId="4" borderId="1" xfId="13" applyFont="1" applyFill="1" applyBorder="1" applyAlignment="1">
      <alignment horizontal="center" vertical="center" wrapText="1"/>
    </xf>
    <xf numFmtId="0" fontId="38" fillId="4" borderId="1" xfId="13" applyFont="1" applyFill="1" applyBorder="1" applyAlignment="1">
      <alignment horizontal="justify" vertical="center" wrapText="1"/>
    </xf>
    <xf numFmtId="0" fontId="38" fillId="4" borderId="1" xfId="13" applyFont="1" applyFill="1" applyBorder="1" applyAlignment="1">
      <alignment horizontal="center" vertical="center"/>
    </xf>
    <xf numFmtId="2" fontId="38" fillId="4" borderId="1" xfId="13" applyNumberFormat="1" applyFont="1" applyFill="1" applyBorder="1" applyAlignment="1">
      <alignment horizontal="center" vertical="center"/>
    </xf>
    <xf numFmtId="0" fontId="36" fillId="0" borderId="1" xfId="0" applyFont="1" applyBorder="1" applyAlignment="1">
      <alignment horizontal="justify" vertical="center" wrapText="1"/>
    </xf>
    <xf numFmtId="0" fontId="38" fillId="4" borderId="1" xfId="0" applyFont="1" applyFill="1" applyBorder="1" applyAlignment="1">
      <alignment horizontal="center" vertical="center"/>
    </xf>
    <xf numFmtId="0" fontId="38" fillId="4" borderId="1" xfId="0" applyFont="1" applyFill="1" applyBorder="1" applyAlignment="1">
      <alignment vertical="center" wrapText="1"/>
    </xf>
    <xf numFmtId="174" fontId="36" fillId="4" borderId="2" xfId="0" applyNumberFormat="1" applyFont="1" applyFill="1" applyBorder="1" applyAlignment="1">
      <alignment horizontal="center" vertical="center"/>
    </xf>
    <xf numFmtId="0" fontId="36" fillId="0" borderId="0" xfId="0" applyFont="1" applyAlignment="1">
      <alignment horizontal="justify" vertical="center" wrapText="1"/>
    </xf>
    <xf numFmtId="0" fontId="38" fillId="0" borderId="1" xfId="13" applyFont="1" applyBorder="1" applyAlignment="1">
      <alignment horizontal="center" vertical="center" wrapText="1"/>
    </xf>
    <xf numFmtId="173" fontId="36" fillId="0" borderId="11" xfId="13" applyNumberFormat="1" applyFont="1" applyBorder="1" applyAlignment="1">
      <alignment horizontal="center" vertical="center"/>
    </xf>
    <xf numFmtId="0" fontId="36" fillId="0" borderId="1" xfId="13" applyFont="1" applyBorder="1" applyAlignment="1">
      <alignment horizontal="center" vertical="center"/>
    </xf>
    <xf numFmtId="2" fontId="36" fillId="0" borderId="1" xfId="13" applyNumberFormat="1" applyFont="1" applyBorder="1" applyAlignment="1">
      <alignment horizontal="center" vertical="center"/>
    </xf>
    <xf numFmtId="174" fontId="36" fillId="4" borderId="2" xfId="13" applyNumberFormat="1" applyFont="1" applyFill="1" applyBorder="1" applyAlignment="1">
      <alignment horizontal="center" vertical="center"/>
    </xf>
    <xf numFmtId="0" fontId="36" fillId="0" borderId="1" xfId="13" applyFont="1" applyBorder="1" applyAlignment="1">
      <alignment horizontal="center" vertical="center" wrapText="1"/>
    </xf>
    <xf numFmtId="173" fontId="36" fillId="0" borderId="1" xfId="13" applyNumberFormat="1" applyFont="1" applyBorder="1" applyAlignment="1">
      <alignment horizontal="center" vertical="center"/>
    </xf>
    <xf numFmtId="1" fontId="36" fillId="0" borderId="1" xfId="13" applyNumberFormat="1" applyFont="1" applyBorder="1" applyAlignment="1">
      <alignment horizontal="center" vertical="center"/>
    </xf>
    <xf numFmtId="0" fontId="36" fillId="4" borderId="1" xfId="0" applyFont="1" applyFill="1" applyBorder="1" applyAlignment="1">
      <alignment horizontal="justify" vertical="center" wrapText="1"/>
    </xf>
    <xf numFmtId="0" fontId="38" fillId="4" borderId="1" xfId="13" quotePrefix="1" applyFont="1" applyFill="1" applyBorder="1" applyAlignment="1">
      <alignment horizontal="center" vertical="center"/>
    </xf>
    <xf numFmtId="0" fontId="36" fillId="0" borderId="1" xfId="0" applyFont="1" applyBorder="1" applyAlignment="1">
      <alignment horizontal="center" vertical="center"/>
    </xf>
    <xf numFmtId="49" fontId="38" fillId="4" borderId="1" xfId="13" applyNumberFormat="1" applyFont="1" applyFill="1" applyBorder="1" applyAlignment="1">
      <alignment horizontal="center" vertical="center"/>
    </xf>
    <xf numFmtId="0" fontId="40" fillId="0" borderId="1" xfId="13" applyFont="1" applyBorder="1" applyAlignment="1">
      <alignment horizontal="justify" vertical="center" wrapText="1"/>
    </xf>
    <xf numFmtId="0" fontId="38" fillId="0" borderId="1" xfId="13" applyFont="1" applyBorder="1" applyAlignment="1">
      <alignment horizontal="left" vertical="center" wrapText="1"/>
    </xf>
    <xf numFmtId="2" fontId="38" fillId="0" borderId="1" xfId="13" applyNumberFormat="1" applyFont="1" applyBorder="1" applyAlignment="1">
      <alignment horizontal="center" vertical="center" wrapText="1"/>
    </xf>
    <xf numFmtId="49" fontId="38" fillId="0" borderId="1" xfId="13" applyNumberFormat="1" applyFont="1" applyBorder="1" applyAlignment="1">
      <alignment horizontal="center" vertical="center" wrapText="1"/>
    </xf>
    <xf numFmtId="0" fontId="38" fillId="0" borderId="1" xfId="0" applyFont="1" applyBorder="1" applyAlignment="1">
      <alignment vertical="center"/>
    </xf>
    <xf numFmtId="0" fontId="36" fillId="0" borderId="2" xfId="13" applyFont="1" applyBorder="1" applyAlignment="1">
      <alignment horizontal="justify" vertical="center" wrapText="1"/>
    </xf>
    <xf numFmtId="0" fontId="38" fillId="0" borderId="0" xfId="0" applyFont="1" applyAlignment="1">
      <alignment horizontal="center" vertical="center"/>
    </xf>
    <xf numFmtId="0" fontId="41" fillId="0" borderId="1" xfId="13" applyFont="1" applyBorder="1" applyAlignment="1">
      <alignment horizontal="center" vertical="center"/>
    </xf>
    <xf numFmtId="174" fontId="41" fillId="4" borderId="2" xfId="0" applyNumberFormat="1" applyFont="1" applyFill="1" applyBorder="1" applyAlignment="1">
      <alignment horizontal="center" vertical="center"/>
    </xf>
    <xf numFmtId="0" fontId="40" fillId="0" borderId="1" xfId="13" applyFont="1" applyBorder="1" applyAlignment="1">
      <alignment horizontal="center" vertical="center"/>
    </xf>
    <xf numFmtId="168" fontId="38" fillId="0" borderId="1" xfId="0" applyNumberFormat="1" applyFont="1" applyBorder="1" applyAlignment="1">
      <alignment horizontal="center" vertical="center" wrapText="1"/>
    </xf>
    <xf numFmtId="9" fontId="38" fillId="0" borderId="1" xfId="11" applyFont="1" applyBorder="1" applyAlignment="1" applyProtection="1">
      <alignment horizontal="center" vertical="center" wrapText="1"/>
    </xf>
    <xf numFmtId="0" fontId="36" fillId="0" borderId="1" xfId="0" applyFont="1" applyBorder="1" applyAlignment="1">
      <alignment horizontal="center" vertical="center" wrapText="1"/>
    </xf>
    <xf numFmtId="0" fontId="39" fillId="0" borderId="1" xfId="0" applyFont="1" applyBorder="1" applyAlignment="1">
      <alignment horizontal="center" vertical="center"/>
    </xf>
    <xf numFmtId="169" fontId="39" fillId="0" borderId="1" xfId="0" applyNumberFormat="1" applyFont="1" applyBorder="1" applyAlignment="1">
      <alignment horizontal="center" vertical="center"/>
    </xf>
    <xf numFmtId="0" fontId="39" fillId="0" borderId="1" xfId="0" applyFont="1" applyBorder="1" applyAlignment="1">
      <alignment horizontal="right" vertical="center"/>
    </xf>
    <xf numFmtId="170" fontId="37" fillId="0" borderId="1" xfId="0" applyNumberFormat="1" applyFont="1" applyBorder="1" applyAlignment="1">
      <alignment vertical="center"/>
    </xf>
    <xf numFmtId="168" fontId="37" fillId="0" borderId="1" xfId="0" applyNumberFormat="1" applyFont="1" applyBorder="1" applyAlignment="1">
      <alignment horizontal="center" vertical="center" wrapText="1"/>
    </xf>
    <xf numFmtId="9" fontId="37" fillId="0" borderId="1" xfId="11" applyFont="1" applyBorder="1" applyAlignment="1" applyProtection="1">
      <alignment horizontal="center" vertical="center" wrapText="1"/>
    </xf>
    <xf numFmtId="0" fontId="39" fillId="0" borderId="1" xfId="0" applyFont="1" applyBorder="1" applyAlignment="1" applyProtection="1">
      <alignment horizontal="right" vertical="center"/>
      <protection hidden="1"/>
    </xf>
    <xf numFmtId="10" fontId="38" fillId="0" borderId="1" xfId="0" applyNumberFormat="1" applyFont="1" applyBorder="1" applyAlignment="1" applyProtection="1">
      <alignment horizontal="center" vertical="center"/>
      <protection hidden="1"/>
    </xf>
    <xf numFmtId="168" fontId="36" fillId="0" borderId="1" xfId="0" applyNumberFormat="1" applyFont="1" applyBorder="1" applyAlignment="1">
      <alignment horizontal="center" vertical="center"/>
    </xf>
    <xf numFmtId="9" fontId="36" fillId="0" borderId="1" xfId="11" applyFont="1" applyBorder="1" applyAlignment="1" applyProtection="1">
      <alignment horizontal="center" vertical="center"/>
    </xf>
    <xf numFmtId="2" fontId="38" fillId="0" borderId="1" xfId="0" applyNumberFormat="1" applyFont="1" applyBorder="1" applyAlignment="1" applyProtection="1">
      <alignment horizontal="center" vertical="center" wrapText="1"/>
      <protection hidden="1"/>
    </xf>
    <xf numFmtId="0" fontId="36" fillId="0" borderId="1" xfId="0" applyFont="1" applyBorder="1" applyAlignment="1" applyProtection="1">
      <alignment horizontal="center" vertical="center"/>
      <protection hidden="1"/>
    </xf>
    <xf numFmtId="0" fontId="39" fillId="0" borderId="1" xfId="0" applyFont="1" applyBorder="1" applyAlignment="1" applyProtection="1">
      <alignment horizontal="right" vertical="center" wrapText="1"/>
      <protection hidden="1"/>
    </xf>
    <xf numFmtId="168" fontId="36" fillId="0" borderId="0" xfId="0" applyNumberFormat="1" applyFont="1" applyAlignment="1">
      <alignment horizontal="center" vertical="center"/>
    </xf>
    <xf numFmtId="9" fontId="36" fillId="0" borderId="0" xfId="11" applyFont="1" applyAlignment="1" applyProtection="1">
      <alignment horizontal="center" vertical="center"/>
    </xf>
    <xf numFmtId="0" fontId="42" fillId="0" borderId="0" xfId="0" applyFont="1" applyAlignment="1">
      <alignment horizontal="center" vertical="center"/>
    </xf>
    <xf numFmtId="0" fontId="41" fillId="0" borderId="0" xfId="0" applyFont="1" applyAlignment="1">
      <alignment horizontal="center" vertical="center"/>
    </xf>
    <xf numFmtId="15" fontId="36" fillId="0" borderId="0" xfId="0" applyNumberFormat="1" applyFont="1" applyAlignment="1">
      <alignment horizontal="center" vertical="center"/>
    </xf>
    <xf numFmtId="0" fontId="38" fillId="0" borderId="0" xfId="0" applyFont="1" applyAlignment="1">
      <alignment horizontal="right" vertical="center"/>
    </xf>
    <xf numFmtId="49" fontId="36" fillId="0" borderId="0" xfId="0" applyNumberFormat="1" applyFont="1" applyAlignment="1">
      <alignment horizontal="center" vertical="center"/>
    </xf>
    <xf numFmtId="170" fontId="36" fillId="0" borderId="0" xfId="0" applyNumberFormat="1" applyFont="1" applyAlignment="1">
      <alignment horizontal="center" vertical="center"/>
    </xf>
    <xf numFmtId="49" fontId="38" fillId="0" borderId="0" xfId="0" applyNumberFormat="1" applyFont="1" applyAlignment="1">
      <alignment horizontal="center" vertical="center" wrapText="1"/>
    </xf>
    <xf numFmtId="168" fontId="38" fillId="0" borderId="0" xfId="0" applyNumberFormat="1" applyFont="1" applyAlignment="1">
      <alignment horizontal="center" vertical="center"/>
    </xf>
    <xf numFmtId="9" fontId="38" fillId="0" borderId="0" xfId="11" applyFont="1" applyAlignment="1" applyProtection="1">
      <alignment horizontal="center" vertical="center"/>
    </xf>
    <xf numFmtId="0" fontId="37" fillId="0" borderId="0" xfId="0" applyFont="1" applyAlignment="1">
      <alignment horizontal="center" vertical="center" wrapText="1"/>
    </xf>
    <xf numFmtId="0" fontId="43" fillId="0" borderId="0" xfId="0" applyFont="1" applyAlignment="1">
      <alignment horizontal="center" vertical="center" wrapText="1"/>
    </xf>
    <xf numFmtId="0" fontId="35" fillId="0" borderId="0" xfId="0" applyFont="1" applyAlignment="1">
      <alignment horizontal="center" vertical="center" wrapText="1"/>
    </xf>
    <xf numFmtId="0" fontId="38" fillId="0" borderId="10" xfId="0" applyFont="1" applyBorder="1" applyAlignment="1" applyProtection="1">
      <alignment horizontal="left" vertical="center"/>
      <protection hidden="1"/>
    </xf>
    <xf numFmtId="0" fontId="36" fillId="0" borderId="0" xfId="0" applyFont="1"/>
    <xf numFmtId="0" fontId="38" fillId="0" borderId="1" xfId="0" applyFont="1" applyBorder="1" applyAlignment="1" applyProtection="1">
      <alignment horizontal="left" vertical="center"/>
      <protection hidden="1"/>
    </xf>
    <xf numFmtId="0" fontId="38" fillId="0" borderId="1" xfId="0" applyFont="1" applyBorder="1" applyAlignment="1" applyProtection="1">
      <alignment vertical="center"/>
      <protection hidden="1"/>
    </xf>
    <xf numFmtId="0" fontId="38" fillId="0" borderId="3" xfId="0" applyFont="1" applyBorder="1" applyAlignment="1" applyProtection="1">
      <alignment horizontal="center" vertical="center"/>
      <protection hidden="1"/>
    </xf>
    <xf numFmtId="0" fontId="38" fillId="0" borderId="0" xfId="0" applyFont="1" applyAlignment="1">
      <alignment horizontal="center"/>
    </xf>
    <xf numFmtId="0" fontId="36" fillId="0" borderId="1" xfId="0" applyFont="1" applyBorder="1" applyAlignment="1">
      <alignment vertical="center"/>
    </xf>
    <xf numFmtId="0" fontId="36" fillId="0" borderId="0" xfId="0" applyFont="1" applyAlignment="1">
      <alignment vertical="center"/>
    </xf>
    <xf numFmtId="0" fontId="38" fillId="0" borderId="10" xfId="0" applyFont="1" applyBorder="1" applyAlignment="1" applyProtection="1">
      <alignment horizontal="center" vertical="center"/>
      <protection hidden="1"/>
    </xf>
    <xf numFmtId="0" fontId="38" fillId="0" borderId="2" xfId="0" applyFont="1" applyBorder="1" applyAlignment="1">
      <alignment horizontal="left" vertical="center"/>
    </xf>
    <xf numFmtId="0" fontId="36" fillId="0" borderId="1" xfId="0" applyFont="1" applyBorder="1" applyAlignment="1" applyProtection="1">
      <alignment horizontal="center" vertical="center" wrapText="1"/>
      <protection hidden="1"/>
    </xf>
    <xf numFmtId="0" fontId="38" fillId="0" borderId="1" xfId="0" applyFont="1" applyBorder="1" applyAlignment="1">
      <alignment horizontal="center" vertical="center" wrapText="1"/>
    </xf>
    <xf numFmtId="0" fontId="38" fillId="4" borderId="1" xfId="0" applyFont="1" applyFill="1" applyBorder="1" applyAlignment="1">
      <alignment horizontal="center" vertical="center" wrapText="1"/>
    </xf>
    <xf numFmtId="0" fontId="38" fillId="3" borderId="1" xfId="0" applyFont="1" applyFill="1" applyBorder="1" applyAlignment="1" applyProtection="1">
      <alignment horizontal="center" vertical="center" wrapText="1"/>
      <protection locked="0" hidden="1"/>
    </xf>
    <xf numFmtId="9" fontId="38" fillId="3" borderId="1" xfId="11" applyFont="1" applyFill="1" applyBorder="1" applyAlignment="1" applyProtection="1">
      <alignment horizontal="center" vertical="center" wrapText="1"/>
      <protection locked="0"/>
    </xf>
    <xf numFmtId="2" fontId="38" fillId="4" borderId="1" xfId="0" applyNumberFormat="1" applyFont="1" applyFill="1" applyBorder="1" applyAlignment="1">
      <alignment horizontal="center" vertical="center" wrapText="1"/>
    </xf>
    <xf numFmtId="2" fontId="38" fillId="0" borderId="1" xfId="0" applyNumberFormat="1" applyFont="1" applyBorder="1" applyAlignment="1" applyProtection="1">
      <alignment horizontal="center" vertical="center"/>
      <protection locked="0" hidden="1"/>
    </xf>
    <xf numFmtId="2" fontId="36" fillId="0" borderId="1" xfId="0" applyNumberFormat="1" applyFont="1" applyBorder="1" applyAlignment="1">
      <alignment horizontal="right" vertical="center"/>
    </xf>
    <xf numFmtId="0" fontId="38" fillId="4" borderId="3" xfId="0" applyFont="1" applyFill="1" applyBorder="1" applyAlignment="1">
      <alignment horizontal="center" vertical="center" wrapText="1"/>
    </xf>
    <xf numFmtId="0" fontId="38" fillId="0" borderId="2" xfId="0" applyFont="1" applyBorder="1" applyAlignment="1" applyProtection="1">
      <alignment horizontal="left" vertical="center"/>
      <protection hidden="1"/>
    </xf>
    <xf numFmtId="0" fontId="38" fillId="0" borderId="2" xfId="0" applyFont="1" applyBorder="1" applyAlignment="1" applyProtection="1">
      <alignment vertical="center"/>
      <protection hidden="1"/>
    </xf>
    <xf numFmtId="0" fontId="38" fillId="0" borderId="1" xfId="0" applyFont="1" applyBorder="1" applyAlignment="1" applyProtection="1">
      <alignment vertical="center" wrapText="1"/>
      <protection hidden="1"/>
    </xf>
    <xf numFmtId="0" fontId="36" fillId="0" borderId="3" xfId="0" applyFont="1" applyBorder="1" applyAlignment="1" applyProtection="1">
      <alignment horizontal="center" vertical="center"/>
      <protection hidden="1"/>
    </xf>
    <xf numFmtId="0" fontId="36" fillId="0" borderId="1" xfId="0" applyFont="1" applyBorder="1" applyAlignment="1" applyProtection="1">
      <alignment vertical="center"/>
      <protection hidden="1"/>
    </xf>
    <xf numFmtId="0" fontId="36" fillId="0" borderId="0" xfId="0" applyFont="1" applyAlignment="1" applyProtection="1">
      <alignment vertical="center"/>
      <protection hidden="1"/>
    </xf>
    <xf numFmtId="0" fontId="39" fillId="0" borderId="0" xfId="0" applyFont="1" applyAlignment="1" applyProtection="1">
      <alignment vertical="center"/>
      <protection hidden="1"/>
    </xf>
    <xf numFmtId="0" fontId="39" fillId="0" borderId="0" xfId="0" applyFont="1" applyAlignment="1" applyProtection="1">
      <alignment horizontal="left" vertical="center"/>
      <protection hidden="1"/>
    </xf>
    <xf numFmtId="0" fontId="37" fillId="0" borderId="0" xfId="12" applyFont="1" applyAlignment="1" applyProtection="1">
      <alignment horizontal="center" vertical="center"/>
      <protection hidden="1"/>
    </xf>
    <xf numFmtId="0" fontId="38" fillId="0" borderId="0" xfId="12" applyFont="1" applyAlignment="1" applyProtection="1">
      <alignment horizontal="justify" vertical="center"/>
      <protection hidden="1"/>
    </xf>
    <xf numFmtId="0" fontId="38" fillId="0" borderId="0" xfId="12" applyFont="1" applyAlignment="1" applyProtection="1">
      <alignment vertical="center"/>
      <protection hidden="1"/>
    </xf>
    <xf numFmtId="0" fontId="38" fillId="0" borderId="2" xfId="12" applyFont="1" applyBorder="1" applyAlignment="1" applyProtection="1">
      <alignment vertical="center" wrapText="1"/>
      <protection hidden="1"/>
    </xf>
    <xf numFmtId="0" fontId="38" fillId="0" borderId="3" xfId="12" applyFont="1" applyBorder="1" applyAlignment="1" applyProtection="1">
      <alignment vertical="center" wrapText="1"/>
      <protection hidden="1"/>
    </xf>
    <xf numFmtId="0" fontId="38" fillId="6" borderId="1" xfId="12" applyFont="1" applyFill="1" applyBorder="1" applyAlignment="1" applyProtection="1">
      <alignment horizontal="left" vertical="center"/>
      <protection locked="0"/>
    </xf>
    <xf numFmtId="0" fontId="38" fillId="0" borderId="0" xfId="12" applyFont="1" applyAlignment="1" applyProtection="1">
      <alignment vertical="center" wrapText="1"/>
      <protection hidden="1"/>
    </xf>
    <xf numFmtId="0" fontId="38" fillId="0" borderId="0" xfId="12" applyFont="1" applyAlignment="1" applyProtection="1">
      <alignment horizontal="center" vertical="center"/>
      <protection hidden="1"/>
    </xf>
    <xf numFmtId="0" fontId="38" fillId="0" borderId="36" xfId="12" applyFont="1" applyBorder="1" applyAlignment="1" applyProtection="1">
      <alignment vertical="center"/>
      <protection hidden="1"/>
    </xf>
    <xf numFmtId="0" fontId="38" fillId="0" borderId="37" xfId="12" applyFont="1" applyBorder="1" applyAlignment="1" applyProtection="1">
      <alignment vertical="center"/>
      <protection hidden="1"/>
    </xf>
    <xf numFmtId="0" fontId="38" fillId="6" borderId="38" xfId="12" applyFont="1" applyFill="1" applyBorder="1" applyAlignment="1" applyProtection="1">
      <alignment vertical="center" wrapText="1"/>
      <protection locked="0"/>
    </xf>
    <xf numFmtId="0" fontId="38" fillId="0" borderId="39" xfId="12" applyFont="1" applyBorder="1" applyAlignment="1" applyProtection="1">
      <alignment vertical="center" wrapText="1"/>
      <protection hidden="1"/>
    </xf>
    <xf numFmtId="0" fontId="38" fillId="0" borderId="40" xfId="12" applyFont="1" applyBorder="1" applyAlignment="1" applyProtection="1">
      <alignment vertical="center"/>
      <protection hidden="1"/>
    </xf>
    <xf numFmtId="0" fontId="38" fillId="0" borderId="41" xfId="12" applyFont="1" applyBorder="1" applyAlignment="1" applyProtection="1">
      <alignment vertical="center"/>
      <protection hidden="1"/>
    </xf>
    <xf numFmtId="0" fontId="38" fillId="0" borderId="42" xfId="12" applyFont="1" applyBorder="1" applyAlignment="1" applyProtection="1">
      <alignment vertical="center"/>
      <protection hidden="1"/>
    </xf>
    <xf numFmtId="0" fontId="38" fillId="0" borderId="8" xfId="12" applyFont="1" applyBorder="1" applyAlignment="1" applyProtection="1">
      <alignment vertical="center"/>
      <protection hidden="1"/>
    </xf>
    <xf numFmtId="0" fontId="38" fillId="0" borderId="24" xfId="12" applyFont="1" applyBorder="1" applyAlignment="1" applyProtection="1">
      <alignment vertical="center"/>
      <protection hidden="1"/>
    </xf>
    <xf numFmtId="0" fontId="38" fillId="0" borderId="39" xfId="12" applyFont="1" applyBorder="1" applyAlignment="1" applyProtection="1">
      <alignment vertical="center"/>
      <protection hidden="1"/>
    </xf>
    <xf numFmtId="0" fontId="38" fillId="0" borderId="2" xfId="12" applyFont="1" applyBorder="1" applyAlignment="1" applyProtection="1">
      <alignment horizontal="left" vertical="center"/>
      <protection hidden="1"/>
    </xf>
    <xf numFmtId="0" fontId="38" fillId="0" borderId="3" xfId="12" applyFont="1" applyBorder="1" applyAlignment="1" applyProtection="1">
      <alignment horizontal="left" vertical="center"/>
      <protection hidden="1"/>
    </xf>
    <xf numFmtId="49" fontId="38" fillId="6" borderId="38" xfId="12" applyNumberFormat="1" applyFont="1" applyFill="1" applyBorder="1" applyAlignment="1" applyProtection="1">
      <alignment vertical="center" wrapText="1"/>
      <protection locked="0"/>
    </xf>
    <xf numFmtId="0" fontId="38" fillId="0" borderId="0" xfId="12" applyFont="1" applyAlignment="1" applyProtection="1">
      <alignment horizontal="left" vertical="center"/>
      <protection hidden="1"/>
    </xf>
    <xf numFmtId="15" fontId="38" fillId="6" borderId="38" xfId="12" applyNumberFormat="1" applyFont="1" applyFill="1" applyBorder="1" applyAlignment="1" applyProtection="1">
      <alignment vertical="center" wrapText="1"/>
      <protection locked="0"/>
    </xf>
    <xf numFmtId="0" fontId="44" fillId="0" borderId="0" xfId="7" applyFont="1" applyAlignment="1" applyProtection="1">
      <alignment horizontal="center" vertical="center" wrapText="1"/>
      <protection hidden="1"/>
    </xf>
    <xf numFmtId="0" fontId="37" fillId="0" borderId="0" xfId="7" applyFont="1" applyProtection="1">
      <protection hidden="1"/>
    </xf>
    <xf numFmtId="0" fontId="38" fillId="0" borderId="0" xfId="7" applyFont="1" applyProtection="1">
      <protection hidden="1"/>
    </xf>
    <xf numFmtId="0" fontId="38" fillId="0" borderId="0" xfId="7" applyFont="1" applyAlignment="1" applyProtection="1">
      <alignment vertical="top"/>
      <protection hidden="1"/>
    </xf>
    <xf numFmtId="0" fontId="38" fillId="0" borderId="0" xfId="7" applyFont="1" applyAlignment="1" applyProtection="1">
      <alignment vertical="center"/>
      <protection hidden="1"/>
    </xf>
    <xf numFmtId="0" fontId="37" fillId="0" borderId="0" xfId="7" applyFont="1" applyAlignment="1" applyProtection="1">
      <alignment horizontal="center" vertical="top"/>
      <protection hidden="1"/>
    </xf>
    <xf numFmtId="0" fontId="38" fillId="0" borderId="0" xfId="7" applyFont="1" applyAlignment="1" applyProtection="1">
      <alignment horizontal="justify" vertical="center"/>
      <protection hidden="1"/>
    </xf>
    <xf numFmtId="0" fontId="38" fillId="0" borderId="0" xfId="7" applyFont="1" applyAlignment="1" applyProtection="1">
      <alignment vertical="top" wrapText="1"/>
      <protection hidden="1"/>
    </xf>
    <xf numFmtId="173" fontId="37" fillId="0" borderId="0" xfId="7" quotePrefix="1" applyNumberFormat="1" applyFont="1" applyAlignment="1" applyProtection="1">
      <alignment horizontal="left" vertical="top" wrapText="1" indent="1"/>
      <protection hidden="1"/>
    </xf>
    <xf numFmtId="0" fontId="38" fillId="0" borderId="0" xfId="7" applyFont="1" applyAlignment="1" applyProtection="1">
      <alignment horizontal="justify" vertical="top"/>
      <protection hidden="1"/>
    </xf>
    <xf numFmtId="0" fontId="44" fillId="0" borderId="0" xfId="7" applyFont="1" applyAlignment="1" applyProtection="1">
      <alignment horizontal="justify" vertical="center"/>
      <protection hidden="1"/>
    </xf>
    <xf numFmtId="0" fontId="38" fillId="0" borderId="0" xfId="7" applyFont="1" applyAlignment="1" applyProtection="1">
      <alignment horizontal="right" vertical="top" wrapText="1"/>
      <protection hidden="1"/>
    </xf>
    <xf numFmtId="0" fontId="38" fillId="0" borderId="0" xfId="7" applyFont="1" applyAlignment="1" applyProtection="1">
      <alignment horizontal="center" vertical="top" wrapText="1"/>
      <protection hidden="1"/>
    </xf>
    <xf numFmtId="0" fontId="37" fillId="0" borderId="0" xfId="7" applyFont="1" applyAlignment="1" applyProtection="1">
      <alignment horizontal="left" vertical="top"/>
      <protection hidden="1"/>
    </xf>
    <xf numFmtId="173" fontId="37" fillId="0" borderId="0" xfId="7" quotePrefix="1" applyNumberFormat="1" applyFont="1" applyAlignment="1" applyProtection="1">
      <alignment horizontal="left" vertical="top" wrapText="1"/>
      <protection hidden="1"/>
    </xf>
    <xf numFmtId="0" fontId="44" fillId="0" borderId="0" xfId="7" applyFont="1" applyAlignment="1" applyProtection="1">
      <alignment horizontal="center" vertical="top"/>
      <protection hidden="1"/>
    </xf>
    <xf numFmtId="0" fontId="38" fillId="0" borderId="0" xfId="7" applyFont="1" applyAlignment="1" applyProtection="1">
      <alignment horizontal="justify"/>
      <protection hidden="1"/>
    </xf>
    <xf numFmtId="9" fontId="38" fillId="4" borderId="1" xfId="11" applyFont="1" applyFill="1" applyBorder="1" applyAlignment="1" applyProtection="1">
      <alignment horizontal="center" vertical="center"/>
    </xf>
    <xf numFmtId="164" fontId="38" fillId="4" borderId="1" xfId="13" applyNumberFormat="1" applyFont="1" applyFill="1" applyBorder="1" applyAlignment="1">
      <alignment horizontal="center" vertical="center"/>
    </xf>
    <xf numFmtId="0" fontId="37" fillId="4" borderId="1" xfId="0" applyFont="1" applyFill="1" applyBorder="1" applyAlignment="1">
      <alignment horizontal="center" vertical="center" wrapText="1"/>
    </xf>
    <xf numFmtId="0" fontId="39" fillId="4" borderId="1" xfId="0" applyFont="1" applyFill="1" applyBorder="1" applyAlignment="1">
      <alignment horizontal="center" vertical="center" wrapText="1"/>
    </xf>
    <xf numFmtId="2" fontId="39" fillId="4" borderId="1" xfId="0" applyNumberFormat="1" applyFont="1" applyFill="1" applyBorder="1" applyAlignment="1">
      <alignment horizontal="center" vertical="center" wrapText="1"/>
    </xf>
    <xf numFmtId="2" fontId="38" fillId="4" borderId="1" xfId="0" applyNumberFormat="1" applyFont="1" applyFill="1" applyBorder="1" applyAlignment="1">
      <alignment horizontal="center" vertical="center"/>
    </xf>
    <xf numFmtId="2" fontId="38" fillId="4" borderId="1" xfId="13" applyNumberFormat="1" applyFont="1" applyFill="1" applyBorder="1" applyAlignment="1">
      <alignment vertical="center"/>
    </xf>
    <xf numFmtId="2" fontId="36" fillId="4" borderId="1" xfId="13" applyNumberFormat="1" applyFont="1" applyFill="1" applyBorder="1" applyAlignment="1">
      <alignment horizontal="center" vertical="center"/>
    </xf>
    <xf numFmtId="0" fontId="36" fillId="4" borderId="1" xfId="0" applyFont="1" applyFill="1" applyBorder="1" applyAlignment="1">
      <alignment horizontal="center" vertical="center"/>
    </xf>
    <xf numFmtId="1" fontId="38" fillId="4" borderId="1" xfId="13" applyNumberFormat="1" applyFont="1" applyFill="1" applyBorder="1" applyAlignment="1">
      <alignment horizontal="center" vertical="center"/>
    </xf>
    <xf numFmtId="0" fontId="36" fillId="4" borderId="1" xfId="13" applyFont="1" applyFill="1" applyBorder="1" applyAlignment="1">
      <alignment horizontal="center" vertical="center"/>
    </xf>
    <xf numFmtId="0" fontId="38" fillId="4" borderId="1" xfId="0" applyFont="1" applyFill="1" applyBorder="1" applyAlignment="1">
      <alignment vertical="center"/>
    </xf>
    <xf numFmtId="1" fontId="36" fillId="4" borderId="1" xfId="13" applyNumberFormat="1" applyFont="1" applyFill="1" applyBorder="1" applyAlignment="1">
      <alignment horizontal="center" vertical="center"/>
    </xf>
    <xf numFmtId="2" fontId="41" fillId="4" borderId="1" xfId="13" applyNumberFormat="1" applyFont="1" applyFill="1" applyBorder="1" applyAlignment="1">
      <alignment horizontal="center" vertical="center"/>
    </xf>
    <xf numFmtId="0" fontId="36" fillId="0" borderId="0" xfId="0" applyFont="1" applyAlignment="1" applyProtection="1">
      <alignment horizontal="center" vertical="center"/>
      <protection hidden="1"/>
    </xf>
    <xf numFmtId="0" fontId="38" fillId="4" borderId="2" xfId="13" applyFont="1" applyFill="1" applyBorder="1" applyAlignment="1">
      <alignment horizontal="justify" vertical="center" wrapText="1"/>
    </xf>
    <xf numFmtId="0" fontId="38" fillId="0" borderId="0" xfId="0" applyFont="1" applyAlignment="1" applyProtection="1">
      <alignment vertical="center"/>
      <protection hidden="1"/>
    </xf>
    <xf numFmtId="170" fontId="36" fillId="0" borderId="0" xfId="0" applyNumberFormat="1" applyFont="1" applyAlignment="1" applyProtection="1">
      <alignment vertical="center"/>
      <protection hidden="1"/>
    </xf>
    <xf numFmtId="0" fontId="39" fillId="0" borderId="0" xfId="0" applyFont="1" applyAlignment="1" applyProtection="1">
      <alignment horizontal="right" vertical="center"/>
      <protection hidden="1"/>
    </xf>
    <xf numFmtId="49" fontId="38" fillId="0" borderId="0" xfId="0" applyNumberFormat="1" applyFont="1" applyAlignment="1" applyProtection="1">
      <alignment vertical="center"/>
      <protection hidden="1"/>
    </xf>
    <xf numFmtId="0" fontId="37" fillId="0" borderId="1" xfId="0" quotePrefix="1" applyFont="1" applyBorder="1" applyAlignment="1">
      <alignment horizontal="center" vertical="center" wrapText="1"/>
    </xf>
    <xf numFmtId="0" fontId="38" fillId="0" borderId="0" xfId="0" applyFont="1" applyAlignment="1" applyProtection="1">
      <alignment horizontal="center" vertical="center"/>
      <protection hidden="1"/>
    </xf>
    <xf numFmtId="0" fontId="38" fillId="0" borderId="0" xfId="5" applyFont="1"/>
    <xf numFmtId="0" fontId="38" fillId="0" borderId="1" xfId="5" applyFont="1" applyBorder="1" applyAlignment="1" applyProtection="1">
      <alignment horizontal="center" vertical="center" wrapText="1"/>
      <protection hidden="1"/>
    </xf>
    <xf numFmtId="0" fontId="38" fillId="0" borderId="1" xfId="5" applyFont="1" applyBorder="1"/>
    <xf numFmtId="0" fontId="38" fillId="3" borderId="0" xfId="5" applyFont="1" applyFill="1"/>
    <xf numFmtId="0" fontId="38" fillId="0" borderId="0" xfId="5" applyFont="1" applyAlignment="1">
      <alignment horizontal="left" wrapText="1"/>
    </xf>
    <xf numFmtId="0" fontId="38" fillId="0" borderId="0" xfId="5" applyFont="1" applyAlignment="1">
      <alignment horizontal="center" vertical="center"/>
    </xf>
    <xf numFmtId="0" fontId="37" fillId="0" borderId="22" xfId="5" applyFont="1" applyBorder="1" applyAlignment="1">
      <alignment horizontal="center" vertical="center" wrapText="1"/>
    </xf>
    <xf numFmtId="0" fontId="36" fillId="0" borderId="3" xfId="9" applyFont="1" applyBorder="1" applyAlignment="1">
      <alignment horizontal="center" vertical="center"/>
    </xf>
    <xf numFmtId="0" fontId="36" fillId="0" borderId="1" xfId="9" applyFont="1" applyBorder="1" applyAlignment="1">
      <alignment horizontal="center" vertical="center" wrapText="1"/>
    </xf>
    <xf numFmtId="0" fontId="38" fillId="0" borderId="1" xfId="5" applyFont="1" applyBorder="1" applyAlignment="1">
      <alignment horizontal="center" vertical="center" wrapText="1"/>
    </xf>
    <xf numFmtId="0" fontId="38" fillId="0" borderId="1" xfId="5" applyFont="1" applyBorder="1" applyAlignment="1">
      <alignment horizontal="center" vertical="center" wrapText="1" shrinkToFit="1"/>
    </xf>
    <xf numFmtId="1" fontId="38" fillId="0" borderId="1" xfId="5" applyNumberFormat="1" applyFont="1" applyBorder="1" applyAlignment="1">
      <alignment horizontal="center" vertical="center" wrapText="1"/>
    </xf>
    <xf numFmtId="1" fontId="38" fillId="0" borderId="2" xfId="5" applyNumberFormat="1" applyFont="1" applyBorder="1" applyAlignment="1">
      <alignment horizontal="center" vertical="center" wrapText="1"/>
    </xf>
    <xf numFmtId="0" fontId="39" fillId="0" borderId="22" xfId="9" applyFont="1" applyBorder="1" applyAlignment="1">
      <alignment horizontal="center" vertical="center"/>
    </xf>
    <xf numFmtId="0" fontId="39" fillId="0" borderId="1" xfId="9" applyFont="1" applyBorder="1" applyAlignment="1">
      <alignment horizontal="center" vertical="center" wrapText="1"/>
    </xf>
    <xf numFmtId="0" fontId="38" fillId="0" borderId="1" xfId="6" applyFont="1" applyBorder="1" applyAlignment="1">
      <alignment horizontal="center" vertical="center" wrapText="1"/>
    </xf>
    <xf numFmtId="9" fontId="36" fillId="0" borderId="1" xfId="9" applyNumberFormat="1" applyFont="1" applyBorder="1" applyAlignment="1">
      <alignment horizontal="center" vertical="center"/>
    </xf>
    <xf numFmtId="0" fontId="36" fillId="0" borderId="1" xfId="9" applyFont="1" applyBorder="1" applyAlignment="1">
      <alignment horizontal="left" vertical="center" wrapText="1"/>
    </xf>
    <xf numFmtId="0" fontId="36" fillId="0" borderId="1" xfId="9" applyFont="1" applyBorder="1" applyAlignment="1">
      <alignment horizontal="center" vertical="center"/>
    </xf>
    <xf numFmtId="0" fontId="38" fillId="0" borderId="1" xfId="9" applyFont="1" applyBorder="1" applyAlignment="1">
      <alignment horizontal="center" vertical="center"/>
    </xf>
    <xf numFmtId="0" fontId="36" fillId="0" borderId="2" xfId="9" applyFont="1" applyBorder="1" applyAlignment="1">
      <alignment horizontal="center" vertical="center"/>
    </xf>
    <xf numFmtId="0" fontId="38" fillId="0" borderId="1" xfId="5" applyFont="1" applyBorder="1" applyAlignment="1">
      <alignment horizontal="right" vertical="center"/>
    </xf>
    <xf numFmtId="2" fontId="38" fillId="0" borderId="1" xfId="5" applyNumberFormat="1" applyFont="1" applyBorder="1" applyAlignment="1">
      <alignment horizontal="right" vertical="center"/>
    </xf>
    <xf numFmtId="0" fontId="36" fillId="0" borderId="22" xfId="9" applyFont="1" applyBorder="1" applyAlignment="1">
      <alignment horizontal="center" vertical="center"/>
    </xf>
    <xf numFmtId="0" fontId="36" fillId="0" borderId="3" xfId="9" applyFont="1" applyBorder="1" applyAlignment="1">
      <alignment horizontal="center" vertical="center" wrapText="1"/>
    </xf>
    <xf numFmtId="0" fontId="38" fillId="3" borderId="1" xfId="6" applyFont="1" applyFill="1" applyBorder="1" applyAlignment="1" applyProtection="1">
      <alignment horizontal="center" vertical="center" wrapText="1"/>
      <protection locked="0" hidden="1"/>
    </xf>
    <xf numFmtId="9" fontId="36" fillId="3" borderId="1" xfId="9" applyNumberFormat="1" applyFont="1" applyFill="1" applyBorder="1" applyAlignment="1" applyProtection="1">
      <alignment horizontal="center" vertical="center"/>
      <protection locked="0" hidden="1"/>
    </xf>
    <xf numFmtId="0" fontId="36" fillId="0" borderId="17" xfId="9" applyFont="1" applyBorder="1" applyAlignment="1" applyProtection="1">
      <alignment horizontal="center" vertical="center"/>
      <protection locked="0" hidden="1"/>
    </xf>
    <xf numFmtId="9" fontId="36" fillId="0" borderId="1" xfId="9" applyNumberFormat="1" applyFont="1" applyBorder="1" applyAlignment="1" applyProtection="1">
      <alignment horizontal="center" vertical="center"/>
      <protection locked="0" hidden="1"/>
    </xf>
    <xf numFmtId="0" fontId="38" fillId="0" borderId="1" xfId="6" applyFont="1" applyBorder="1" applyAlignment="1" applyProtection="1">
      <alignment horizontal="center" vertical="center" wrapText="1"/>
      <protection locked="0" hidden="1"/>
    </xf>
    <xf numFmtId="0" fontId="38" fillId="0" borderId="1" xfId="9" applyFont="1" applyBorder="1" applyAlignment="1">
      <alignment horizontal="center" vertical="center" wrapText="1"/>
    </xf>
    <xf numFmtId="0" fontId="36" fillId="3" borderId="1" xfId="9" applyFont="1" applyFill="1" applyBorder="1" applyAlignment="1" applyProtection="1">
      <alignment horizontal="center" vertical="center"/>
      <protection locked="0" hidden="1"/>
    </xf>
    <xf numFmtId="0" fontId="38" fillId="0" borderId="2" xfId="9" applyFont="1" applyBorder="1" applyAlignment="1">
      <alignment horizontal="center" vertical="center"/>
    </xf>
    <xf numFmtId="1" fontId="38" fillId="0" borderId="1" xfId="0" applyNumberFormat="1" applyFont="1" applyBorder="1" applyAlignment="1">
      <alignment horizontal="center" vertical="center"/>
    </xf>
    <xf numFmtId="0" fontId="36" fillId="0" borderId="23" xfId="9" applyFont="1" applyBorder="1" applyAlignment="1">
      <alignment horizontal="center" vertical="center"/>
    </xf>
    <xf numFmtId="0" fontId="36" fillId="0" borderId="11" xfId="9" applyFont="1" applyBorder="1" applyAlignment="1">
      <alignment horizontal="center" vertical="center"/>
    </xf>
    <xf numFmtId="0" fontId="39" fillId="0" borderId="11" xfId="9" applyFont="1" applyBorder="1" applyAlignment="1">
      <alignment horizontal="center" vertical="center" wrapText="1"/>
    </xf>
    <xf numFmtId="0" fontId="38" fillId="0" borderId="11" xfId="9" applyFont="1" applyBorder="1" applyAlignment="1">
      <alignment horizontal="center" vertical="center"/>
    </xf>
    <xf numFmtId="1" fontId="38" fillId="0" borderId="11" xfId="5" applyNumberFormat="1" applyFont="1" applyBorder="1" applyAlignment="1">
      <alignment horizontal="center" vertical="center"/>
    </xf>
    <xf numFmtId="1" fontId="38" fillId="4" borderId="4" xfId="5" applyNumberFormat="1" applyFont="1" applyFill="1" applyBorder="1" applyAlignment="1">
      <alignment horizontal="center" vertical="center"/>
    </xf>
    <xf numFmtId="2" fontId="38" fillId="0" borderId="1" xfId="5" applyNumberFormat="1" applyFont="1" applyBorder="1"/>
    <xf numFmtId="2" fontId="37" fillId="0" borderId="1" xfId="5" applyNumberFormat="1" applyFont="1" applyBorder="1"/>
    <xf numFmtId="0" fontId="37" fillId="0" borderId="1" xfId="5" applyFont="1" applyBorder="1"/>
    <xf numFmtId="0" fontId="36" fillId="0" borderId="1" xfId="9" applyFont="1" applyBorder="1" applyAlignment="1">
      <alignment horizontal="justify" vertical="center" wrapText="1"/>
    </xf>
    <xf numFmtId="0" fontId="38" fillId="4" borderId="1" xfId="6" applyFont="1" applyFill="1" applyBorder="1" applyAlignment="1" applyProtection="1">
      <alignment horizontal="center" vertical="center" wrapText="1"/>
      <protection locked="0" hidden="1"/>
    </xf>
    <xf numFmtId="9" fontId="36" fillId="4" borderId="1" xfId="9" applyNumberFormat="1" applyFont="1" applyFill="1" applyBorder="1" applyAlignment="1">
      <alignment horizontal="center" vertical="center"/>
    </xf>
    <xf numFmtId="9" fontId="36" fillId="4" borderId="1" xfId="9" applyNumberFormat="1" applyFont="1" applyFill="1" applyBorder="1" applyAlignment="1" applyProtection="1">
      <alignment horizontal="center" vertical="center"/>
      <protection locked="0" hidden="1"/>
    </xf>
    <xf numFmtId="0" fontId="36" fillId="3" borderId="17" xfId="9" applyFont="1" applyFill="1" applyBorder="1" applyAlignment="1" applyProtection="1">
      <alignment horizontal="center" vertical="center"/>
      <protection locked="0" hidden="1"/>
    </xf>
    <xf numFmtId="0" fontId="38" fillId="3" borderId="3" xfId="6" applyFont="1" applyFill="1" applyBorder="1" applyAlignment="1" applyProtection="1">
      <alignment horizontal="center" vertical="center" wrapText="1"/>
      <protection locked="0" hidden="1"/>
    </xf>
    <xf numFmtId="0" fontId="2" fillId="0" borderId="1" xfId="6" applyBorder="1" applyAlignment="1">
      <alignment horizontal="center" vertical="center" wrapText="1"/>
    </xf>
    <xf numFmtId="0" fontId="38" fillId="4" borderId="3" xfId="6" applyFont="1" applyFill="1" applyBorder="1" applyAlignment="1" applyProtection="1">
      <alignment horizontal="center" vertical="center" wrapText="1"/>
      <protection locked="0" hidden="1"/>
    </xf>
    <xf numFmtId="0" fontId="34" fillId="0" borderId="1" xfId="0" applyFont="1" applyBorder="1" applyAlignment="1">
      <alignment horizontal="center" vertical="center"/>
    </xf>
    <xf numFmtId="0" fontId="38" fillId="3" borderId="0" xfId="5" applyFont="1" applyFill="1" applyAlignment="1">
      <alignment vertical="center"/>
    </xf>
    <xf numFmtId="0" fontId="38" fillId="0" borderId="0" xfId="0" applyFont="1"/>
    <xf numFmtId="0" fontId="38" fillId="0" borderId="2" xfId="0" applyFont="1" applyBorder="1" applyAlignment="1">
      <alignment horizontal="center" vertical="center"/>
    </xf>
    <xf numFmtId="0" fontId="38" fillId="0" borderId="1" xfId="10" applyFont="1" applyBorder="1" applyAlignment="1">
      <alignment horizontal="left"/>
    </xf>
    <xf numFmtId="0" fontId="38" fillId="0" borderId="1" xfId="10" applyFont="1" applyBorder="1"/>
    <xf numFmtId="0" fontId="38" fillId="0" borderId="2" xfId="0" applyFont="1" applyBorder="1" applyAlignment="1">
      <alignment horizontal="center" vertical="top"/>
    </xf>
    <xf numFmtId="0" fontId="38" fillId="0" borderId="1" xfId="0" applyFont="1" applyBorder="1" applyAlignment="1">
      <alignment horizontal="center" vertical="top"/>
    </xf>
    <xf numFmtId="0" fontId="38" fillId="0" borderId="10" xfId="0" applyFont="1" applyBorder="1" applyAlignment="1">
      <alignment vertical="top"/>
    </xf>
    <xf numFmtId="0" fontId="38" fillId="0" borderId="1" xfId="0" applyFont="1" applyBorder="1" applyAlignment="1">
      <alignment vertical="top" wrapText="1"/>
    </xf>
    <xf numFmtId="0" fontId="38" fillId="0" borderId="6" xfId="0" applyFont="1" applyBorder="1" applyAlignment="1">
      <alignment horizontal="center" vertical="center"/>
    </xf>
    <xf numFmtId="0" fontId="38" fillId="0" borderId="7" xfId="0" applyFont="1" applyBorder="1"/>
    <xf numFmtId="15" fontId="38" fillId="0" borderId="0" xfId="0" applyNumberFormat="1" applyFont="1" applyAlignment="1">
      <alignment horizontal="left"/>
    </xf>
    <xf numFmtId="49" fontId="38" fillId="0" borderId="7" xfId="0" applyNumberFormat="1" applyFont="1" applyBorder="1" applyAlignment="1">
      <alignment vertical="center"/>
    </xf>
    <xf numFmtId="0" fontId="38" fillId="0" borderId="8" xfId="0" applyFont="1" applyBorder="1" applyAlignment="1">
      <alignment horizontal="center" vertical="center"/>
    </xf>
    <xf numFmtId="0" fontId="36" fillId="0" borderId="0" xfId="0" applyFont="1" applyAlignment="1">
      <alignment horizontal="left" vertical="center"/>
    </xf>
    <xf numFmtId="0" fontId="38" fillId="0" borderId="9" xfId="0" applyFont="1" applyBorder="1" applyAlignment="1">
      <alignment vertical="center"/>
    </xf>
    <xf numFmtId="2" fontId="39" fillId="0" borderId="1" xfId="0" applyNumberFormat="1" applyFont="1" applyBorder="1" applyAlignment="1">
      <alignment horizontal="right" vertical="center" wrapText="1"/>
    </xf>
    <xf numFmtId="2" fontId="37" fillId="0" borderId="1" xfId="0" applyNumberFormat="1" applyFont="1" applyBorder="1" applyAlignment="1">
      <alignment horizontal="right" vertical="center" wrapText="1"/>
    </xf>
    <xf numFmtId="2" fontId="37" fillId="0" borderId="11" xfId="0" applyNumberFormat="1" applyFont="1" applyBorder="1" applyAlignment="1">
      <alignment horizontal="right" vertical="center" wrapText="1"/>
    </xf>
    <xf numFmtId="2" fontId="37" fillId="0" borderId="1" xfId="0" applyNumberFormat="1" applyFont="1" applyBorder="1" applyAlignment="1">
      <alignment vertical="center" wrapText="1"/>
    </xf>
    <xf numFmtId="2" fontId="37" fillId="0" borderId="10" xfId="0" applyNumberFormat="1" applyFont="1" applyBorder="1" applyAlignment="1">
      <alignment vertical="center" wrapText="1"/>
    </xf>
    <xf numFmtId="0" fontId="38" fillId="0" borderId="5" xfId="0" applyFont="1" applyBorder="1" applyAlignment="1">
      <alignment vertical="center" wrapText="1"/>
    </xf>
    <xf numFmtId="49" fontId="36" fillId="0" borderId="0" xfId="0" applyNumberFormat="1" applyFont="1" applyAlignment="1">
      <alignment horizontal="left" vertical="center"/>
    </xf>
    <xf numFmtId="0" fontId="38" fillId="0" borderId="9" xfId="0" applyFont="1" applyBorder="1" applyAlignment="1">
      <alignment horizontal="right" vertical="center"/>
    </xf>
    <xf numFmtId="167" fontId="38" fillId="0" borderId="1" xfId="0" applyNumberFormat="1" applyFont="1" applyBorder="1" applyAlignment="1">
      <alignment vertical="center"/>
    </xf>
    <xf numFmtId="167" fontId="38" fillId="0" borderId="11" xfId="0" applyNumberFormat="1" applyFont="1" applyBorder="1" applyAlignment="1">
      <alignment horizontal="right" vertical="center"/>
    </xf>
    <xf numFmtId="167" fontId="38" fillId="0" borderId="1" xfId="0" applyNumberFormat="1" applyFont="1" applyBorder="1" applyAlignment="1">
      <alignment horizontal="right" vertical="center"/>
    </xf>
    <xf numFmtId="167" fontId="38" fillId="2" borderId="1" xfId="0" applyNumberFormat="1" applyFont="1" applyFill="1" applyBorder="1" applyAlignment="1">
      <alignment vertical="center"/>
    </xf>
    <xf numFmtId="0" fontId="37"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0" xfId="0" applyFont="1" applyAlignment="1">
      <alignment vertical="center"/>
    </xf>
    <xf numFmtId="0" fontId="38" fillId="0" borderId="1" xfId="10" applyFont="1" applyBorder="1" applyAlignment="1">
      <alignment vertical="center"/>
    </xf>
    <xf numFmtId="0" fontId="37" fillId="0" borderId="0" xfId="0" applyFont="1" applyAlignment="1">
      <alignment horizontal="center" vertical="center"/>
    </xf>
    <xf numFmtId="2" fontId="38" fillId="0" borderId="0" xfId="0" applyNumberFormat="1" applyFont="1" applyAlignment="1">
      <alignment vertical="center"/>
    </xf>
    <xf numFmtId="0" fontId="38" fillId="0" borderId="2" xfId="0" applyFont="1" applyBorder="1" applyAlignment="1">
      <alignment horizontal="justify" vertical="center" wrapText="1"/>
    </xf>
    <xf numFmtId="0" fontId="38" fillId="0" borderId="3" xfId="0" applyFont="1" applyBorder="1" applyAlignment="1">
      <alignment horizontal="justify" vertical="center" wrapText="1"/>
    </xf>
    <xf numFmtId="166" fontId="38" fillId="0" borderId="0" xfId="0" applyNumberFormat="1" applyFont="1" applyAlignment="1">
      <alignment vertical="center"/>
    </xf>
    <xf numFmtId="15" fontId="38" fillId="0" borderId="0" xfId="0" applyNumberFormat="1" applyFont="1" applyAlignment="1">
      <alignment horizontal="left" vertical="center"/>
    </xf>
    <xf numFmtId="0" fontId="37" fillId="0" borderId="1" xfId="0" applyFont="1" applyBorder="1" applyAlignment="1" applyProtection="1">
      <alignment vertical="center"/>
      <protection hidden="1"/>
    </xf>
    <xf numFmtId="0" fontId="0" fillId="0" borderId="1" xfId="0" applyBorder="1" applyAlignment="1">
      <alignment horizontal="center" vertical="center"/>
    </xf>
    <xf numFmtId="0" fontId="0" fillId="4" borderId="1" xfId="0" applyFill="1" applyBorder="1" applyAlignment="1">
      <alignment horizontal="center" vertical="center"/>
    </xf>
    <xf numFmtId="170" fontId="37" fillId="0" borderId="1" xfId="0" applyNumberFormat="1" applyFont="1" applyBorder="1" applyAlignment="1">
      <alignment horizontal="center" vertical="center"/>
    </xf>
    <xf numFmtId="175" fontId="38" fillId="3" borderId="1" xfId="0" applyNumberFormat="1" applyFont="1" applyFill="1" applyBorder="1" applyAlignment="1" applyProtection="1">
      <alignment horizontal="center" vertical="center" wrapText="1"/>
      <protection locked="0" hidden="1"/>
    </xf>
    <xf numFmtId="175" fontId="38" fillId="0" borderId="1" xfId="0" applyNumberFormat="1" applyFont="1" applyBorder="1" applyAlignment="1" applyProtection="1">
      <alignment horizontal="center" vertical="center"/>
      <protection hidden="1"/>
    </xf>
    <xf numFmtId="0" fontId="37" fillId="0" borderId="1" xfId="0" applyFont="1" applyBorder="1" applyAlignment="1" applyProtection="1">
      <alignment horizontal="justify" vertical="center" wrapText="1"/>
      <protection hidden="1"/>
    </xf>
    <xf numFmtId="0" fontId="37" fillId="0" borderId="1" xfId="0" applyFont="1" applyBorder="1" applyAlignment="1" applyProtection="1">
      <alignment horizontal="justify" vertical="center"/>
      <protection hidden="1"/>
    </xf>
    <xf numFmtId="0" fontId="38" fillId="0" borderId="2" xfId="0" applyFont="1" applyBorder="1" applyAlignment="1" applyProtection="1">
      <alignment horizontal="center" vertical="center"/>
      <protection hidden="1"/>
    </xf>
    <xf numFmtId="0" fontId="38" fillId="0" borderId="17" xfId="0" applyFont="1" applyBorder="1" applyAlignment="1" applyProtection="1">
      <alignment horizontal="center" vertical="center"/>
      <protection hidden="1"/>
    </xf>
    <xf numFmtId="0" fontId="38" fillId="0" borderId="3" xfId="0" applyFont="1" applyBorder="1" applyAlignment="1" applyProtection="1">
      <alignment horizontal="center" vertical="center"/>
      <protection hidden="1"/>
    </xf>
    <xf numFmtId="1" fontId="38" fillId="0" borderId="2" xfId="0" applyNumberFormat="1" applyFont="1" applyBorder="1" applyAlignment="1" applyProtection="1">
      <alignment horizontal="center" vertical="center"/>
      <protection hidden="1"/>
    </xf>
    <xf numFmtId="1" fontId="38" fillId="0" borderId="17" xfId="0" applyNumberFormat="1" applyFont="1" applyBorder="1" applyAlignment="1" applyProtection="1">
      <alignment horizontal="center" vertical="center"/>
      <protection hidden="1"/>
    </xf>
    <xf numFmtId="1" fontId="38" fillId="0" borderId="3" xfId="0" applyNumberFormat="1" applyFont="1" applyBorder="1" applyAlignment="1" applyProtection="1">
      <alignment horizontal="center" vertical="center"/>
      <protection hidden="1"/>
    </xf>
    <xf numFmtId="0" fontId="44" fillId="0" borderId="35" xfId="7" applyFont="1" applyBorder="1" applyAlignment="1" applyProtection="1">
      <alignment horizontal="center" vertical="center"/>
      <protection hidden="1"/>
    </xf>
    <xf numFmtId="0" fontId="44" fillId="0" borderId="0" xfId="7" applyFont="1" applyAlignment="1" applyProtection="1">
      <alignment horizontal="left" vertical="top" wrapText="1"/>
      <protection hidden="1"/>
    </xf>
    <xf numFmtId="0" fontId="44" fillId="0" borderId="0" xfId="7" applyFont="1" applyAlignment="1" applyProtection="1">
      <alignment horizontal="left" vertical="top"/>
      <protection hidden="1"/>
    </xf>
    <xf numFmtId="0" fontId="37" fillId="0" borderId="0" xfId="7" applyFont="1" applyAlignment="1" applyProtection="1">
      <alignment horizontal="center" vertical="top"/>
      <protection hidden="1"/>
    </xf>
    <xf numFmtId="0" fontId="37" fillId="0" borderId="34" xfId="7" applyFont="1" applyBorder="1" applyAlignment="1" applyProtection="1">
      <alignment horizontal="center" vertical="top"/>
      <protection hidden="1"/>
    </xf>
    <xf numFmtId="0" fontId="45" fillId="5" borderId="0" xfId="7" applyFont="1" applyFill="1" applyAlignment="1" applyProtection="1">
      <alignment horizontal="center" vertical="center" wrapText="1"/>
      <protection hidden="1"/>
    </xf>
    <xf numFmtId="0" fontId="44" fillId="0" borderId="9" xfId="12" applyFont="1" applyBorder="1" applyAlignment="1" applyProtection="1">
      <alignment horizontal="left" vertical="center" wrapText="1"/>
      <protection hidden="1"/>
    </xf>
    <xf numFmtId="0" fontId="37" fillId="0" borderId="17" xfId="12" applyFont="1" applyBorder="1" applyAlignment="1" applyProtection="1">
      <alignment horizontal="center" vertical="center" wrapText="1"/>
      <protection hidden="1"/>
    </xf>
    <xf numFmtId="0" fontId="45" fillId="5" borderId="0" xfId="12" applyFont="1" applyFill="1" applyAlignment="1" applyProtection="1">
      <alignment horizontal="center" vertical="center"/>
      <protection hidden="1"/>
    </xf>
    <xf numFmtId="0" fontId="38" fillId="4" borderId="0" xfId="10" applyFont="1" applyFill="1"/>
    <xf numFmtId="173" fontId="38" fillId="4" borderId="11" xfId="13" applyNumberFormat="1" applyFont="1" applyFill="1" applyBorder="1" applyAlignment="1">
      <alignment horizontal="center" vertical="center"/>
    </xf>
    <xf numFmtId="173" fontId="38" fillId="4" borderId="10" xfId="13" applyNumberFormat="1" applyFont="1" applyFill="1" applyBorder="1" applyAlignment="1">
      <alignment horizontal="center" vertical="center"/>
    </xf>
    <xf numFmtId="173" fontId="38" fillId="0" borderId="11" xfId="13" applyNumberFormat="1" applyFont="1" applyBorder="1" applyAlignment="1">
      <alignment horizontal="center" vertical="center"/>
    </xf>
    <xf numFmtId="173" fontId="38" fillId="0" borderId="10" xfId="13" applyNumberFormat="1" applyFont="1" applyBorder="1" applyAlignment="1">
      <alignment horizontal="center" vertical="center"/>
    </xf>
    <xf numFmtId="173" fontId="36" fillId="0" borderId="11" xfId="13" applyNumberFormat="1" applyFont="1" applyBorder="1" applyAlignment="1">
      <alignment horizontal="center" vertical="center"/>
    </xf>
    <xf numFmtId="173" fontId="36" fillId="0" borderId="10" xfId="13" applyNumberFormat="1" applyFont="1" applyBorder="1" applyAlignment="1">
      <alignment horizontal="center" vertical="center"/>
    </xf>
    <xf numFmtId="173" fontId="38" fillId="0" borderId="12" xfId="13" applyNumberFormat="1" applyFont="1" applyBorder="1" applyAlignment="1">
      <alignment horizontal="center" vertical="center"/>
    </xf>
    <xf numFmtId="173" fontId="38" fillId="0" borderId="11" xfId="13" applyNumberFormat="1" applyFont="1" applyBorder="1" applyAlignment="1">
      <alignment horizontal="center" vertical="center" wrapText="1"/>
    </xf>
    <xf numFmtId="173" fontId="38" fillId="0" borderId="10" xfId="13" applyNumberFormat="1" applyFont="1" applyBorder="1" applyAlignment="1">
      <alignment horizontal="center" vertical="center" wrapText="1"/>
    </xf>
    <xf numFmtId="173" fontId="38" fillId="4" borderId="12" xfId="13" applyNumberFormat="1" applyFont="1" applyFill="1" applyBorder="1" applyAlignment="1">
      <alignment horizontal="center" vertical="center"/>
    </xf>
    <xf numFmtId="173" fontId="36" fillId="0" borderId="12" xfId="13" applyNumberFormat="1" applyFont="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11" xfId="0" applyFont="1" applyBorder="1" applyAlignment="1" applyProtection="1">
      <alignment horizontal="center" vertical="center" wrapText="1"/>
      <protection hidden="1"/>
    </xf>
    <xf numFmtId="0" fontId="37" fillId="0" borderId="10" xfId="0" applyFont="1" applyBorder="1" applyAlignment="1" applyProtection="1">
      <alignment horizontal="center" vertical="center" wrapText="1"/>
      <protection hidden="1"/>
    </xf>
    <xf numFmtId="0" fontId="39" fillId="0" borderId="11" xfId="0" applyFont="1" applyBorder="1" applyAlignment="1" applyProtection="1">
      <alignment horizontal="center" vertical="center" wrapText="1"/>
      <protection hidden="1"/>
    </xf>
    <xf numFmtId="0" fontId="39" fillId="0" borderId="10" xfId="0" applyFont="1" applyBorder="1" applyAlignment="1" applyProtection="1">
      <alignment horizontal="center" vertical="center" wrapText="1"/>
      <protection hidden="1"/>
    </xf>
    <xf numFmtId="0" fontId="37" fillId="0" borderId="2" xfId="0" applyFont="1" applyBorder="1" applyAlignment="1" applyProtection="1">
      <alignment horizontal="center" vertical="center" wrapText="1"/>
      <protection hidden="1"/>
    </xf>
    <xf numFmtId="0" fontId="37" fillId="0" borderId="3" xfId="0" applyFont="1" applyBorder="1" applyAlignment="1" applyProtection="1">
      <alignment horizontal="center" vertical="center" wrapText="1"/>
      <protection hidden="1"/>
    </xf>
    <xf numFmtId="0" fontId="39" fillId="0" borderId="4" xfId="0" applyFont="1" applyBorder="1" applyAlignment="1" applyProtection="1">
      <alignment horizontal="center" vertical="center" wrapText="1"/>
      <protection hidden="1"/>
    </xf>
    <xf numFmtId="0" fontId="39" fillId="0" borderId="21" xfId="0" applyFont="1" applyBorder="1" applyAlignment="1" applyProtection="1">
      <alignment horizontal="center" vertical="center" wrapText="1"/>
      <protection hidden="1"/>
    </xf>
    <xf numFmtId="0" fontId="39" fillId="0" borderId="8" xfId="0" applyFont="1" applyBorder="1" applyAlignment="1" applyProtection="1">
      <alignment horizontal="center" vertical="center" wrapText="1"/>
      <protection hidden="1"/>
    </xf>
    <xf numFmtId="0" fontId="39" fillId="0" borderId="24" xfId="0" applyFont="1" applyBorder="1" applyAlignment="1" applyProtection="1">
      <alignment horizontal="center" vertical="center" wrapText="1"/>
      <protection hidden="1"/>
    </xf>
    <xf numFmtId="0" fontId="37" fillId="0" borderId="4"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8" xfId="0" applyFont="1" applyBorder="1" applyAlignment="1" applyProtection="1">
      <alignment horizontal="center" vertical="center" wrapText="1"/>
      <protection hidden="1"/>
    </xf>
    <xf numFmtId="0" fontId="37" fillId="0" borderId="24" xfId="0" applyFont="1" applyBorder="1" applyAlignment="1" applyProtection="1">
      <alignment horizontal="center" vertical="center" wrapText="1"/>
      <protection hidden="1"/>
    </xf>
    <xf numFmtId="49" fontId="35"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2" fontId="37" fillId="0" borderId="1" xfId="0" applyNumberFormat="1" applyFont="1" applyBorder="1" applyAlignment="1">
      <alignment horizontal="center" vertical="center" wrapText="1"/>
    </xf>
    <xf numFmtId="0" fontId="38" fillId="0" borderId="1" xfId="0" applyFont="1" applyBorder="1" applyAlignment="1" applyProtection="1">
      <alignment horizontal="center" vertical="center" wrapText="1"/>
      <protection hidden="1"/>
    </xf>
    <xf numFmtId="0" fontId="38" fillId="0" borderId="1" xfId="0" applyFont="1" applyBorder="1" applyAlignment="1" applyProtection="1">
      <alignment horizontal="left" vertical="center" wrapText="1"/>
      <protection hidden="1"/>
    </xf>
    <xf numFmtId="0" fontId="37" fillId="0" borderId="17" xfId="0" applyFont="1" applyBorder="1" applyAlignment="1" applyProtection="1">
      <alignment horizontal="center" vertical="center" wrapText="1"/>
      <protection hidden="1"/>
    </xf>
    <xf numFmtId="0" fontId="38" fillId="3" borderId="2" xfId="0" applyFont="1" applyFill="1" applyBorder="1" applyAlignment="1" applyProtection="1">
      <alignment horizontal="center" vertical="center"/>
      <protection locked="0" hidden="1"/>
    </xf>
    <xf numFmtId="0" fontId="38" fillId="3" borderId="17" xfId="0" applyFont="1" applyFill="1" applyBorder="1" applyAlignment="1" applyProtection="1">
      <alignment horizontal="center" vertical="center"/>
      <protection locked="0" hidden="1"/>
    </xf>
    <xf numFmtId="0" fontId="38" fillId="3" borderId="3" xfId="0" applyFont="1" applyFill="1" applyBorder="1" applyAlignment="1" applyProtection="1">
      <alignment horizontal="center" vertical="center"/>
      <protection locked="0" hidden="1"/>
    </xf>
    <xf numFmtId="0" fontId="38" fillId="0" borderId="1" xfId="0" applyFont="1" applyBorder="1" applyAlignment="1" applyProtection="1">
      <alignment horizontal="left" vertical="center"/>
      <protection hidden="1"/>
    </xf>
    <xf numFmtId="0" fontId="38" fillId="3" borderId="8" xfId="0" applyFont="1" applyFill="1" applyBorder="1" applyAlignment="1" applyProtection="1">
      <alignment horizontal="center" vertical="center"/>
      <protection locked="0" hidden="1"/>
    </xf>
    <xf numFmtId="0" fontId="38" fillId="3" borderId="9" xfId="0" applyFont="1" applyFill="1" applyBorder="1" applyAlignment="1" applyProtection="1">
      <alignment horizontal="center" vertical="center"/>
      <protection locked="0" hidden="1"/>
    </xf>
    <xf numFmtId="0" fontId="38" fillId="3" borderId="24" xfId="0" applyFont="1" applyFill="1" applyBorder="1" applyAlignment="1" applyProtection="1">
      <alignment horizontal="center" vertical="center"/>
      <protection locked="0" hidden="1"/>
    </xf>
    <xf numFmtId="0" fontId="38" fillId="0" borderId="10" xfId="0" applyFont="1" applyBorder="1" applyAlignment="1" applyProtection="1">
      <alignment horizontal="left" vertical="center"/>
      <protection hidden="1"/>
    </xf>
    <xf numFmtId="0" fontId="38" fillId="0" borderId="1" xfId="0" applyFont="1" applyBorder="1" applyAlignment="1">
      <alignment horizontal="left" vertical="center"/>
    </xf>
    <xf numFmtId="9" fontId="38" fillId="4" borderId="1" xfId="11" applyFont="1" applyFill="1" applyBorder="1" applyAlignment="1">
      <alignment horizontal="center" vertical="center" wrapText="1"/>
    </xf>
    <xf numFmtId="0" fontId="36" fillId="0" borderId="1" xfId="0" applyFont="1" applyBorder="1" applyAlignment="1" applyProtection="1">
      <alignment horizontal="center" vertical="center" wrapText="1"/>
      <protection hidden="1"/>
    </xf>
    <xf numFmtId="0" fontId="38" fillId="0" borderId="1" xfId="0" applyFont="1" applyBorder="1" applyAlignment="1" applyProtection="1">
      <alignment vertical="center"/>
      <protection hidden="1"/>
    </xf>
    <xf numFmtId="0" fontId="38" fillId="0" borderId="1" xfId="0" applyFont="1" applyBorder="1" applyAlignment="1" applyProtection="1">
      <alignment vertical="center" wrapText="1"/>
      <protection hidden="1"/>
    </xf>
    <xf numFmtId="0" fontId="37" fillId="0" borderId="1" xfId="0" applyFont="1" applyBorder="1" applyAlignment="1" applyProtection="1">
      <alignment horizontal="center" vertical="center" wrapText="1"/>
      <protection hidden="1"/>
    </xf>
    <xf numFmtId="0" fontId="38" fillId="0" borderId="2" xfId="0" applyFont="1" applyBorder="1" applyAlignment="1" applyProtection="1">
      <alignment horizontal="left" vertical="center"/>
      <protection hidden="1"/>
    </xf>
    <xf numFmtId="0" fontId="38" fillId="0" borderId="17" xfId="0" applyFont="1" applyBorder="1" applyAlignment="1" applyProtection="1">
      <alignment horizontal="left" vertical="center"/>
      <protection hidden="1"/>
    </xf>
    <xf numFmtId="0" fontId="38" fillId="0" borderId="3" xfId="0" applyFont="1" applyBorder="1" applyAlignment="1" applyProtection="1">
      <alignment horizontal="left" vertical="center"/>
      <protection hidden="1"/>
    </xf>
    <xf numFmtId="0" fontId="39" fillId="0" borderId="5" xfId="0" applyFont="1" applyBorder="1" applyAlignment="1" applyProtection="1">
      <alignment horizontal="center" vertical="center" wrapText="1"/>
      <protection hidden="1"/>
    </xf>
    <xf numFmtId="0" fontId="39" fillId="0" borderId="9" xfId="0" applyFont="1" applyBorder="1" applyAlignment="1" applyProtection="1">
      <alignment horizontal="center" vertical="center" wrapText="1"/>
      <protection hidden="1"/>
    </xf>
    <xf numFmtId="0" fontId="36" fillId="0" borderId="1" xfId="0" applyFont="1" applyBorder="1" applyAlignment="1" applyProtection="1">
      <alignment horizontal="center" vertical="center"/>
      <protection hidden="1"/>
    </xf>
    <xf numFmtId="0" fontId="37" fillId="0" borderId="1" xfId="0" applyFont="1" applyBorder="1" applyAlignment="1">
      <alignment horizontal="left" vertical="center" wrapText="1"/>
    </xf>
    <xf numFmtId="0" fontId="39" fillId="0" borderId="1" xfId="0" applyFont="1" applyBorder="1" applyAlignment="1" applyProtection="1">
      <alignment horizontal="center" vertical="center" wrapText="1"/>
      <protection hidden="1"/>
    </xf>
    <xf numFmtId="2" fontId="1" fillId="0" borderId="1" xfId="0" applyNumberFormat="1" applyFont="1" applyBorder="1" applyAlignment="1">
      <alignment horizontal="center" vertical="center" wrapText="1"/>
    </xf>
    <xf numFmtId="0" fontId="22" fillId="0" borderId="2" xfId="8" applyFont="1" applyBorder="1" applyAlignment="1">
      <alignment horizontal="center" vertical="top" wrapText="1"/>
    </xf>
    <xf numFmtId="0" fontId="22" fillId="0" borderId="17" xfId="8" applyFont="1" applyBorder="1" applyAlignment="1">
      <alignment horizontal="center" vertical="top" wrapText="1"/>
    </xf>
    <xf numFmtId="0" fontId="22" fillId="0" borderId="3" xfId="8" applyFont="1" applyBorder="1" applyAlignment="1">
      <alignment horizontal="center" vertical="top" wrapText="1"/>
    </xf>
    <xf numFmtId="49" fontId="32" fillId="0" borderId="1" xfId="8" applyNumberFormat="1" applyFont="1" applyBorder="1" applyAlignment="1">
      <alignment horizontal="center" vertical="top" wrapText="1"/>
    </xf>
    <xf numFmtId="2" fontId="27" fillId="0" borderId="1" xfId="8" applyNumberFormat="1" applyFont="1" applyBorder="1" applyAlignment="1">
      <alignment horizontal="center" vertical="center" wrapText="1"/>
    </xf>
    <xf numFmtId="2" fontId="20" fillId="0" borderId="2" xfId="8" applyNumberFormat="1" applyFont="1" applyBorder="1" applyAlignment="1">
      <alignment horizontal="left" vertical="top"/>
    </xf>
    <xf numFmtId="2" fontId="20" fillId="0" borderId="3" xfId="8" applyNumberFormat="1" applyFont="1" applyBorder="1" applyAlignment="1">
      <alignment horizontal="left" vertical="top"/>
    </xf>
    <xf numFmtId="165" fontId="22" fillId="0" borderId="2" xfId="8" applyNumberFormat="1" applyFont="1" applyBorder="1" applyAlignment="1">
      <alignment horizontal="center" vertical="top" wrapText="1"/>
    </xf>
    <xf numFmtId="165" fontId="22" fillId="0" borderId="3" xfId="8" applyNumberFormat="1" applyFont="1" applyBorder="1" applyAlignment="1">
      <alignment horizontal="center" vertical="top" wrapText="1"/>
    </xf>
    <xf numFmtId="2" fontId="20" fillId="0" borderId="2" xfId="8" applyNumberFormat="1" applyFont="1" applyBorder="1" applyAlignment="1">
      <alignment horizontal="center" vertical="top" wrapText="1"/>
    </xf>
    <xf numFmtId="2" fontId="20" fillId="0" borderId="3" xfId="8" applyNumberFormat="1" applyFont="1" applyBorder="1" applyAlignment="1">
      <alignment horizontal="center" vertical="top" wrapText="1"/>
    </xf>
    <xf numFmtId="0" fontId="20" fillId="0" borderId="2" xfId="8" quotePrefix="1" applyFont="1" applyBorder="1" applyAlignment="1">
      <alignment horizontal="center" vertical="center" wrapText="1"/>
    </xf>
    <xf numFmtId="0" fontId="20" fillId="0" borderId="3" xfId="8" quotePrefix="1" applyFont="1" applyBorder="1" applyAlignment="1">
      <alignment horizontal="center" vertical="center" wrapText="1"/>
    </xf>
    <xf numFmtId="0" fontId="20" fillId="0" borderId="2" xfId="8" quotePrefix="1" applyFont="1" applyBorder="1" applyAlignment="1">
      <alignment horizontal="center" vertical="top" wrapText="1"/>
    </xf>
    <xf numFmtId="0" fontId="20" fillId="0" borderId="3" xfId="8" quotePrefix="1" applyFont="1" applyBorder="1" applyAlignment="1">
      <alignment horizontal="center" vertical="top" wrapText="1"/>
    </xf>
    <xf numFmtId="0" fontId="20" fillId="0" borderId="2" xfId="8" applyFont="1" applyBorder="1" applyAlignment="1">
      <alignment horizontal="left" vertical="top" wrapText="1"/>
    </xf>
    <xf numFmtId="0" fontId="20" fillId="0" borderId="17" xfId="8" applyFont="1" applyBorder="1" applyAlignment="1">
      <alignment horizontal="left" vertical="top" wrapText="1"/>
    </xf>
    <xf numFmtId="0" fontId="20" fillId="0" borderId="3" xfId="8" applyFont="1" applyBorder="1" applyAlignment="1">
      <alignment horizontal="left" vertical="top" wrapText="1"/>
    </xf>
    <xf numFmtId="0" fontId="22" fillId="2" borderId="2" xfId="8" applyFont="1" applyFill="1" applyBorder="1" applyAlignment="1">
      <alignment horizontal="center" vertical="top" wrapText="1"/>
    </xf>
    <xf numFmtId="0" fontId="22" fillId="2" borderId="17" xfId="8" applyFont="1" applyFill="1" applyBorder="1" applyAlignment="1">
      <alignment horizontal="center" vertical="top" wrapText="1"/>
    </xf>
    <xf numFmtId="0" fontId="22" fillId="2" borderId="3" xfId="8" applyFont="1" applyFill="1" applyBorder="1" applyAlignment="1">
      <alignment horizontal="center" vertical="top" wrapText="1"/>
    </xf>
    <xf numFmtId="0" fontId="39" fillId="0" borderId="2" xfId="0" applyFont="1" applyBorder="1" applyAlignment="1" applyProtection="1">
      <alignment horizontal="right" vertical="center"/>
      <protection hidden="1"/>
    </xf>
    <xf numFmtId="0" fontId="39" fillId="0" borderId="17" xfId="0" applyFont="1" applyBorder="1" applyAlignment="1" applyProtection="1">
      <alignment horizontal="right" vertical="center"/>
      <protection hidden="1"/>
    </xf>
    <xf numFmtId="0" fontId="39" fillId="0" borderId="2" xfId="0" applyFont="1" applyBorder="1" applyAlignment="1" applyProtection="1">
      <alignment horizontal="right" vertical="center" wrapText="1"/>
      <protection hidden="1"/>
    </xf>
    <xf numFmtId="0" fontId="39" fillId="0" borderId="17" xfId="0" applyFont="1" applyBorder="1" applyAlignment="1" applyProtection="1">
      <alignment horizontal="right" vertical="center" wrapText="1"/>
      <protection hidden="1"/>
    </xf>
    <xf numFmtId="0" fontId="37" fillId="0" borderId="1" xfId="5" applyFont="1" applyBorder="1" applyAlignment="1">
      <alignment horizontal="center" vertical="center" wrapText="1"/>
    </xf>
    <xf numFmtId="0" fontId="37" fillId="0" borderId="1" xfId="5" applyFont="1" applyBorder="1" applyAlignment="1">
      <alignment horizontal="center" vertical="center" wrapText="1" shrinkToFit="1"/>
    </xf>
    <xf numFmtId="0" fontId="37" fillId="0" borderId="25" xfId="5" applyFont="1" applyBorder="1" applyAlignment="1">
      <alignment horizontal="center" vertical="center"/>
    </xf>
    <xf numFmtId="0" fontId="37" fillId="0" borderId="26" xfId="5" applyFont="1" applyBorder="1" applyAlignment="1">
      <alignment horizontal="center" vertical="center"/>
    </xf>
    <xf numFmtId="0" fontId="37" fillId="0" borderId="27" xfId="5" applyFont="1" applyBorder="1" applyAlignment="1">
      <alignment horizontal="center" vertical="center"/>
    </xf>
    <xf numFmtId="0" fontId="37" fillId="0" borderId="28" xfId="5" applyFont="1" applyBorder="1" applyAlignment="1">
      <alignment horizontal="center" vertical="center" wrapText="1"/>
    </xf>
    <xf numFmtId="0" fontId="37" fillId="0" borderId="0" xfId="5" applyFont="1" applyAlignment="1">
      <alignment horizontal="center" vertical="center" wrapText="1"/>
    </xf>
    <xf numFmtId="0" fontId="37" fillId="0" borderId="27" xfId="5" applyFont="1" applyBorder="1" applyAlignment="1">
      <alignment horizontal="center" vertical="center" wrapText="1"/>
    </xf>
    <xf numFmtId="0" fontId="37" fillId="0" borderId="1" xfId="5" applyFont="1" applyBorder="1" applyAlignment="1" applyProtection="1">
      <alignment horizontal="center" vertical="center" wrapText="1"/>
      <protection hidden="1"/>
    </xf>
    <xf numFmtId="1" fontId="37" fillId="0" borderId="1" xfId="5" applyNumberFormat="1" applyFont="1" applyBorder="1" applyAlignment="1">
      <alignment horizontal="center" vertical="center" wrapText="1"/>
    </xf>
    <xf numFmtId="1" fontId="37" fillId="0" borderId="2" xfId="5" applyNumberFormat="1" applyFont="1" applyBorder="1" applyAlignment="1">
      <alignment horizontal="center" vertical="center" wrapText="1"/>
    </xf>
    <xf numFmtId="0" fontId="37" fillId="0" borderId="22" xfId="5" applyFont="1" applyBorder="1" applyAlignment="1">
      <alignment horizontal="center" vertical="center" wrapText="1"/>
    </xf>
    <xf numFmtId="0" fontId="37" fillId="0" borderId="11" xfId="5" applyFont="1" applyBorder="1" applyAlignment="1" applyProtection="1">
      <alignment horizontal="center" vertical="center" wrapText="1"/>
      <protection hidden="1"/>
    </xf>
    <xf numFmtId="0" fontId="37" fillId="0" borderId="10" xfId="5" applyFont="1" applyBorder="1" applyAlignment="1" applyProtection="1">
      <alignment horizontal="center" vertical="center" wrapText="1"/>
      <protection hidden="1"/>
    </xf>
    <xf numFmtId="0" fontId="37" fillId="0" borderId="11" xfId="5" applyFont="1" applyBorder="1" applyAlignment="1">
      <alignment horizontal="center" vertical="center" wrapText="1"/>
    </xf>
    <xf numFmtId="0" fontId="37" fillId="0" borderId="10" xfId="5" applyFont="1" applyBorder="1" applyAlignment="1">
      <alignment horizontal="center" vertical="center" wrapText="1"/>
    </xf>
    <xf numFmtId="0" fontId="37" fillId="0" borderId="4" xfId="5" applyFont="1" applyBorder="1" applyAlignment="1">
      <alignment horizontal="center" vertical="center" wrapText="1"/>
    </xf>
    <xf numFmtId="0" fontId="37" fillId="0" borderId="21" xfId="5" applyFont="1" applyBorder="1" applyAlignment="1">
      <alignment horizontal="center" vertical="center" wrapText="1"/>
    </xf>
    <xf numFmtId="0" fontId="37" fillId="0" borderId="8" xfId="5" applyFont="1" applyBorder="1" applyAlignment="1">
      <alignment horizontal="center" vertical="center" wrapText="1"/>
    </xf>
    <xf numFmtId="0" fontId="37" fillId="0" borderId="24" xfId="5" applyFont="1" applyBorder="1" applyAlignment="1">
      <alignment horizontal="center" vertical="center" wrapText="1"/>
    </xf>
    <xf numFmtId="0" fontId="39" fillId="0" borderId="1" xfId="0" applyFont="1" applyBorder="1" applyAlignment="1">
      <alignment horizontal="justify" vertical="center" wrapText="1"/>
    </xf>
    <xf numFmtId="0" fontId="36" fillId="0" borderId="1" xfId="0" applyFont="1" applyBorder="1" applyAlignment="1">
      <alignment horizontal="justify" vertical="center" wrapText="1"/>
    </xf>
    <xf numFmtId="0" fontId="36" fillId="0" borderId="2" xfId="0" applyFont="1" applyBorder="1" applyAlignment="1">
      <alignment horizontal="justify" vertical="center" wrapText="1"/>
    </xf>
    <xf numFmtId="0" fontId="36" fillId="0" borderId="3" xfId="0" applyFont="1" applyBorder="1" applyAlignment="1">
      <alignment horizontal="justify" vertical="center" wrapText="1"/>
    </xf>
    <xf numFmtId="0" fontId="38" fillId="0" borderId="3" xfId="0" applyFont="1" applyBorder="1" applyAlignment="1">
      <alignment vertical="center"/>
    </xf>
    <xf numFmtId="0" fontId="38" fillId="0" borderId="1" xfId="0" applyFont="1" applyBorder="1" applyAlignment="1">
      <alignment vertical="center"/>
    </xf>
    <xf numFmtId="0" fontId="39" fillId="0" borderId="2"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1" xfId="0" applyFont="1" applyBorder="1" applyAlignment="1">
      <alignment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8" fillId="0" borderId="1" xfId="0" applyFont="1" applyBorder="1" applyAlignment="1">
      <alignment horizontal="justify" vertical="center" wrapText="1"/>
    </xf>
    <xf numFmtId="0" fontId="37" fillId="0" borderId="1" xfId="0" applyFont="1" applyBorder="1" applyAlignment="1">
      <alignment horizontal="justify" vertical="center" wrapText="1"/>
    </xf>
    <xf numFmtId="174" fontId="38" fillId="3" borderId="1" xfId="13" applyNumberFormat="1" applyFont="1" applyFill="1" applyBorder="1" applyAlignment="1" applyProtection="1">
      <alignment horizontal="center" vertical="center"/>
      <protection locked="0"/>
    </xf>
    <xf numFmtId="174" fontId="38" fillId="3" borderId="1" xfId="0" applyNumberFormat="1" applyFont="1" applyFill="1" applyBorder="1" applyAlignment="1" applyProtection="1">
      <alignment horizontal="center" vertical="center"/>
      <protection locked="0"/>
    </xf>
    <xf numFmtId="174" fontId="38" fillId="3" borderId="2" xfId="13" applyNumberFormat="1" applyFont="1" applyFill="1" applyBorder="1" applyAlignment="1" applyProtection="1">
      <alignment horizontal="center" vertical="center"/>
      <protection locked="0"/>
    </xf>
    <xf numFmtId="1" fontId="38" fillId="3" borderId="1" xfId="0" applyNumberFormat="1" applyFont="1" applyFill="1" applyBorder="1" applyAlignment="1" applyProtection="1">
      <alignment horizontal="center" vertical="center"/>
      <protection locked="0"/>
    </xf>
  </cellXfs>
  <cellStyles count="14">
    <cellStyle name="Comma 2" xfId="1" xr:uid="{00000000-0005-0000-0000-000000000000}"/>
    <cellStyle name="Currency 2" xfId="2" xr:uid="{00000000-0005-0000-0000-000001000000}"/>
    <cellStyle name="Excel Built-in Normal" xfId="3" xr:uid="{00000000-0005-0000-0000-000002000000}"/>
    <cellStyle name="Excel Built-in Normal 1"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5" xfId="8" xr:uid="{00000000-0005-0000-0000-000008000000}"/>
    <cellStyle name="Normal 5 2" xfId="9" xr:uid="{00000000-0005-0000-0000-000009000000}"/>
    <cellStyle name="Normal 7" xfId="13" xr:uid="{FA852E0A-B32A-4327-B84B-5345EE9B4AA8}"/>
    <cellStyle name="Normal_Attacments TW 04" xfId="12" xr:uid="{EB9D7E80-85DF-46B1-B5D6-C0D5EFEF7CB8}"/>
    <cellStyle name="Normal_Entertainment Form" xfId="10" xr:uid="{00000000-0005-0000-0000-00000A000000}"/>
    <cellStyle name="Percent" xfId="11"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AAFF-3BA0-4BF5-A807-E41D4101C1F6}">
  <dimension ref="A1:H4"/>
  <sheetViews>
    <sheetView workbookViewId="0">
      <selection activeCell="G6" sqref="G6"/>
    </sheetView>
  </sheetViews>
  <sheetFormatPr defaultRowHeight="45.75" customHeight="1"/>
  <cols>
    <col min="1" max="1" width="27.5703125" style="310" customWidth="1"/>
    <col min="2" max="2" width="14.85546875" style="310" customWidth="1"/>
    <col min="3" max="3" width="13.140625" style="310" customWidth="1"/>
    <col min="4" max="256" width="9.140625" style="310"/>
    <col min="257" max="257" width="27.5703125" style="310" customWidth="1"/>
    <col min="258" max="258" width="14.85546875" style="310" customWidth="1"/>
    <col min="259" max="259" width="13.140625" style="310" customWidth="1"/>
    <col min="260" max="512" width="9.140625" style="310"/>
    <col min="513" max="513" width="27.5703125" style="310" customWidth="1"/>
    <col min="514" max="514" width="14.85546875" style="310" customWidth="1"/>
    <col min="515" max="515" width="13.140625" style="310" customWidth="1"/>
    <col min="516" max="768" width="9.140625" style="310"/>
    <col min="769" max="769" width="27.5703125" style="310" customWidth="1"/>
    <col min="770" max="770" width="14.85546875" style="310" customWidth="1"/>
    <col min="771" max="771" width="13.140625" style="310" customWidth="1"/>
    <col min="772" max="1024" width="9.140625" style="310"/>
    <col min="1025" max="1025" width="27.5703125" style="310" customWidth="1"/>
    <col min="1026" max="1026" width="14.85546875" style="310" customWidth="1"/>
    <col min="1027" max="1027" width="13.140625" style="310" customWidth="1"/>
    <col min="1028" max="1280" width="9.140625" style="310"/>
    <col min="1281" max="1281" width="27.5703125" style="310" customWidth="1"/>
    <col min="1282" max="1282" width="14.85546875" style="310" customWidth="1"/>
    <col min="1283" max="1283" width="13.140625" style="310" customWidth="1"/>
    <col min="1284" max="1536" width="9.140625" style="310"/>
    <col min="1537" max="1537" width="27.5703125" style="310" customWidth="1"/>
    <col min="1538" max="1538" width="14.85546875" style="310" customWidth="1"/>
    <col min="1539" max="1539" width="13.140625" style="310" customWidth="1"/>
    <col min="1540" max="1792" width="9.140625" style="310"/>
    <col min="1793" max="1793" width="27.5703125" style="310" customWidth="1"/>
    <col min="1794" max="1794" width="14.85546875" style="310" customWidth="1"/>
    <col min="1795" max="1795" width="13.140625" style="310" customWidth="1"/>
    <col min="1796" max="2048" width="9.140625" style="310"/>
    <col min="2049" max="2049" width="27.5703125" style="310" customWidth="1"/>
    <col min="2050" max="2050" width="14.85546875" style="310" customWidth="1"/>
    <col min="2051" max="2051" width="13.140625" style="310" customWidth="1"/>
    <col min="2052" max="2304" width="9.140625" style="310"/>
    <col min="2305" max="2305" width="27.5703125" style="310" customWidth="1"/>
    <col min="2306" max="2306" width="14.85546875" style="310" customWidth="1"/>
    <col min="2307" max="2307" width="13.140625" style="310" customWidth="1"/>
    <col min="2308" max="2560" width="9.140625" style="310"/>
    <col min="2561" max="2561" width="27.5703125" style="310" customWidth="1"/>
    <col min="2562" max="2562" width="14.85546875" style="310" customWidth="1"/>
    <col min="2563" max="2563" width="13.140625" style="310" customWidth="1"/>
    <col min="2564" max="2816" width="9.140625" style="310"/>
    <col min="2817" max="2817" width="27.5703125" style="310" customWidth="1"/>
    <col min="2818" max="2818" width="14.85546875" style="310" customWidth="1"/>
    <col min="2819" max="2819" width="13.140625" style="310" customWidth="1"/>
    <col min="2820" max="3072" width="9.140625" style="310"/>
    <col min="3073" max="3073" width="27.5703125" style="310" customWidth="1"/>
    <col min="3074" max="3074" width="14.85546875" style="310" customWidth="1"/>
    <col min="3075" max="3075" width="13.140625" style="310" customWidth="1"/>
    <col min="3076" max="3328" width="9.140625" style="310"/>
    <col min="3329" max="3329" width="27.5703125" style="310" customWidth="1"/>
    <col min="3330" max="3330" width="14.85546875" style="310" customWidth="1"/>
    <col min="3331" max="3331" width="13.140625" style="310" customWidth="1"/>
    <col min="3332" max="3584" width="9.140625" style="310"/>
    <col min="3585" max="3585" width="27.5703125" style="310" customWidth="1"/>
    <col min="3586" max="3586" width="14.85546875" style="310" customWidth="1"/>
    <col min="3587" max="3587" width="13.140625" style="310" customWidth="1"/>
    <col min="3588" max="3840" width="9.140625" style="310"/>
    <col min="3841" max="3841" width="27.5703125" style="310" customWidth="1"/>
    <col min="3842" max="3842" width="14.85546875" style="310" customWidth="1"/>
    <col min="3843" max="3843" width="13.140625" style="310" customWidth="1"/>
    <col min="3844" max="4096" width="9.140625" style="310"/>
    <col min="4097" max="4097" width="27.5703125" style="310" customWidth="1"/>
    <col min="4098" max="4098" width="14.85546875" style="310" customWidth="1"/>
    <col min="4099" max="4099" width="13.140625" style="310" customWidth="1"/>
    <col min="4100" max="4352" width="9.140625" style="310"/>
    <col min="4353" max="4353" width="27.5703125" style="310" customWidth="1"/>
    <col min="4354" max="4354" width="14.85546875" style="310" customWidth="1"/>
    <col min="4355" max="4355" width="13.140625" style="310" customWidth="1"/>
    <col min="4356" max="4608" width="9.140625" style="310"/>
    <col min="4609" max="4609" width="27.5703125" style="310" customWidth="1"/>
    <col min="4610" max="4610" width="14.85546875" style="310" customWidth="1"/>
    <col min="4611" max="4611" width="13.140625" style="310" customWidth="1"/>
    <col min="4612" max="4864" width="9.140625" style="310"/>
    <col min="4865" max="4865" width="27.5703125" style="310" customWidth="1"/>
    <col min="4866" max="4866" width="14.85546875" style="310" customWidth="1"/>
    <col min="4867" max="4867" width="13.140625" style="310" customWidth="1"/>
    <col min="4868" max="5120" width="9.140625" style="310"/>
    <col min="5121" max="5121" width="27.5703125" style="310" customWidth="1"/>
    <col min="5122" max="5122" width="14.85546875" style="310" customWidth="1"/>
    <col min="5123" max="5123" width="13.140625" style="310" customWidth="1"/>
    <col min="5124" max="5376" width="9.140625" style="310"/>
    <col min="5377" max="5377" width="27.5703125" style="310" customWidth="1"/>
    <col min="5378" max="5378" width="14.85546875" style="310" customWidth="1"/>
    <col min="5379" max="5379" width="13.140625" style="310" customWidth="1"/>
    <col min="5380" max="5632" width="9.140625" style="310"/>
    <col min="5633" max="5633" width="27.5703125" style="310" customWidth="1"/>
    <col min="5634" max="5634" width="14.85546875" style="310" customWidth="1"/>
    <col min="5635" max="5635" width="13.140625" style="310" customWidth="1"/>
    <col min="5636" max="5888" width="9.140625" style="310"/>
    <col min="5889" max="5889" width="27.5703125" style="310" customWidth="1"/>
    <col min="5890" max="5890" width="14.85546875" style="310" customWidth="1"/>
    <col min="5891" max="5891" width="13.140625" style="310" customWidth="1"/>
    <col min="5892" max="6144" width="9.140625" style="310"/>
    <col min="6145" max="6145" width="27.5703125" style="310" customWidth="1"/>
    <col min="6146" max="6146" width="14.85546875" style="310" customWidth="1"/>
    <col min="6147" max="6147" width="13.140625" style="310" customWidth="1"/>
    <col min="6148" max="6400" width="9.140625" style="310"/>
    <col min="6401" max="6401" width="27.5703125" style="310" customWidth="1"/>
    <col min="6402" max="6402" width="14.85546875" style="310" customWidth="1"/>
    <col min="6403" max="6403" width="13.140625" style="310" customWidth="1"/>
    <col min="6404" max="6656" width="9.140625" style="310"/>
    <col min="6657" max="6657" width="27.5703125" style="310" customWidth="1"/>
    <col min="6658" max="6658" width="14.85546875" style="310" customWidth="1"/>
    <col min="6659" max="6659" width="13.140625" style="310" customWidth="1"/>
    <col min="6660" max="6912" width="9.140625" style="310"/>
    <col min="6913" max="6913" width="27.5703125" style="310" customWidth="1"/>
    <col min="6914" max="6914" width="14.85546875" style="310" customWidth="1"/>
    <col min="6915" max="6915" width="13.140625" style="310" customWidth="1"/>
    <col min="6916" max="7168" width="9.140625" style="310"/>
    <col min="7169" max="7169" width="27.5703125" style="310" customWidth="1"/>
    <col min="7170" max="7170" width="14.85546875" style="310" customWidth="1"/>
    <col min="7171" max="7171" width="13.140625" style="310" customWidth="1"/>
    <col min="7172" max="7424" width="9.140625" style="310"/>
    <col min="7425" max="7425" width="27.5703125" style="310" customWidth="1"/>
    <col min="7426" max="7426" width="14.85546875" style="310" customWidth="1"/>
    <col min="7427" max="7427" width="13.140625" style="310" customWidth="1"/>
    <col min="7428" max="7680" width="9.140625" style="310"/>
    <col min="7681" max="7681" width="27.5703125" style="310" customWidth="1"/>
    <col min="7682" max="7682" width="14.85546875" style="310" customWidth="1"/>
    <col min="7683" max="7683" width="13.140625" style="310" customWidth="1"/>
    <col min="7684" max="7936" width="9.140625" style="310"/>
    <col min="7937" max="7937" width="27.5703125" style="310" customWidth="1"/>
    <col min="7938" max="7938" width="14.85546875" style="310" customWidth="1"/>
    <col min="7939" max="7939" width="13.140625" style="310" customWidth="1"/>
    <col min="7940" max="8192" width="9.140625" style="310"/>
    <col min="8193" max="8193" width="27.5703125" style="310" customWidth="1"/>
    <col min="8194" max="8194" width="14.85546875" style="310" customWidth="1"/>
    <col min="8195" max="8195" width="13.140625" style="310" customWidth="1"/>
    <col min="8196" max="8448" width="9.140625" style="310"/>
    <col min="8449" max="8449" width="27.5703125" style="310" customWidth="1"/>
    <col min="8450" max="8450" width="14.85546875" style="310" customWidth="1"/>
    <col min="8451" max="8451" width="13.140625" style="310" customWidth="1"/>
    <col min="8452" max="8704" width="9.140625" style="310"/>
    <col min="8705" max="8705" width="27.5703125" style="310" customWidth="1"/>
    <col min="8706" max="8706" width="14.85546875" style="310" customWidth="1"/>
    <col min="8707" max="8707" width="13.140625" style="310" customWidth="1"/>
    <col min="8708" max="8960" width="9.140625" style="310"/>
    <col min="8961" max="8961" width="27.5703125" style="310" customWidth="1"/>
    <col min="8962" max="8962" width="14.85546875" style="310" customWidth="1"/>
    <col min="8963" max="8963" width="13.140625" style="310" customWidth="1"/>
    <col min="8964" max="9216" width="9.140625" style="310"/>
    <col min="9217" max="9217" width="27.5703125" style="310" customWidth="1"/>
    <col min="9218" max="9218" width="14.85546875" style="310" customWidth="1"/>
    <col min="9219" max="9219" width="13.140625" style="310" customWidth="1"/>
    <col min="9220" max="9472" width="9.140625" style="310"/>
    <col min="9473" max="9473" width="27.5703125" style="310" customWidth="1"/>
    <col min="9474" max="9474" width="14.85546875" style="310" customWidth="1"/>
    <col min="9475" max="9475" width="13.140625" style="310" customWidth="1"/>
    <col min="9476" max="9728" width="9.140625" style="310"/>
    <col min="9729" max="9729" width="27.5703125" style="310" customWidth="1"/>
    <col min="9730" max="9730" width="14.85546875" style="310" customWidth="1"/>
    <col min="9731" max="9731" width="13.140625" style="310" customWidth="1"/>
    <col min="9732" max="9984" width="9.140625" style="310"/>
    <col min="9985" max="9985" width="27.5703125" style="310" customWidth="1"/>
    <col min="9986" max="9986" width="14.85546875" style="310" customWidth="1"/>
    <col min="9987" max="9987" width="13.140625" style="310" customWidth="1"/>
    <col min="9988" max="10240" width="9.140625" style="310"/>
    <col min="10241" max="10241" width="27.5703125" style="310" customWidth="1"/>
    <col min="10242" max="10242" width="14.85546875" style="310" customWidth="1"/>
    <col min="10243" max="10243" width="13.140625" style="310" customWidth="1"/>
    <col min="10244" max="10496" width="9.140625" style="310"/>
    <col min="10497" max="10497" width="27.5703125" style="310" customWidth="1"/>
    <col min="10498" max="10498" width="14.85546875" style="310" customWidth="1"/>
    <col min="10499" max="10499" width="13.140625" style="310" customWidth="1"/>
    <col min="10500" max="10752" width="9.140625" style="310"/>
    <col min="10753" max="10753" width="27.5703125" style="310" customWidth="1"/>
    <col min="10754" max="10754" width="14.85546875" style="310" customWidth="1"/>
    <col min="10755" max="10755" width="13.140625" style="310" customWidth="1"/>
    <col min="10756" max="11008" width="9.140625" style="310"/>
    <col min="11009" max="11009" width="27.5703125" style="310" customWidth="1"/>
    <col min="11010" max="11010" width="14.85546875" style="310" customWidth="1"/>
    <col min="11011" max="11011" width="13.140625" style="310" customWidth="1"/>
    <col min="11012" max="11264" width="9.140625" style="310"/>
    <col min="11265" max="11265" width="27.5703125" style="310" customWidth="1"/>
    <col min="11266" max="11266" width="14.85546875" style="310" customWidth="1"/>
    <col min="11267" max="11267" width="13.140625" style="310" customWidth="1"/>
    <col min="11268" max="11520" width="9.140625" style="310"/>
    <col min="11521" max="11521" width="27.5703125" style="310" customWidth="1"/>
    <col min="11522" max="11522" width="14.85546875" style="310" customWidth="1"/>
    <col min="11523" max="11523" width="13.140625" style="310" customWidth="1"/>
    <col min="11524" max="11776" width="9.140625" style="310"/>
    <col min="11777" max="11777" width="27.5703125" style="310" customWidth="1"/>
    <col min="11778" max="11778" width="14.85546875" style="310" customWidth="1"/>
    <col min="11779" max="11779" width="13.140625" style="310" customWidth="1"/>
    <col min="11780" max="12032" width="9.140625" style="310"/>
    <col min="12033" max="12033" width="27.5703125" style="310" customWidth="1"/>
    <col min="12034" max="12034" width="14.85546875" style="310" customWidth="1"/>
    <col min="12035" max="12035" width="13.140625" style="310" customWidth="1"/>
    <col min="12036" max="12288" width="9.140625" style="310"/>
    <col min="12289" max="12289" width="27.5703125" style="310" customWidth="1"/>
    <col min="12290" max="12290" width="14.85546875" style="310" customWidth="1"/>
    <col min="12291" max="12291" width="13.140625" style="310" customWidth="1"/>
    <col min="12292" max="12544" width="9.140625" style="310"/>
    <col min="12545" max="12545" width="27.5703125" style="310" customWidth="1"/>
    <col min="12546" max="12546" width="14.85546875" style="310" customWidth="1"/>
    <col min="12547" max="12547" width="13.140625" style="310" customWidth="1"/>
    <col min="12548" max="12800" width="9.140625" style="310"/>
    <col min="12801" max="12801" width="27.5703125" style="310" customWidth="1"/>
    <col min="12802" max="12802" width="14.85546875" style="310" customWidth="1"/>
    <col min="12803" max="12803" width="13.140625" style="310" customWidth="1"/>
    <col min="12804" max="13056" width="9.140625" style="310"/>
    <col min="13057" max="13057" width="27.5703125" style="310" customWidth="1"/>
    <col min="13058" max="13058" width="14.85546875" style="310" customWidth="1"/>
    <col min="13059" max="13059" width="13.140625" style="310" customWidth="1"/>
    <col min="13060" max="13312" width="9.140625" style="310"/>
    <col min="13313" max="13313" width="27.5703125" style="310" customWidth="1"/>
    <col min="13314" max="13314" width="14.85546875" style="310" customWidth="1"/>
    <col min="13315" max="13315" width="13.140625" style="310" customWidth="1"/>
    <col min="13316" max="13568" width="9.140625" style="310"/>
    <col min="13569" max="13569" width="27.5703125" style="310" customWidth="1"/>
    <col min="13570" max="13570" width="14.85546875" style="310" customWidth="1"/>
    <col min="13571" max="13571" width="13.140625" style="310" customWidth="1"/>
    <col min="13572" max="13824" width="9.140625" style="310"/>
    <col min="13825" max="13825" width="27.5703125" style="310" customWidth="1"/>
    <col min="13826" max="13826" width="14.85546875" style="310" customWidth="1"/>
    <col min="13827" max="13827" width="13.140625" style="310" customWidth="1"/>
    <col min="13828" max="14080" width="9.140625" style="310"/>
    <col min="14081" max="14081" width="27.5703125" style="310" customWidth="1"/>
    <col min="14082" max="14082" width="14.85546875" style="310" customWidth="1"/>
    <col min="14083" max="14083" width="13.140625" style="310" customWidth="1"/>
    <col min="14084" max="14336" width="9.140625" style="310"/>
    <col min="14337" max="14337" width="27.5703125" style="310" customWidth="1"/>
    <col min="14338" max="14338" width="14.85546875" style="310" customWidth="1"/>
    <col min="14339" max="14339" width="13.140625" style="310" customWidth="1"/>
    <col min="14340" max="14592" width="9.140625" style="310"/>
    <col min="14593" max="14593" width="27.5703125" style="310" customWidth="1"/>
    <col min="14594" max="14594" width="14.85546875" style="310" customWidth="1"/>
    <col min="14595" max="14595" width="13.140625" style="310" customWidth="1"/>
    <col min="14596" max="14848" width="9.140625" style="310"/>
    <col min="14849" max="14849" width="27.5703125" style="310" customWidth="1"/>
    <col min="14850" max="14850" width="14.85546875" style="310" customWidth="1"/>
    <col min="14851" max="14851" width="13.140625" style="310" customWidth="1"/>
    <col min="14852" max="15104" width="9.140625" style="310"/>
    <col min="15105" max="15105" width="27.5703125" style="310" customWidth="1"/>
    <col min="15106" max="15106" width="14.85546875" style="310" customWidth="1"/>
    <col min="15107" max="15107" width="13.140625" style="310" customWidth="1"/>
    <col min="15108" max="15360" width="9.140625" style="310"/>
    <col min="15361" max="15361" width="27.5703125" style="310" customWidth="1"/>
    <col min="15362" max="15362" width="14.85546875" style="310" customWidth="1"/>
    <col min="15363" max="15363" width="13.140625" style="310" customWidth="1"/>
    <col min="15364" max="15616" width="9.140625" style="310"/>
    <col min="15617" max="15617" width="27.5703125" style="310" customWidth="1"/>
    <col min="15618" max="15618" width="14.85546875" style="310" customWidth="1"/>
    <col min="15619" max="15619" width="13.140625" style="310" customWidth="1"/>
    <col min="15620" max="15872" width="9.140625" style="310"/>
    <col min="15873" max="15873" width="27.5703125" style="310" customWidth="1"/>
    <col min="15874" max="15874" width="14.85546875" style="310" customWidth="1"/>
    <col min="15875" max="15875" width="13.140625" style="310" customWidth="1"/>
    <col min="15876" max="16128" width="9.140625" style="310"/>
    <col min="16129" max="16129" width="27.5703125" style="310" customWidth="1"/>
    <col min="16130" max="16130" width="14.85546875" style="310" customWidth="1"/>
    <col min="16131" max="16131" width="13.140625" style="310" customWidth="1"/>
    <col min="16132" max="16384" width="9.140625" style="310"/>
  </cols>
  <sheetData>
    <row r="1" spans="1:8" ht="45.75" customHeight="1">
      <c r="A1" s="490" t="s">
        <v>977</v>
      </c>
      <c r="B1" s="496" t="s">
        <v>990</v>
      </c>
      <c r="C1" s="497"/>
      <c r="D1" s="497"/>
      <c r="E1" s="497"/>
      <c r="F1" s="497"/>
      <c r="G1" s="497"/>
      <c r="H1" s="497"/>
    </row>
    <row r="2" spans="1:8" ht="45.75" customHeight="1">
      <c r="A2" s="490" t="s">
        <v>978</v>
      </c>
      <c r="B2" s="498" t="s">
        <v>991</v>
      </c>
      <c r="C2" s="499"/>
      <c r="D2" s="499"/>
      <c r="E2" s="499"/>
      <c r="F2" s="499"/>
      <c r="G2" s="499"/>
      <c r="H2" s="500"/>
    </row>
    <row r="3" spans="1:8" ht="45.75" customHeight="1">
      <c r="A3" s="490" t="s">
        <v>979</v>
      </c>
      <c r="B3" s="498" t="s">
        <v>992</v>
      </c>
      <c r="C3" s="499"/>
      <c r="D3" s="499"/>
      <c r="E3" s="499"/>
      <c r="F3" s="499"/>
      <c r="G3" s="499"/>
      <c r="H3" s="500"/>
    </row>
    <row r="4" spans="1:8" ht="45.75" customHeight="1">
      <c r="A4" s="490" t="s">
        <v>980</v>
      </c>
      <c r="B4" s="501" t="s">
        <v>993</v>
      </c>
      <c r="C4" s="502"/>
      <c r="D4" s="502"/>
      <c r="E4" s="502"/>
      <c r="F4" s="502"/>
      <c r="G4" s="502"/>
      <c r="H4" s="503"/>
    </row>
  </sheetData>
  <sheetProtection password="DC2B" sheet="1" objects="1" scenarios="1"/>
  <mergeCells count="4">
    <mergeCell ref="B1:H1"/>
    <mergeCell ref="B2:H2"/>
    <mergeCell ref="B3:H3"/>
    <mergeCell ref="B4:H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6BA6-23E9-4B28-83BC-BCEA8DFEAA07}">
  <dimension ref="A1:O30"/>
  <sheetViews>
    <sheetView view="pageBreakPreview" topLeftCell="A19" zoomScaleNormal="70" zoomScaleSheetLayoutView="100" workbookViewId="0">
      <selection activeCell="K24" sqref="K24"/>
    </sheetView>
  </sheetViews>
  <sheetFormatPr defaultRowHeight="12.75"/>
  <cols>
    <col min="1" max="1" width="7" style="398" bestFit="1" customWidth="1"/>
    <col min="2" max="2" width="12.42578125" style="398" customWidth="1"/>
    <col min="3" max="3" width="15.42578125" style="398" hidden="1" customWidth="1"/>
    <col min="4" max="4" width="15.42578125" style="450" customWidth="1"/>
    <col min="5" max="5" width="15.42578125" style="401" customWidth="1"/>
    <col min="6" max="6" width="15.42578125" style="398" customWidth="1"/>
    <col min="7" max="7" width="15.42578125" style="401" customWidth="1"/>
    <col min="8" max="8" width="78.28515625" style="402" customWidth="1"/>
    <col min="9" max="9" width="8.28515625" style="403" customWidth="1"/>
    <col min="10" max="10" width="10.7109375" style="403" customWidth="1"/>
    <col min="11" max="11" width="9.42578125" style="403" customWidth="1"/>
    <col min="12" max="12" width="9.5703125" style="398" bestFit="1" customWidth="1"/>
    <col min="13" max="13" width="17" style="398" bestFit="1" customWidth="1"/>
    <col min="14" max="14" width="15.42578125" style="398" customWidth="1"/>
    <col min="15" max="15" width="15.140625" style="398" hidden="1" customWidth="1"/>
    <col min="16" max="16" width="9.140625" style="398"/>
    <col min="17" max="17" width="10.28515625" style="398" bestFit="1" customWidth="1"/>
    <col min="18" max="16384" width="9.140625" style="398"/>
  </cols>
  <sheetData>
    <row r="1" spans="1:12" s="208" customFormat="1">
      <c r="A1" s="541" t="s">
        <v>0</v>
      </c>
      <c r="B1" s="541"/>
      <c r="C1" s="541"/>
      <c r="D1" s="541"/>
      <c r="E1" s="541"/>
      <c r="F1" s="541"/>
      <c r="G1" s="541"/>
      <c r="H1" s="541"/>
      <c r="I1" s="541"/>
      <c r="J1" s="541"/>
      <c r="K1" s="541"/>
      <c r="L1" s="275"/>
    </row>
    <row r="2" spans="1:12" s="208" customFormat="1" ht="15" customHeight="1">
      <c r="A2" s="542" t="s">
        <v>1</v>
      </c>
      <c r="B2" s="542"/>
      <c r="C2" s="542"/>
      <c r="D2" s="542"/>
      <c r="E2" s="542"/>
      <c r="F2" s="542"/>
      <c r="G2" s="542"/>
      <c r="H2" s="542"/>
      <c r="I2" s="542"/>
      <c r="J2" s="542"/>
      <c r="K2" s="542"/>
      <c r="L2" s="275"/>
    </row>
    <row r="3" spans="1:12" s="208" customFormat="1" ht="15" customHeight="1">
      <c r="A3" s="542" t="s">
        <v>2</v>
      </c>
      <c r="B3" s="542"/>
      <c r="C3" s="542"/>
      <c r="D3" s="542"/>
      <c r="E3" s="542"/>
      <c r="F3" s="542"/>
      <c r="G3" s="542"/>
      <c r="H3" s="542"/>
      <c r="I3" s="542"/>
      <c r="J3" s="542"/>
      <c r="K3" s="542"/>
      <c r="L3" s="275"/>
    </row>
    <row r="4" spans="1:12" s="208" customFormat="1" ht="31.5" hidden="1" customHeight="1">
      <c r="A4" s="543" t="s">
        <v>881</v>
      </c>
      <c r="B4" s="543"/>
      <c r="C4" s="543"/>
      <c r="D4" s="543"/>
      <c r="E4" s="543"/>
      <c r="F4" s="543"/>
      <c r="G4" s="543"/>
      <c r="H4" s="543"/>
      <c r="I4" s="543"/>
      <c r="J4" s="543"/>
      <c r="K4" s="543"/>
      <c r="L4" s="275"/>
    </row>
    <row r="5" spans="1:12" s="208" customFormat="1" ht="17.25" customHeight="1">
      <c r="A5" s="560" t="s">
        <v>1464</v>
      </c>
      <c r="B5" s="560"/>
      <c r="C5" s="560"/>
      <c r="D5" s="560"/>
      <c r="E5" s="560"/>
      <c r="F5" s="560"/>
      <c r="G5" s="560"/>
      <c r="H5" s="560"/>
      <c r="I5" s="560"/>
      <c r="J5" s="560"/>
      <c r="K5" s="560"/>
      <c r="L5" s="275"/>
    </row>
    <row r="6" spans="1:12" s="208" customFormat="1" ht="16.5" customHeight="1">
      <c r="A6" s="544" t="s">
        <v>1477</v>
      </c>
      <c r="B6" s="544"/>
      <c r="C6" s="544"/>
      <c r="D6" s="544"/>
      <c r="E6" s="544"/>
      <c r="F6" s="544"/>
      <c r="G6" s="544"/>
      <c r="H6" s="544"/>
      <c r="I6" s="544"/>
      <c r="J6" s="544"/>
      <c r="K6" s="544"/>
      <c r="L6" s="397"/>
    </row>
    <row r="7" spans="1:12" s="208" customFormat="1" ht="15" customHeight="1">
      <c r="A7" s="544" t="s">
        <v>3</v>
      </c>
      <c r="B7" s="544"/>
      <c r="C7" s="544"/>
      <c r="D7" s="544"/>
      <c r="E7" s="544"/>
      <c r="F7" s="544"/>
      <c r="G7" s="544"/>
      <c r="H7" s="544"/>
      <c r="I7" s="544"/>
      <c r="J7" s="544"/>
      <c r="K7" s="544"/>
      <c r="L7" s="397"/>
    </row>
    <row r="8" spans="1:12" s="310" customFormat="1">
      <c r="A8" s="311" t="s">
        <v>4</v>
      </c>
      <c r="B8" s="311"/>
      <c r="C8" s="311"/>
      <c r="D8" s="311"/>
      <c r="E8" s="328"/>
      <c r="F8" s="547"/>
      <c r="G8" s="548"/>
      <c r="H8" s="548"/>
      <c r="I8" s="548"/>
      <c r="J8" s="549"/>
      <c r="K8" s="328" t="s">
        <v>5</v>
      </c>
    </row>
    <row r="9" spans="1:12" s="310" customFormat="1">
      <c r="A9" s="550" t="s">
        <v>6</v>
      </c>
      <c r="B9" s="550"/>
      <c r="C9" s="550"/>
      <c r="D9" s="550"/>
      <c r="E9" s="328"/>
      <c r="F9" s="547"/>
      <c r="G9" s="548"/>
      <c r="H9" s="548"/>
      <c r="I9" s="548"/>
      <c r="J9" s="549"/>
      <c r="K9" s="328" t="s">
        <v>7</v>
      </c>
    </row>
    <row r="10" spans="1:12" s="310" customFormat="1">
      <c r="A10" s="550" t="s">
        <v>8</v>
      </c>
      <c r="B10" s="555"/>
      <c r="C10" s="555"/>
      <c r="D10" s="555"/>
      <c r="E10" s="318"/>
      <c r="F10" s="547"/>
      <c r="G10" s="548"/>
      <c r="H10" s="548"/>
      <c r="I10" s="548"/>
      <c r="J10" s="549"/>
      <c r="K10" s="328" t="s">
        <v>9</v>
      </c>
    </row>
    <row r="11" spans="1:12" s="310" customFormat="1">
      <c r="A11" s="215"/>
      <c r="B11" s="215"/>
      <c r="C11" s="215"/>
      <c r="D11" s="312"/>
      <c r="E11" s="329"/>
      <c r="F11" s="547"/>
      <c r="G11" s="548"/>
      <c r="H11" s="548"/>
      <c r="I11" s="548"/>
      <c r="J11" s="549"/>
      <c r="K11" s="328" t="s">
        <v>10</v>
      </c>
    </row>
    <row r="12" spans="1:12" s="310" customFormat="1">
      <c r="A12" s="215"/>
      <c r="B12" s="215"/>
      <c r="C12" s="215"/>
      <c r="D12" s="312"/>
      <c r="E12" s="329"/>
      <c r="F12" s="547"/>
      <c r="G12" s="548"/>
      <c r="H12" s="548"/>
      <c r="I12" s="548"/>
      <c r="J12" s="549"/>
      <c r="K12" s="328" t="s">
        <v>11</v>
      </c>
    </row>
    <row r="13" spans="1:12" s="310" customFormat="1">
      <c r="A13" s="498"/>
      <c r="B13" s="499"/>
      <c r="C13" s="499"/>
      <c r="D13" s="499"/>
      <c r="E13" s="499"/>
      <c r="F13" s="499"/>
      <c r="G13" s="499"/>
      <c r="H13" s="499"/>
      <c r="I13" s="499"/>
      <c r="J13" s="500"/>
      <c r="K13" s="328" t="s">
        <v>12</v>
      </c>
    </row>
    <row r="14" spans="1:12" s="310" customFormat="1" ht="15" customHeight="1">
      <c r="A14" s="531" t="s">
        <v>1491</v>
      </c>
      <c r="B14" s="546"/>
      <c r="C14" s="546"/>
      <c r="D14" s="546"/>
      <c r="E14" s="546"/>
      <c r="F14" s="546"/>
      <c r="G14" s="546"/>
      <c r="H14" s="546"/>
      <c r="I14" s="546"/>
      <c r="J14" s="546"/>
      <c r="K14" s="546"/>
    </row>
    <row r="15" spans="1:12">
      <c r="A15" s="597" t="s">
        <v>882</v>
      </c>
      <c r="B15" s="598"/>
      <c r="C15" s="598"/>
      <c r="D15" s="598"/>
      <c r="E15" s="598"/>
      <c r="F15" s="598"/>
      <c r="G15" s="598"/>
      <c r="H15" s="598"/>
      <c r="I15" s="598"/>
      <c r="J15" s="598"/>
      <c r="K15" s="598"/>
    </row>
    <row r="16" spans="1:12">
      <c r="A16" s="600" t="s">
        <v>1465</v>
      </c>
      <c r="B16" s="601"/>
      <c r="C16" s="601"/>
      <c r="D16" s="601"/>
      <c r="E16" s="601"/>
      <c r="F16" s="601"/>
      <c r="G16" s="601"/>
      <c r="H16" s="601"/>
      <c r="I16" s="601"/>
      <c r="J16" s="601"/>
      <c r="K16" s="601"/>
    </row>
    <row r="17" spans="1:15">
      <c r="A17" s="606" t="s">
        <v>13</v>
      </c>
      <c r="B17" s="607" t="s">
        <v>14</v>
      </c>
      <c r="C17" s="595" t="s">
        <v>883</v>
      </c>
      <c r="D17" s="609" t="s">
        <v>27</v>
      </c>
      <c r="E17" s="527" t="s">
        <v>17</v>
      </c>
      <c r="F17" s="611" t="s">
        <v>18</v>
      </c>
      <c r="G17" s="612"/>
      <c r="H17" s="595" t="s">
        <v>884</v>
      </c>
      <c r="I17" s="596" t="s">
        <v>885</v>
      </c>
      <c r="J17" s="604" t="s">
        <v>886</v>
      </c>
      <c r="K17" s="604" t="s">
        <v>887</v>
      </c>
      <c r="L17" s="603" t="s">
        <v>23</v>
      </c>
      <c r="M17" s="603" t="s">
        <v>24</v>
      </c>
      <c r="N17" s="603" t="s">
        <v>25</v>
      </c>
      <c r="O17" s="603" t="s">
        <v>26</v>
      </c>
    </row>
    <row r="18" spans="1:15" ht="66.75" customHeight="1">
      <c r="A18" s="606"/>
      <c r="B18" s="608"/>
      <c r="C18" s="595"/>
      <c r="D18" s="610"/>
      <c r="E18" s="528"/>
      <c r="F18" s="613"/>
      <c r="G18" s="614"/>
      <c r="H18" s="595"/>
      <c r="I18" s="596"/>
      <c r="J18" s="604"/>
      <c r="K18" s="604"/>
      <c r="L18" s="603"/>
      <c r="M18" s="603"/>
      <c r="N18" s="603"/>
      <c r="O18" s="603"/>
    </row>
    <row r="19" spans="1:15" ht="21.75" customHeight="1">
      <c r="A19" s="404"/>
      <c r="B19" s="405">
        <v>1</v>
      </c>
      <c r="C19" s="406">
        <v>2</v>
      </c>
      <c r="D19" s="406">
        <v>3</v>
      </c>
      <c r="E19" s="406">
        <v>4</v>
      </c>
      <c r="F19" s="406">
        <v>5</v>
      </c>
      <c r="G19" s="406">
        <v>6</v>
      </c>
      <c r="H19" s="407">
        <v>7</v>
      </c>
      <c r="I19" s="408">
        <v>8</v>
      </c>
      <c r="J19" s="409">
        <v>9</v>
      </c>
      <c r="K19" s="409">
        <v>10</v>
      </c>
      <c r="L19" s="399">
        <v>13</v>
      </c>
      <c r="M19" s="399">
        <v>14</v>
      </c>
      <c r="N19" s="399">
        <v>15</v>
      </c>
      <c r="O19" s="399">
        <v>16</v>
      </c>
    </row>
    <row r="20" spans="1:15" ht="51">
      <c r="A20" s="411">
        <v>1</v>
      </c>
      <c r="B20" s="321" t="s">
        <v>1460</v>
      </c>
      <c r="C20" s="412" t="s">
        <v>889</v>
      </c>
      <c r="D20" s="447">
        <v>995461</v>
      </c>
      <c r="E20" s="446"/>
      <c r="F20" s="414">
        <v>0.18</v>
      </c>
      <c r="G20" s="424"/>
      <c r="H20" s="415" t="s">
        <v>1296</v>
      </c>
      <c r="I20" s="320" t="s">
        <v>916</v>
      </c>
      <c r="J20" s="431">
        <v>5</v>
      </c>
      <c r="K20" s="633"/>
      <c r="L20" s="420">
        <f>K20</f>
        <v>0</v>
      </c>
      <c r="M20" s="420">
        <f>J20*L20</f>
        <v>0</v>
      </c>
      <c r="N20" s="420">
        <f t="shared" ref="N20:N26" si="0">IF(ISBLANK(G20),F20*M20,G20*M20)</f>
        <v>0</v>
      </c>
      <c r="O20" s="400"/>
    </row>
    <row r="21" spans="1:15" ht="63.75">
      <c r="A21" s="421">
        <v>2</v>
      </c>
      <c r="B21" s="321" t="s">
        <v>1460</v>
      </c>
      <c r="C21" s="416">
        <v>1.25</v>
      </c>
      <c r="D21" s="447">
        <v>995461</v>
      </c>
      <c r="E21" s="446"/>
      <c r="F21" s="414">
        <v>0.18</v>
      </c>
      <c r="G21" s="424"/>
      <c r="H21" s="415" t="s">
        <v>1297</v>
      </c>
      <c r="I21" s="320" t="s">
        <v>916</v>
      </c>
      <c r="J21" s="431">
        <v>21</v>
      </c>
      <c r="K21" s="633"/>
      <c r="L21" s="420">
        <f t="shared" ref="L21:L29" si="1">K21</f>
        <v>0</v>
      </c>
      <c r="M21" s="420">
        <f t="shared" ref="M21:M29" si="2">J21*L21</f>
        <v>0</v>
      </c>
      <c r="N21" s="420">
        <f t="shared" si="0"/>
        <v>0</v>
      </c>
      <c r="O21" s="400"/>
    </row>
    <row r="22" spans="1:15" ht="89.25">
      <c r="A22" s="421">
        <v>3</v>
      </c>
      <c r="B22" s="321" t="s">
        <v>1460</v>
      </c>
      <c r="C22" s="416">
        <v>1.31</v>
      </c>
      <c r="D22" s="447">
        <v>995461</v>
      </c>
      <c r="E22" s="446"/>
      <c r="F22" s="414">
        <v>0.18</v>
      </c>
      <c r="G22" s="424"/>
      <c r="H22" s="415" t="s">
        <v>1298</v>
      </c>
      <c r="I22" s="320" t="s">
        <v>916</v>
      </c>
      <c r="J22" s="431">
        <v>13</v>
      </c>
      <c r="K22" s="633"/>
      <c r="L22" s="420">
        <f t="shared" si="1"/>
        <v>0</v>
      </c>
      <c r="M22" s="420">
        <f t="shared" si="2"/>
        <v>0</v>
      </c>
      <c r="N22" s="420">
        <f t="shared" si="0"/>
        <v>0</v>
      </c>
      <c r="O22" s="400">
        <f t="shared" ref="O22:O30" si="3">M22+N22</f>
        <v>0</v>
      </c>
    </row>
    <row r="23" spans="1:15" ht="63.75">
      <c r="A23" s="421">
        <v>4</v>
      </c>
      <c r="B23" s="321" t="s">
        <v>1460</v>
      </c>
      <c r="C23" s="416">
        <v>1.32</v>
      </c>
      <c r="D23" s="447">
        <v>995461</v>
      </c>
      <c r="E23" s="446"/>
      <c r="F23" s="414">
        <v>0.18</v>
      </c>
      <c r="G23" s="424"/>
      <c r="H23" s="415" t="s">
        <v>1299</v>
      </c>
      <c r="I23" s="320" t="s">
        <v>917</v>
      </c>
      <c r="J23" s="431">
        <v>18</v>
      </c>
      <c r="K23" s="633"/>
      <c r="L23" s="420">
        <f t="shared" si="1"/>
        <v>0</v>
      </c>
      <c r="M23" s="420">
        <f t="shared" si="2"/>
        <v>0</v>
      </c>
      <c r="N23" s="420">
        <f t="shared" si="0"/>
        <v>0</v>
      </c>
      <c r="O23" s="400">
        <f t="shared" si="3"/>
        <v>0</v>
      </c>
    </row>
    <row r="24" spans="1:15" ht="51">
      <c r="A24" s="421">
        <v>5</v>
      </c>
      <c r="B24" s="321" t="s">
        <v>1460</v>
      </c>
      <c r="C24" s="416">
        <v>1.57</v>
      </c>
      <c r="D24" s="447">
        <v>995461</v>
      </c>
      <c r="E24" s="446"/>
      <c r="F24" s="414">
        <v>0.18</v>
      </c>
      <c r="G24" s="424"/>
      <c r="H24" s="415" t="s">
        <v>1300</v>
      </c>
      <c r="I24" s="320" t="s">
        <v>917</v>
      </c>
      <c r="J24" s="431">
        <v>10</v>
      </c>
      <c r="K24" s="633"/>
      <c r="L24" s="420">
        <f t="shared" si="1"/>
        <v>0</v>
      </c>
      <c r="M24" s="420">
        <f t="shared" si="2"/>
        <v>0</v>
      </c>
      <c r="N24" s="420">
        <f t="shared" si="0"/>
        <v>0</v>
      </c>
      <c r="O24" s="400">
        <f t="shared" si="3"/>
        <v>0</v>
      </c>
    </row>
    <row r="25" spans="1:15" ht="63.75">
      <c r="A25" s="421">
        <v>6</v>
      </c>
      <c r="B25" s="321" t="s">
        <v>1460</v>
      </c>
      <c r="C25" s="416">
        <v>1.18</v>
      </c>
      <c r="D25" s="449" t="s">
        <v>1476</v>
      </c>
      <c r="E25" s="446"/>
      <c r="F25" s="414">
        <v>0.18</v>
      </c>
      <c r="G25" s="424"/>
      <c r="H25" s="415" t="s">
        <v>1301</v>
      </c>
      <c r="I25" s="320" t="s">
        <v>917</v>
      </c>
      <c r="J25" s="431">
        <v>11</v>
      </c>
      <c r="K25" s="633"/>
      <c r="L25" s="420">
        <f t="shared" si="1"/>
        <v>0</v>
      </c>
      <c r="M25" s="420">
        <f t="shared" si="2"/>
        <v>0</v>
      </c>
      <c r="N25" s="420">
        <f t="shared" si="0"/>
        <v>0</v>
      </c>
      <c r="O25" s="400">
        <f t="shared" si="3"/>
        <v>0</v>
      </c>
    </row>
    <row r="26" spans="1:15" ht="63.75">
      <c r="A26" s="421">
        <v>7</v>
      </c>
      <c r="B26" s="321" t="s">
        <v>1460</v>
      </c>
      <c r="C26" s="416" t="s">
        <v>894</v>
      </c>
      <c r="D26" s="449" t="s">
        <v>1476</v>
      </c>
      <c r="E26" s="446"/>
      <c r="F26" s="414">
        <v>0.18</v>
      </c>
      <c r="G26" s="424"/>
      <c r="H26" s="415" t="s">
        <v>1302</v>
      </c>
      <c r="I26" s="320" t="s">
        <v>917</v>
      </c>
      <c r="J26" s="431">
        <v>7</v>
      </c>
      <c r="K26" s="633"/>
      <c r="L26" s="420">
        <f t="shared" si="1"/>
        <v>0</v>
      </c>
      <c r="M26" s="420">
        <f t="shared" si="2"/>
        <v>0</v>
      </c>
      <c r="N26" s="420">
        <f t="shared" si="0"/>
        <v>0</v>
      </c>
      <c r="O26" s="400">
        <f t="shared" si="3"/>
        <v>0</v>
      </c>
    </row>
    <row r="27" spans="1:15" ht="38.25">
      <c r="A27" s="421">
        <v>8</v>
      </c>
      <c r="B27" s="321" t="s">
        <v>1460</v>
      </c>
      <c r="C27" s="416">
        <v>1.21</v>
      </c>
      <c r="D27" s="413"/>
      <c r="E27" s="448"/>
      <c r="F27" s="443"/>
      <c r="G27" s="444"/>
      <c r="H27" s="415" t="s">
        <v>1303</v>
      </c>
      <c r="I27" s="320"/>
      <c r="J27" s="431"/>
      <c r="K27" s="633"/>
      <c r="L27" s="420"/>
      <c r="M27" s="420"/>
      <c r="N27" s="420"/>
      <c r="O27" s="400">
        <f t="shared" si="3"/>
        <v>0</v>
      </c>
    </row>
    <row r="28" spans="1:15">
      <c r="A28" s="421" t="s">
        <v>1233</v>
      </c>
      <c r="B28" s="321" t="s">
        <v>1460</v>
      </c>
      <c r="C28" s="416" t="s">
        <v>1294</v>
      </c>
      <c r="D28" s="449" t="s">
        <v>1476</v>
      </c>
      <c r="E28" s="446"/>
      <c r="F28" s="414">
        <v>0.18</v>
      </c>
      <c r="G28" s="424"/>
      <c r="H28" s="415" t="s">
        <v>1304</v>
      </c>
      <c r="I28" s="320" t="s">
        <v>917</v>
      </c>
      <c r="J28" s="431">
        <v>1</v>
      </c>
      <c r="K28" s="633"/>
      <c r="L28" s="420">
        <f t="shared" si="1"/>
        <v>0</v>
      </c>
      <c r="M28" s="420">
        <f t="shared" si="2"/>
        <v>0</v>
      </c>
      <c r="N28" s="420">
        <f>IF(ISBLANK(G28),F28*M28,G28*M28)</f>
        <v>0</v>
      </c>
      <c r="O28" s="400"/>
    </row>
    <row r="29" spans="1:15">
      <c r="A29" s="421" t="s">
        <v>1234</v>
      </c>
      <c r="B29" s="321" t="s">
        <v>1460</v>
      </c>
      <c r="C29" s="416">
        <v>1.24</v>
      </c>
      <c r="D29" s="449" t="s">
        <v>1476</v>
      </c>
      <c r="E29" s="446"/>
      <c r="F29" s="414">
        <v>0.18</v>
      </c>
      <c r="G29" s="424"/>
      <c r="H29" s="415" t="s">
        <v>1305</v>
      </c>
      <c r="I29" s="320" t="s">
        <v>917</v>
      </c>
      <c r="J29" s="431">
        <v>1</v>
      </c>
      <c r="K29" s="633"/>
      <c r="L29" s="420">
        <f t="shared" si="1"/>
        <v>0</v>
      </c>
      <c r="M29" s="420">
        <f t="shared" si="2"/>
        <v>0</v>
      </c>
      <c r="N29" s="420">
        <f>IF(ISBLANK(G29),F29*M29,G29*M29)</f>
        <v>0</v>
      </c>
      <c r="O29" s="400">
        <f t="shared" si="3"/>
        <v>0</v>
      </c>
    </row>
    <row r="30" spans="1:15">
      <c r="A30" s="432"/>
      <c r="B30" s="422"/>
      <c r="C30" s="433"/>
      <c r="D30" s="433"/>
      <c r="E30" s="433"/>
      <c r="F30" s="414"/>
      <c r="G30" s="433"/>
      <c r="H30" s="434" t="s">
        <v>913</v>
      </c>
      <c r="I30" s="433"/>
      <c r="J30" s="435"/>
      <c r="K30" s="436"/>
      <c r="L30" s="438"/>
      <c r="M30" s="439">
        <f>SUM(M20:M29)</f>
        <v>0</v>
      </c>
      <c r="N30" s="439">
        <f>SUM(N20:N29)</f>
        <v>0</v>
      </c>
      <c r="O30" s="440">
        <f t="shared" si="3"/>
        <v>0</v>
      </c>
    </row>
  </sheetData>
  <sheetProtection password="DC2B" sheet="1" objects="1" scenarios="1"/>
  <mergeCells count="32">
    <mergeCell ref="A6:K6"/>
    <mergeCell ref="A1:K1"/>
    <mergeCell ref="A2:K2"/>
    <mergeCell ref="A3:K3"/>
    <mergeCell ref="A4:K4"/>
    <mergeCell ref="A5:K5"/>
    <mergeCell ref="A10:D10"/>
    <mergeCell ref="F10:J10"/>
    <mergeCell ref="F11:J11"/>
    <mergeCell ref="F12:J12"/>
    <mergeCell ref="A7:K7"/>
    <mergeCell ref="F8:J8"/>
    <mergeCell ref="A9:D9"/>
    <mergeCell ref="F9:J9"/>
    <mergeCell ref="A13:J13"/>
    <mergeCell ref="A14:K14"/>
    <mergeCell ref="A15:K15"/>
    <mergeCell ref="A16:K16"/>
    <mergeCell ref="A17:A18"/>
    <mergeCell ref="B17:B18"/>
    <mergeCell ref="C17:C18"/>
    <mergeCell ref="D17:D18"/>
    <mergeCell ref="E17:E18"/>
    <mergeCell ref="L17:L18"/>
    <mergeCell ref="M17:M18"/>
    <mergeCell ref="N17:N18"/>
    <mergeCell ref="O17:O18"/>
    <mergeCell ref="F17:G18"/>
    <mergeCell ref="H17:H18"/>
    <mergeCell ref="I17:I18"/>
    <mergeCell ref="J17:J18"/>
    <mergeCell ref="K17:K18"/>
  </mergeCells>
  <pageMargins left="0.7" right="0.7" top="0.75" bottom="0.75" header="0.3" footer="0.3"/>
  <pageSetup paperSize="9"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0"/>
  <sheetViews>
    <sheetView workbookViewId="0">
      <selection activeCell="D14" sqref="D14"/>
    </sheetView>
  </sheetViews>
  <sheetFormatPr defaultRowHeight="12.75"/>
  <cols>
    <col min="1" max="1" width="8.5703125" style="314" customWidth="1"/>
    <col min="2" max="2" width="67.7109375" style="451" customWidth="1"/>
    <col min="3" max="3" width="17.85546875" style="451" customWidth="1"/>
    <col min="4" max="4" width="22.5703125" style="451" customWidth="1"/>
    <col min="5" max="16384" width="9.140625" style="451"/>
  </cols>
  <sheetData>
    <row r="1" spans="1:4">
      <c r="A1" s="621" t="s">
        <v>1490</v>
      </c>
      <c r="B1" s="622"/>
      <c r="C1" s="622"/>
      <c r="D1" s="623"/>
    </row>
    <row r="2" spans="1:4">
      <c r="A2" s="624" t="s">
        <v>918</v>
      </c>
      <c r="B2" s="624"/>
      <c r="C2" s="624"/>
      <c r="D2" s="624"/>
    </row>
    <row r="3" spans="1:4">
      <c r="A3" s="620"/>
      <c r="B3" s="625"/>
      <c r="C3" s="620" t="s">
        <v>5</v>
      </c>
      <c r="D3" s="620"/>
    </row>
    <row r="4" spans="1:4">
      <c r="A4" s="452" t="s">
        <v>919</v>
      </c>
      <c r="B4" s="453"/>
      <c r="C4" s="619" t="s">
        <v>7</v>
      </c>
      <c r="D4" s="620"/>
    </row>
    <row r="5" spans="1:4">
      <c r="A5" s="452" t="s">
        <v>920</v>
      </c>
      <c r="B5" s="454" t="str">
        <f>'[1]Names of Bidder'!C9</f>
        <v>…….. …… ………. ……….</v>
      </c>
      <c r="C5" s="619" t="s">
        <v>9</v>
      </c>
      <c r="D5" s="620"/>
    </row>
    <row r="6" spans="1:4">
      <c r="A6" s="455"/>
      <c r="B6" s="454" t="str">
        <f>'[1]Names of Bidder'!C10</f>
        <v>…….. …… ………. ……….</v>
      </c>
      <c r="C6" s="619" t="s">
        <v>10</v>
      </c>
      <c r="D6" s="620"/>
    </row>
    <row r="7" spans="1:4">
      <c r="A7" s="455"/>
      <c r="B7" s="454" t="str">
        <f>'[1]Names of Bidder'!C11</f>
        <v>…….. …… ………. ……….</v>
      </c>
      <c r="C7" s="619" t="s">
        <v>11</v>
      </c>
      <c r="D7" s="620"/>
    </row>
    <row r="8" spans="1:4">
      <c r="A8" s="456"/>
      <c r="B8" s="457"/>
      <c r="C8" s="620" t="s">
        <v>12</v>
      </c>
      <c r="D8" s="620"/>
    </row>
    <row r="9" spans="1:4" ht="25.5">
      <c r="A9" s="227" t="s">
        <v>13</v>
      </c>
      <c r="B9" s="615" t="s">
        <v>921</v>
      </c>
      <c r="C9" s="615"/>
      <c r="D9" s="227" t="s">
        <v>922</v>
      </c>
    </row>
    <row r="10" spans="1:4">
      <c r="A10" s="282">
        <v>1</v>
      </c>
      <c r="B10" s="615" t="s">
        <v>923</v>
      </c>
      <c r="C10" s="615"/>
      <c r="D10" s="458"/>
    </row>
    <row r="11" spans="1:4" ht="43.5" customHeight="1">
      <c r="A11" s="282" t="s">
        <v>924</v>
      </c>
      <c r="B11" s="616" t="s">
        <v>1479</v>
      </c>
      <c r="C11" s="616"/>
      <c r="D11" s="466">
        <f>'Sch-3A Sch-Civil'!P242</f>
        <v>2100512.4254237278</v>
      </c>
    </row>
    <row r="12" spans="1:4" ht="45.75" customHeight="1">
      <c r="A12" s="282" t="s">
        <v>925</v>
      </c>
      <c r="B12" s="616" t="s">
        <v>1480</v>
      </c>
      <c r="C12" s="616"/>
      <c r="D12" s="467">
        <f>'Sch-3B NS-Civil'!N42</f>
        <v>0</v>
      </c>
    </row>
    <row r="13" spans="1:4" ht="42.75" customHeight="1">
      <c r="A13" s="282" t="s">
        <v>354</v>
      </c>
      <c r="B13" s="616" t="s">
        <v>1481</v>
      </c>
      <c r="C13" s="616"/>
      <c r="D13" s="468">
        <f>'Sch-3C Sch-Horticullture'!P29</f>
        <v>8854.5119999999988</v>
      </c>
    </row>
    <row r="14" spans="1:4" ht="45.75" customHeight="1">
      <c r="A14" s="282" t="s">
        <v>926</v>
      </c>
      <c r="B14" s="616" t="s">
        <v>1482</v>
      </c>
      <c r="C14" s="616"/>
      <c r="D14" s="469">
        <f>'Sch-3D Sch-Electrical'!P50</f>
        <v>58772.643577378345</v>
      </c>
    </row>
    <row r="15" spans="1:4" ht="45" customHeight="1">
      <c r="A15" s="282" t="s">
        <v>1306</v>
      </c>
      <c r="B15" s="617" t="s">
        <v>1483</v>
      </c>
      <c r="C15" s="618"/>
      <c r="D15" s="470">
        <f>'Sch-3E Non- Sch-Electrical'!N30</f>
        <v>0</v>
      </c>
    </row>
    <row r="16" spans="1:4">
      <c r="A16" s="282">
        <v>2</v>
      </c>
      <c r="B16" s="615" t="s">
        <v>927</v>
      </c>
      <c r="C16" s="615"/>
      <c r="D16" s="466">
        <f>SUM(D11:D15)</f>
        <v>2168139.5810011062</v>
      </c>
    </row>
    <row r="17" spans="1:4">
      <c r="A17" s="459"/>
      <c r="D17" s="460"/>
    </row>
    <row r="18" spans="1:4">
      <c r="A18" s="459"/>
      <c r="D18" s="460"/>
    </row>
    <row r="19" spans="1:4">
      <c r="A19" s="459"/>
      <c r="B19" s="461"/>
      <c r="C19" s="275"/>
      <c r="D19" s="462"/>
    </row>
    <row r="20" spans="1:4">
      <c r="A20" s="463"/>
      <c r="B20" s="464"/>
      <c r="C20" s="465"/>
      <c r="D20" s="462"/>
    </row>
  </sheetData>
  <sheetProtection password="DC2B" sheet="1" objects="1" scenarios="1"/>
  <mergeCells count="17">
    <mergeCell ref="A1:D1"/>
    <mergeCell ref="A2:D2"/>
    <mergeCell ref="A3:B3"/>
    <mergeCell ref="C3:D3"/>
    <mergeCell ref="C4:D4"/>
    <mergeCell ref="B16:C16"/>
    <mergeCell ref="B13:C13"/>
    <mergeCell ref="B14:C14"/>
    <mergeCell ref="B15:C15"/>
    <mergeCell ref="C5:D5"/>
    <mergeCell ref="B12:C12"/>
    <mergeCell ref="C6:D6"/>
    <mergeCell ref="C7:D7"/>
    <mergeCell ref="C8:D8"/>
    <mergeCell ref="B9:C9"/>
    <mergeCell ref="B10:C10"/>
    <mergeCell ref="B11:C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30"/>
  <sheetViews>
    <sheetView tabSelected="1" workbookViewId="0">
      <selection activeCell="I22" sqref="I22"/>
    </sheetView>
  </sheetViews>
  <sheetFormatPr defaultRowHeight="12.75"/>
  <cols>
    <col min="1" max="1" width="11.5703125" style="275" customWidth="1"/>
    <col min="2" max="2" width="64.42578125" style="482" customWidth="1"/>
    <col min="3" max="3" width="19.7109375" style="482" customWidth="1"/>
    <col min="4" max="4" width="30.28515625" style="482" customWidth="1"/>
    <col min="5" max="5" width="11.5703125" style="482" bestFit="1" customWidth="1"/>
    <col min="6" max="6" width="13.7109375" style="482" bestFit="1" customWidth="1"/>
    <col min="7" max="7" width="9.140625" style="482"/>
    <col min="8" max="8" width="14.42578125" style="482" customWidth="1"/>
    <col min="9" max="9" width="19" style="482" bestFit="1" customWidth="1"/>
    <col min="10" max="16384" width="9.140625" style="482"/>
  </cols>
  <sheetData>
    <row r="1" spans="1:256">
      <c r="A1" s="560" t="s">
        <v>928</v>
      </c>
      <c r="B1" s="560"/>
      <c r="C1" s="560"/>
      <c r="D1" s="560"/>
      <c r="E1" s="392"/>
      <c r="F1" s="392"/>
      <c r="G1" s="392"/>
      <c r="H1" s="392"/>
      <c r="I1" s="392"/>
      <c r="J1" s="392"/>
      <c r="K1" s="392"/>
    </row>
    <row r="2" spans="1:256" ht="65.25" customHeight="1">
      <c r="A2" s="624" t="s">
        <v>1484</v>
      </c>
      <c r="B2" s="624"/>
      <c r="C2" s="624"/>
      <c r="D2" s="624"/>
    </row>
    <row r="3" spans="1:256">
      <c r="A3" s="620"/>
      <c r="B3" s="620"/>
      <c r="C3" s="620" t="s">
        <v>5</v>
      </c>
      <c r="D3" s="620"/>
    </row>
    <row r="4" spans="1:256">
      <c r="A4" s="224" t="s">
        <v>919</v>
      </c>
      <c r="B4" s="483" t="e">
        <f>'[1]Names of Bidder'!C8</f>
        <v>#REF!</v>
      </c>
      <c r="C4" s="273" t="s">
        <v>7</v>
      </c>
      <c r="D4" s="273"/>
    </row>
    <row r="5" spans="1:256">
      <c r="A5" s="224" t="s">
        <v>920</v>
      </c>
      <c r="B5" s="483" t="str">
        <f>'[1]Names of Bidder'!C9</f>
        <v>…….. …… ………. ……….</v>
      </c>
      <c r="C5" s="273" t="s">
        <v>9</v>
      </c>
      <c r="D5" s="273"/>
    </row>
    <row r="6" spans="1:256">
      <c r="A6" s="224"/>
      <c r="B6" s="483" t="str">
        <f>'[1]Names of Bidder'!C10</f>
        <v>…….. …… ………. ……….</v>
      </c>
      <c r="C6" s="273" t="s">
        <v>10</v>
      </c>
      <c r="D6" s="273"/>
    </row>
    <row r="7" spans="1:256">
      <c r="A7" s="224"/>
      <c r="B7" s="483" t="str">
        <f>'[1]Names of Bidder'!C11</f>
        <v>…….. …… ………. ……….</v>
      </c>
      <c r="C7" s="273" t="s">
        <v>11</v>
      </c>
      <c r="D7" s="273"/>
    </row>
    <row r="8" spans="1:256">
      <c r="A8" s="620"/>
      <c r="B8" s="620"/>
      <c r="C8" s="273" t="s">
        <v>12</v>
      </c>
      <c r="D8" s="273"/>
    </row>
    <row r="9" spans="1:256">
      <c r="A9" s="226" t="s">
        <v>13</v>
      </c>
      <c r="B9" s="624" t="s">
        <v>453</v>
      </c>
      <c r="C9" s="624"/>
      <c r="D9" s="226" t="s">
        <v>929</v>
      </c>
      <c r="E9" s="484"/>
      <c r="F9" s="484"/>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B9" s="484"/>
      <c r="BC9" s="484"/>
      <c r="BD9" s="484"/>
      <c r="BE9" s="484"/>
      <c r="BF9" s="484"/>
      <c r="BG9" s="484"/>
      <c r="BH9" s="484"/>
      <c r="BI9" s="484"/>
      <c r="BJ9" s="484"/>
      <c r="BK9" s="484"/>
      <c r="BL9" s="484"/>
      <c r="BM9" s="484"/>
      <c r="BN9" s="484"/>
      <c r="BO9" s="484"/>
      <c r="BP9" s="484"/>
      <c r="BQ9" s="484"/>
      <c r="BR9" s="484"/>
      <c r="BS9" s="484"/>
      <c r="BT9" s="484"/>
      <c r="BU9" s="484"/>
      <c r="BV9" s="484"/>
      <c r="BW9" s="484"/>
      <c r="BX9" s="484"/>
      <c r="BY9" s="484"/>
      <c r="BZ9" s="484"/>
      <c r="CA9" s="484"/>
      <c r="CB9" s="484"/>
      <c r="CC9" s="484"/>
      <c r="CD9" s="484"/>
      <c r="CE9" s="484"/>
      <c r="CF9" s="484"/>
      <c r="CG9" s="484"/>
      <c r="CH9" s="484"/>
      <c r="CI9" s="484"/>
      <c r="CJ9" s="484"/>
      <c r="CK9" s="484"/>
      <c r="CL9" s="484"/>
      <c r="CM9" s="484"/>
      <c r="CN9" s="484"/>
      <c r="CO9" s="484"/>
      <c r="CP9" s="484"/>
      <c r="CQ9" s="484"/>
      <c r="CR9" s="484"/>
      <c r="CS9" s="484"/>
      <c r="CT9" s="484"/>
      <c r="CU9" s="484"/>
      <c r="CV9" s="484"/>
      <c r="CW9" s="484"/>
      <c r="CX9" s="484"/>
      <c r="CY9" s="484"/>
      <c r="CZ9" s="484"/>
      <c r="DA9" s="484"/>
      <c r="DB9" s="484"/>
      <c r="DC9" s="484"/>
      <c r="DD9" s="484"/>
      <c r="DE9" s="484"/>
      <c r="DF9" s="484"/>
      <c r="DG9" s="484"/>
      <c r="DH9" s="484"/>
      <c r="DI9" s="484"/>
      <c r="DJ9" s="484"/>
      <c r="DK9" s="484"/>
      <c r="DL9" s="484"/>
      <c r="DM9" s="484"/>
      <c r="DN9" s="484"/>
      <c r="DO9" s="484"/>
      <c r="DP9" s="484"/>
      <c r="DQ9" s="484"/>
      <c r="DR9" s="484"/>
      <c r="DS9" s="484"/>
      <c r="DT9" s="484"/>
      <c r="DU9" s="484"/>
      <c r="DV9" s="484"/>
      <c r="DW9" s="484"/>
      <c r="DX9" s="484"/>
      <c r="DY9" s="484"/>
      <c r="DZ9" s="484"/>
      <c r="EA9" s="484"/>
      <c r="EB9" s="484"/>
      <c r="EC9" s="484"/>
      <c r="ED9" s="484"/>
      <c r="EE9" s="484"/>
      <c r="EF9" s="484"/>
      <c r="EG9" s="484"/>
      <c r="EH9" s="484"/>
      <c r="EI9" s="484"/>
      <c r="EJ9" s="484"/>
      <c r="EK9" s="484"/>
      <c r="EL9" s="484"/>
      <c r="EM9" s="484"/>
      <c r="EN9" s="484"/>
      <c r="EO9" s="484"/>
      <c r="EP9" s="484"/>
      <c r="EQ9" s="484"/>
      <c r="ER9" s="484"/>
      <c r="ES9" s="484"/>
      <c r="ET9" s="484"/>
      <c r="EU9" s="484"/>
      <c r="EV9" s="484"/>
      <c r="EW9" s="484"/>
      <c r="EX9" s="484"/>
      <c r="EY9" s="484"/>
      <c r="EZ9" s="484"/>
      <c r="FA9" s="484"/>
      <c r="FB9" s="484"/>
      <c r="FC9" s="484"/>
      <c r="FD9" s="484"/>
      <c r="FE9" s="484"/>
      <c r="FF9" s="484"/>
      <c r="FG9" s="484"/>
      <c r="FH9" s="484"/>
      <c r="FI9" s="484"/>
      <c r="FJ9" s="484"/>
      <c r="FK9" s="484"/>
      <c r="FL9" s="484"/>
      <c r="FM9" s="484"/>
      <c r="FN9" s="484"/>
      <c r="FO9" s="484"/>
      <c r="FP9" s="484"/>
      <c r="FQ9" s="484"/>
      <c r="FR9" s="484"/>
      <c r="FS9" s="484"/>
      <c r="FT9" s="484"/>
      <c r="FU9" s="484"/>
      <c r="FV9" s="484"/>
      <c r="FW9" s="484"/>
      <c r="FX9" s="484"/>
      <c r="FY9" s="484"/>
      <c r="FZ9" s="484"/>
      <c r="GA9" s="484"/>
      <c r="GB9" s="484"/>
      <c r="GC9" s="484"/>
      <c r="GD9" s="484"/>
      <c r="GE9" s="484"/>
      <c r="GF9" s="484"/>
      <c r="GG9" s="484"/>
      <c r="GH9" s="484"/>
      <c r="GI9" s="484"/>
      <c r="GJ9" s="484"/>
      <c r="GK9" s="484"/>
      <c r="GL9" s="484"/>
      <c r="GM9" s="484"/>
      <c r="GN9" s="484"/>
      <c r="GO9" s="484"/>
      <c r="GP9" s="484"/>
      <c r="GQ9" s="484"/>
      <c r="GR9" s="484"/>
      <c r="GS9" s="484"/>
      <c r="GT9" s="484"/>
      <c r="GU9" s="484"/>
      <c r="GV9" s="484"/>
      <c r="GW9" s="484"/>
      <c r="GX9" s="484"/>
      <c r="GY9" s="484"/>
      <c r="GZ9" s="484"/>
      <c r="HA9" s="484"/>
      <c r="HB9" s="484"/>
      <c r="HC9" s="484"/>
      <c r="HD9" s="484"/>
      <c r="HE9" s="484"/>
      <c r="HF9" s="484"/>
      <c r="HG9" s="484"/>
      <c r="HH9" s="484"/>
      <c r="HI9" s="484"/>
      <c r="HJ9" s="484"/>
      <c r="HK9" s="484"/>
      <c r="HL9" s="484"/>
      <c r="HM9" s="484"/>
      <c r="HN9" s="484"/>
      <c r="HO9" s="484"/>
      <c r="HP9" s="484"/>
      <c r="HQ9" s="484"/>
      <c r="HR9" s="484"/>
      <c r="HS9" s="484"/>
      <c r="HT9" s="484"/>
      <c r="HU9" s="484"/>
      <c r="HV9" s="484"/>
      <c r="HW9" s="484"/>
      <c r="HX9" s="484"/>
      <c r="HY9" s="484"/>
      <c r="HZ9" s="484"/>
      <c r="IA9" s="484"/>
      <c r="IB9" s="484"/>
      <c r="IC9" s="484"/>
      <c r="ID9" s="484"/>
      <c r="IE9" s="484"/>
      <c r="IF9" s="484"/>
      <c r="IG9" s="484"/>
      <c r="IH9" s="484"/>
      <c r="II9" s="484"/>
      <c r="IJ9" s="484"/>
      <c r="IK9" s="484"/>
      <c r="IL9" s="484"/>
      <c r="IM9" s="484"/>
      <c r="IN9" s="484"/>
      <c r="IO9" s="484"/>
      <c r="IP9" s="484"/>
      <c r="IQ9" s="484"/>
      <c r="IR9" s="484"/>
      <c r="IS9" s="484"/>
      <c r="IT9" s="484"/>
      <c r="IU9" s="484"/>
      <c r="IV9" s="484"/>
    </row>
    <row r="10" spans="1:256">
      <c r="A10" s="226"/>
      <c r="B10" s="567" t="s">
        <v>930</v>
      </c>
      <c r="C10" s="567"/>
      <c r="D10" s="226"/>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4"/>
      <c r="BB10" s="484"/>
      <c r="BC10" s="484"/>
      <c r="BD10" s="484"/>
      <c r="BE10" s="484"/>
      <c r="BF10" s="484"/>
      <c r="BG10" s="484"/>
      <c r="BH10" s="484"/>
      <c r="BI10" s="484"/>
      <c r="BJ10" s="484"/>
      <c r="BK10" s="484"/>
      <c r="BL10" s="484"/>
      <c r="BM10" s="484"/>
      <c r="BN10" s="484"/>
      <c r="BO10" s="484"/>
      <c r="BP10" s="484"/>
      <c r="BQ10" s="484"/>
      <c r="BR10" s="484"/>
      <c r="BS10" s="484"/>
      <c r="BT10" s="484"/>
      <c r="BU10" s="484"/>
      <c r="BV10" s="484"/>
      <c r="BW10" s="484"/>
      <c r="BX10" s="484"/>
      <c r="BY10" s="484"/>
      <c r="BZ10" s="484"/>
      <c r="CA10" s="484"/>
      <c r="CB10" s="484"/>
      <c r="CC10" s="484"/>
      <c r="CD10" s="484"/>
      <c r="CE10" s="484"/>
      <c r="CF10" s="484"/>
      <c r="CG10" s="484"/>
      <c r="CH10" s="484"/>
      <c r="CI10" s="484"/>
      <c r="CJ10" s="484"/>
      <c r="CK10" s="484"/>
      <c r="CL10" s="484"/>
      <c r="CM10" s="484"/>
      <c r="CN10" s="484"/>
      <c r="CO10" s="484"/>
      <c r="CP10" s="484"/>
      <c r="CQ10" s="484"/>
      <c r="CR10" s="484"/>
      <c r="CS10" s="484"/>
      <c r="CT10" s="484"/>
      <c r="CU10" s="484"/>
      <c r="CV10" s="484"/>
      <c r="CW10" s="484"/>
      <c r="CX10" s="484"/>
      <c r="CY10" s="484"/>
      <c r="CZ10" s="484"/>
      <c r="DA10" s="484"/>
      <c r="DB10" s="484"/>
      <c r="DC10" s="484"/>
      <c r="DD10" s="484"/>
      <c r="DE10" s="484"/>
      <c r="DF10" s="484"/>
      <c r="DG10" s="484"/>
      <c r="DH10" s="484"/>
      <c r="DI10" s="484"/>
      <c r="DJ10" s="484"/>
      <c r="DK10" s="484"/>
      <c r="DL10" s="484"/>
      <c r="DM10" s="484"/>
      <c r="DN10" s="484"/>
      <c r="DO10" s="484"/>
      <c r="DP10" s="484"/>
      <c r="DQ10" s="484"/>
      <c r="DR10" s="484"/>
      <c r="DS10" s="484"/>
      <c r="DT10" s="484"/>
      <c r="DU10" s="484"/>
      <c r="DV10" s="484"/>
      <c r="DW10" s="484"/>
      <c r="DX10" s="484"/>
      <c r="DY10" s="484"/>
      <c r="DZ10" s="484"/>
      <c r="EA10" s="484"/>
      <c r="EB10" s="484"/>
      <c r="EC10" s="484"/>
      <c r="ED10" s="484"/>
      <c r="EE10" s="484"/>
      <c r="EF10" s="484"/>
      <c r="EG10" s="484"/>
      <c r="EH10" s="484"/>
      <c r="EI10" s="484"/>
      <c r="EJ10" s="484"/>
      <c r="EK10" s="484"/>
      <c r="EL10" s="484"/>
      <c r="EM10" s="484"/>
      <c r="EN10" s="484"/>
      <c r="EO10" s="484"/>
      <c r="EP10" s="484"/>
      <c r="EQ10" s="484"/>
      <c r="ER10" s="484"/>
      <c r="ES10" s="484"/>
      <c r="ET10" s="484"/>
      <c r="EU10" s="484"/>
      <c r="EV10" s="484"/>
      <c r="EW10" s="484"/>
      <c r="EX10" s="484"/>
      <c r="EY10" s="484"/>
      <c r="EZ10" s="484"/>
      <c r="FA10" s="484"/>
      <c r="FB10" s="484"/>
      <c r="FC10" s="484"/>
      <c r="FD10" s="484"/>
      <c r="FE10" s="484"/>
      <c r="FF10" s="484"/>
      <c r="FG10" s="484"/>
      <c r="FH10" s="484"/>
      <c r="FI10" s="484"/>
      <c r="FJ10" s="484"/>
      <c r="FK10" s="484"/>
      <c r="FL10" s="484"/>
      <c r="FM10" s="484"/>
      <c r="FN10" s="484"/>
      <c r="FO10" s="484"/>
      <c r="FP10" s="484"/>
      <c r="FQ10" s="484"/>
      <c r="FR10" s="484"/>
      <c r="FS10" s="484"/>
      <c r="FT10" s="484"/>
      <c r="FU10" s="484"/>
      <c r="FV10" s="484"/>
      <c r="FW10" s="484"/>
      <c r="FX10" s="484"/>
      <c r="FY10" s="484"/>
      <c r="FZ10" s="484"/>
      <c r="GA10" s="484"/>
      <c r="GB10" s="484"/>
      <c r="GC10" s="484"/>
      <c r="GD10" s="484"/>
      <c r="GE10" s="484"/>
      <c r="GF10" s="484"/>
      <c r="GG10" s="484"/>
      <c r="GH10" s="484"/>
      <c r="GI10" s="484"/>
      <c r="GJ10" s="484"/>
      <c r="GK10" s="484"/>
      <c r="GL10" s="484"/>
      <c r="GM10" s="484"/>
      <c r="GN10" s="484"/>
      <c r="GO10" s="484"/>
      <c r="GP10" s="484"/>
      <c r="GQ10" s="484"/>
      <c r="GR10" s="484"/>
      <c r="GS10" s="484"/>
      <c r="GT10" s="484"/>
      <c r="GU10" s="484"/>
      <c r="GV10" s="484"/>
      <c r="GW10" s="484"/>
      <c r="GX10" s="484"/>
      <c r="GY10" s="484"/>
      <c r="GZ10" s="484"/>
      <c r="HA10" s="484"/>
      <c r="HB10" s="484"/>
      <c r="HC10" s="484"/>
      <c r="HD10" s="484"/>
      <c r="HE10" s="484"/>
      <c r="HF10" s="484"/>
      <c r="HG10" s="484"/>
      <c r="HH10" s="484"/>
      <c r="HI10" s="484"/>
      <c r="HJ10" s="484"/>
      <c r="HK10" s="484"/>
      <c r="HL10" s="484"/>
      <c r="HM10" s="484"/>
      <c r="HN10" s="484"/>
      <c r="HO10" s="484"/>
      <c r="HP10" s="484"/>
      <c r="HQ10" s="484"/>
      <c r="HR10" s="484"/>
      <c r="HS10" s="484"/>
      <c r="HT10" s="484"/>
      <c r="HU10" s="484"/>
      <c r="HV10" s="484"/>
      <c r="HW10" s="484"/>
      <c r="HX10" s="484"/>
      <c r="HY10" s="484"/>
      <c r="HZ10" s="484"/>
      <c r="IA10" s="484"/>
      <c r="IB10" s="484"/>
      <c r="IC10" s="484"/>
      <c r="ID10" s="484"/>
      <c r="IE10" s="484"/>
      <c r="IF10" s="484"/>
      <c r="IG10" s="484"/>
      <c r="IH10" s="484"/>
      <c r="II10" s="484"/>
      <c r="IJ10" s="484"/>
      <c r="IK10" s="484"/>
      <c r="IL10" s="484"/>
      <c r="IM10" s="484"/>
      <c r="IN10" s="484"/>
      <c r="IO10" s="484"/>
      <c r="IP10" s="484"/>
      <c r="IQ10" s="484"/>
      <c r="IR10" s="484"/>
      <c r="IS10" s="484"/>
      <c r="IT10" s="484"/>
      <c r="IU10" s="484"/>
      <c r="IV10" s="484"/>
    </row>
    <row r="11" spans="1:256">
      <c r="A11" s="224" t="s">
        <v>84</v>
      </c>
      <c r="B11" s="629" t="s">
        <v>931</v>
      </c>
      <c r="C11" s="629"/>
      <c r="D11" s="273"/>
    </row>
    <row r="12" spans="1:256" ht="33.75" customHeight="1">
      <c r="A12" s="224">
        <v>1</v>
      </c>
      <c r="B12" s="628" t="s">
        <v>1308</v>
      </c>
      <c r="C12" s="628"/>
      <c r="D12" s="474">
        <f>'Sch-3A Sch-Civil'!O241</f>
        <v>11669513.474576265</v>
      </c>
      <c r="E12" s="485"/>
    </row>
    <row r="13" spans="1:256">
      <c r="A13" s="224" t="s">
        <v>87</v>
      </c>
      <c r="B13" s="629" t="s">
        <v>932</v>
      </c>
      <c r="C13" s="629"/>
      <c r="D13" s="273"/>
    </row>
    <row r="14" spans="1:256" ht="30.75" customHeight="1">
      <c r="A14" s="224">
        <v>1</v>
      </c>
      <c r="B14" s="628" t="s">
        <v>1309</v>
      </c>
      <c r="C14" s="628"/>
      <c r="D14" s="273">
        <f>'Sch-3B NS-Civil'!M42</f>
        <v>0</v>
      </c>
    </row>
    <row r="15" spans="1:256">
      <c r="A15" s="224" t="s">
        <v>89</v>
      </c>
      <c r="B15" s="629" t="s">
        <v>933</v>
      </c>
      <c r="C15" s="629"/>
      <c r="D15" s="474"/>
      <c r="E15" s="485"/>
    </row>
    <row r="16" spans="1:256" ht="30.75" customHeight="1">
      <c r="A16" s="224">
        <v>1</v>
      </c>
      <c r="B16" s="628" t="s">
        <v>1311</v>
      </c>
      <c r="C16" s="628"/>
      <c r="D16" s="475">
        <f>'Sch-3C Sch-Horticullture'!O28</f>
        <v>49108.4</v>
      </c>
      <c r="E16" s="485"/>
    </row>
    <row r="17" spans="1:9">
      <c r="A17" s="224" t="s">
        <v>92</v>
      </c>
      <c r="B17" s="629" t="s">
        <v>934</v>
      </c>
      <c r="C17" s="629"/>
      <c r="D17" s="474"/>
      <c r="E17" s="485"/>
    </row>
    <row r="18" spans="1:9" ht="31.5" customHeight="1">
      <c r="A18" s="224">
        <v>1</v>
      </c>
      <c r="B18" s="628" t="s">
        <v>1310</v>
      </c>
      <c r="C18" s="628"/>
      <c r="D18" s="475">
        <f>'Sch-3D Sch-Electrical'!O49</f>
        <v>326514.68654099072</v>
      </c>
      <c r="E18" s="485"/>
    </row>
    <row r="19" spans="1:9" ht="31.5" customHeight="1">
      <c r="A19" s="224" t="s">
        <v>95</v>
      </c>
      <c r="B19" s="629" t="s">
        <v>1307</v>
      </c>
      <c r="C19" s="629"/>
      <c r="D19" s="476"/>
      <c r="E19" s="485"/>
    </row>
    <row r="20" spans="1:9" ht="31.5" customHeight="1">
      <c r="A20" s="224">
        <v>1</v>
      </c>
      <c r="B20" s="628" t="s">
        <v>1312</v>
      </c>
      <c r="C20" s="628"/>
      <c r="D20" s="474">
        <f>'Sch-3E Non- Sch-Electrical'!M30</f>
        <v>0</v>
      </c>
      <c r="E20" s="485"/>
    </row>
    <row r="21" spans="1:9">
      <c r="A21" s="224"/>
      <c r="B21" s="486"/>
      <c r="C21" s="487"/>
      <c r="D21" s="474"/>
      <c r="E21" s="485"/>
    </row>
    <row r="22" spans="1:9" ht="35.25" customHeight="1">
      <c r="A22" s="224"/>
      <c r="B22" s="621" t="s">
        <v>935</v>
      </c>
      <c r="C22" s="623"/>
      <c r="D22" s="477">
        <f>SUM(D11:D21)</f>
        <v>12045136.561117256</v>
      </c>
      <c r="E22" s="485"/>
      <c r="I22" s="488"/>
    </row>
    <row r="23" spans="1:9">
      <c r="A23" s="224"/>
      <c r="B23" s="621"/>
      <c r="C23" s="623"/>
      <c r="D23" s="474"/>
      <c r="E23" s="485"/>
    </row>
    <row r="24" spans="1:9" ht="45.75" customHeight="1">
      <c r="A24" s="478"/>
      <c r="B24" s="626" t="s">
        <v>936</v>
      </c>
      <c r="C24" s="627"/>
      <c r="D24" s="477">
        <f>'Sch5 taxes'!D16</f>
        <v>2168139.5810011062</v>
      </c>
    </row>
    <row r="25" spans="1:9">
      <c r="A25" s="224"/>
      <c r="B25" s="479"/>
      <c r="C25" s="480"/>
      <c r="D25" s="474"/>
    </row>
    <row r="26" spans="1:9">
      <c r="A26" s="224"/>
      <c r="B26" s="624" t="s">
        <v>937</v>
      </c>
      <c r="C26" s="624"/>
      <c r="D26" s="285">
        <f>D22+D24</f>
        <v>14213276.142118363</v>
      </c>
    </row>
    <row r="27" spans="1:9">
      <c r="A27" s="481"/>
      <c r="B27" s="471"/>
      <c r="C27" s="471"/>
      <c r="D27" s="471"/>
      <c r="I27" s="485"/>
    </row>
    <row r="28" spans="1:9">
      <c r="A28" s="459"/>
    </row>
    <row r="29" spans="1:9">
      <c r="A29" s="459" t="s">
        <v>474</v>
      </c>
      <c r="B29" s="489" t="e">
        <f>+#REF!</f>
        <v>#REF!</v>
      </c>
      <c r="C29" s="300" t="s">
        <v>475</v>
      </c>
      <c r="D29" s="472" t="e">
        <f>#REF!</f>
        <v>#REF!</v>
      </c>
    </row>
    <row r="30" spans="1:9">
      <c r="A30" s="463" t="s">
        <v>476</v>
      </c>
      <c r="B30" s="464" t="e">
        <f>+#REF!</f>
        <v>#REF!</v>
      </c>
      <c r="C30" s="473" t="s">
        <v>477</v>
      </c>
      <c r="D30" s="472" t="e">
        <f>#REF!</f>
        <v>#REF!</v>
      </c>
    </row>
  </sheetData>
  <sheetProtection password="DC2B" sheet="1" objects="1" scenarios="1"/>
  <mergeCells count="21">
    <mergeCell ref="B14:C14"/>
    <mergeCell ref="B15:C15"/>
    <mergeCell ref="B9:C9"/>
    <mergeCell ref="A1:D1"/>
    <mergeCell ref="A2:D2"/>
    <mergeCell ref="A3:B3"/>
    <mergeCell ref="C3:D3"/>
    <mergeCell ref="A8:B8"/>
    <mergeCell ref="B10:C10"/>
    <mergeCell ref="B11:C11"/>
    <mergeCell ref="B12:C12"/>
    <mergeCell ref="B13:C13"/>
    <mergeCell ref="B24:C24"/>
    <mergeCell ref="B16:C16"/>
    <mergeCell ref="B26:C26"/>
    <mergeCell ref="B18:C18"/>
    <mergeCell ref="B20:C20"/>
    <mergeCell ref="B22:C22"/>
    <mergeCell ref="B17:C17"/>
    <mergeCell ref="B23:C23"/>
    <mergeCell ref="B19:C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4A01F-A343-4F41-B673-F851E4259920}">
  <dimension ref="A1:K134"/>
  <sheetViews>
    <sheetView zoomScale="115" zoomScaleNormal="115" workbookViewId="0">
      <selection activeCell="C5" sqref="C5"/>
    </sheetView>
  </sheetViews>
  <sheetFormatPr defaultRowHeight="12.75"/>
  <cols>
    <col min="1" max="2" width="9.140625" style="362"/>
    <col min="3" max="3" width="83" style="362" customWidth="1"/>
    <col min="4" max="4" width="75.5703125" style="362" customWidth="1"/>
    <col min="5" max="258" width="9.140625" style="361"/>
    <col min="259" max="259" width="83" style="361" customWidth="1"/>
    <col min="260" max="260" width="75.5703125" style="361" customWidth="1"/>
    <col min="261" max="514" width="9.140625" style="361"/>
    <col min="515" max="515" width="83" style="361" customWidth="1"/>
    <col min="516" max="516" width="75.5703125" style="361" customWidth="1"/>
    <col min="517" max="770" width="9.140625" style="361"/>
    <col min="771" max="771" width="83" style="361" customWidth="1"/>
    <col min="772" max="772" width="75.5703125" style="361" customWidth="1"/>
    <col min="773" max="1026" width="9.140625" style="361"/>
    <col min="1027" max="1027" width="83" style="361" customWidth="1"/>
    <col min="1028" max="1028" width="75.5703125" style="361" customWidth="1"/>
    <col min="1029" max="1282" width="9.140625" style="361"/>
    <col min="1283" max="1283" width="83" style="361" customWidth="1"/>
    <col min="1284" max="1284" width="75.5703125" style="361" customWidth="1"/>
    <col min="1285" max="1538" width="9.140625" style="361"/>
    <col min="1539" max="1539" width="83" style="361" customWidth="1"/>
    <col min="1540" max="1540" width="75.5703125" style="361" customWidth="1"/>
    <col min="1541" max="1794" width="9.140625" style="361"/>
    <col min="1795" max="1795" width="83" style="361" customWidth="1"/>
    <col min="1796" max="1796" width="75.5703125" style="361" customWidth="1"/>
    <col min="1797" max="2050" width="9.140625" style="361"/>
    <col min="2051" max="2051" width="83" style="361" customWidth="1"/>
    <col min="2052" max="2052" width="75.5703125" style="361" customWidth="1"/>
    <col min="2053" max="2306" width="9.140625" style="361"/>
    <col min="2307" max="2307" width="83" style="361" customWidth="1"/>
    <col min="2308" max="2308" width="75.5703125" style="361" customWidth="1"/>
    <col min="2309" max="2562" width="9.140625" style="361"/>
    <col min="2563" max="2563" width="83" style="361" customWidth="1"/>
    <col min="2564" max="2564" width="75.5703125" style="361" customWidth="1"/>
    <col min="2565" max="2818" width="9.140625" style="361"/>
    <col min="2819" max="2819" width="83" style="361" customWidth="1"/>
    <col min="2820" max="2820" width="75.5703125" style="361" customWidth="1"/>
    <col min="2821" max="3074" width="9.140625" style="361"/>
    <col min="3075" max="3075" width="83" style="361" customWidth="1"/>
    <col min="3076" max="3076" width="75.5703125" style="361" customWidth="1"/>
    <col min="3077" max="3330" width="9.140625" style="361"/>
    <col min="3331" max="3331" width="83" style="361" customWidth="1"/>
    <col min="3332" max="3332" width="75.5703125" style="361" customWidth="1"/>
    <col min="3333" max="3586" width="9.140625" style="361"/>
    <col min="3587" max="3587" width="83" style="361" customWidth="1"/>
    <col min="3588" max="3588" width="75.5703125" style="361" customWidth="1"/>
    <col min="3589" max="3842" width="9.140625" style="361"/>
    <col min="3843" max="3843" width="83" style="361" customWidth="1"/>
    <col min="3844" max="3844" width="75.5703125" style="361" customWidth="1"/>
    <col min="3845" max="4098" width="9.140625" style="361"/>
    <col min="4099" max="4099" width="83" style="361" customWidth="1"/>
    <col min="4100" max="4100" width="75.5703125" style="361" customWidth="1"/>
    <col min="4101" max="4354" width="9.140625" style="361"/>
    <col min="4355" max="4355" width="83" style="361" customWidth="1"/>
    <col min="4356" max="4356" width="75.5703125" style="361" customWidth="1"/>
    <col min="4357" max="4610" width="9.140625" style="361"/>
    <col min="4611" max="4611" width="83" style="361" customWidth="1"/>
    <col min="4612" max="4612" width="75.5703125" style="361" customWidth="1"/>
    <col min="4613" max="4866" width="9.140625" style="361"/>
    <col min="4867" max="4867" width="83" style="361" customWidth="1"/>
    <col min="4868" max="4868" width="75.5703125" style="361" customWidth="1"/>
    <col min="4869" max="5122" width="9.140625" style="361"/>
    <col min="5123" max="5123" width="83" style="361" customWidth="1"/>
    <col min="5124" max="5124" width="75.5703125" style="361" customWidth="1"/>
    <col min="5125" max="5378" width="9.140625" style="361"/>
    <col min="5379" max="5379" width="83" style="361" customWidth="1"/>
    <col min="5380" max="5380" width="75.5703125" style="361" customWidth="1"/>
    <col min="5381" max="5634" width="9.140625" style="361"/>
    <col min="5635" max="5635" width="83" style="361" customWidth="1"/>
    <col min="5636" max="5636" width="75.5703125" style="361" customWidth="1"/>
    <col min="5637" max="5890" width="9.140625" style="361"/>
    <col min="5891" max="5891" width="83" style="361" customWidth="1"/>
    <col min="5892" max="5892" width="75.5703125" style="361" customWidth="1"/>
    <col min="5893" max="6146" width="9.140625" style="361"/>
    <col min="6147" max="6147" width="83" style="361" customWidth="1"/>
    <col min="6148" max="6148" width="75.5703125" style="361" customWidth="1"/>
    <col min="6149" max="6402" width="9.140625" style="361"/>
    <col min="6403" max="6403" width="83" style="361" customWidth="1"/>
    <col min="6404" max="6404" width="75.5703125" style="361" customWidth="1"/>
    <col min="6405" max="6658" width="9.140625" style="361"/>
    <col min="6659" max="6659" width="83" style="361" customWidth="1"/>
    <col min="6660" max="6660" width="75.5703125" style="361" customWidth="1"/>
    <col min="6661" max="6914" width="9.140625" style="361"/>
    <col min="6915" max="6915" width="83" style="361" customWidth="1"/>
    <col min="6916" max="6916" width="75.5703125" style="361" customWidth="1"/>
    <col min="6917" max="7170" width="9.140625" style="361"/>
    <col min="7171" max="7171" width="83" style="361" customWidth="1"/>
    <col min="7172" max="7172" width="75.5703125" style="361" customWidth="1"/>
    <col min="7173" max="7426" width="9.140625" style="361"/>
    <col min="7427" max="7427" width="83" style="361" customWidth="1"/>
    <col min="7428" max="7428" width="75.5703125" style="361" customWidth="1"/>
    <col min="7429" max="7682" width="9.140625" style="361"/>
    <col min="7683" max="7683" width="83" style="361" customWidth="1"/>
    <col min="7684" max="7684" width="75.5703125" style="361" customWidth="1"/>
    <col min="7685" max="7938" width="9.140625" style="361"/>
    <col min="7939" max="7939" width="83" style="361" customWidth="1"/>
    <col min="7940" max="7940" width="75.5703125" style="361" customWidth="1"/>
    <col min="7941" max="8194" width="9.140625" style="361"/>
    <col min="8195" max="8195" width="83" style="361" customWidth="1"/>
    <col min="8196" max="8196" width="75.5703125" style="361" customWidth="1"/>
    <col min="8197" max="8450" width="9.140625" style="361"/>
    <col min="8451" max="8451" width="83" style="361" customWidth="1"/>
    <col min="8452" max="8452" width="75.5703125" style="361" customWidth="1"/>
    <col min="8453" max="8706" width="9.140625" style="361"/>
    <col min="8707" max="8707" width="83" style="361" customWidth="1"/>
    <col min="8708" max="8708" width="75.5703125" style="361" customWidth="1"/>
    <col min="8709" max="8962" width="9.140625" style="361"/>
    <col min="8963" max="8963" width="83" style="361" customWidth="1"/>
    <col min="8964" max="8964" width="75.5703125" style="361" customWidth="1"/>
    <col min="8965" max="9218" width="9.140625" style="361"/>
    <col min="9219" max="9219" width="83" style="361" customWidth="1"/>
    <col min="9220" max="9220" width="75.5703125" style="361" customWidth="1"/>
    <col min="9221" max="9474" width="9.140625" style="361"/>
    <col min="9475" max="9475" width="83" style="361" customWidth="1"/>
    <col min="9476" max="9476" width="75.5703125" style="361" customWidth="1"/>
    <col min="9477" max="9730" width="9.140625" style="361"/>
    <col min="9731" max="9731" width="83" style="361" customWidth="1"/>
    <col min="9732" max="9732" width="75.5703125" style="361" customWidth="1"/>
    <col min="9733" max="9986" width="9.140625" style="361"/>
    <col min="9987" max="9987" width="83" style="361" customWidth="1"/>
    <col min="9988" max="9988" width="75.5703125" style="361" customWidth="1"/>
    <col min="9989" max="10242" width="9.140625" style="361"/>
    <col min="10243" max="10243" width="83" style="361" customWidth="1"/>
    <col min="10244" max="10244" width="75.5703125" style="361" customWidth="1"/>
    <col min="10245" max="10498" width="9.140625" style="361"/>
    <col min="10499" max="10499" width="83" style="361" customWidth="1"/>
    <col min="10500" max="10500" width="75.5703125" style="361" customWidth="1"/>
    <col min="10501" max="10754" width="9.140625" style="361"/>
    <col min="10755" max="10755" width="83" style="361" customWidth="1"/>
    <col min="10756" max="10756" width="75.5703125" style="361" customWidth="1"/>
    <col min="10757" max="11010" width="9.140625" style="361"/>
    <col min="11011" max="11011" width="83" style="361" customWidth="1"/>
    <col min="11012" max="11012" width="75.5703125" style="361" customWidth="1"/>
    <col min="11013" max="11266" width="9.140625" style="361"/>
    <col min="11267" max="11267" width="83" style="361" customWidth="1"/>
    <col min="11268" max="11268" width="75.5703125" style="361" customWidth="1"/>
    <col min="11269" max="11522" width="9.140625" style="361"/>
    <col min="11523" max="11523" width="83" style="361" customWidth="1"/>
    <col min="11524" max="11524" width="75.5703125" style="361" customWidth="1"/>
    <col min="11525" max="11778" width="9.140625" style="361"/>
    <col min="11779" max="11779" width="83" style="361" customWidth="1"/>
    <col min="11780" max="11780" width="75.5703125" style="361" customWidth="1"/>
    <col min="11781" max="12034" width="9.140625" style="361"/>
    <col min="12035" max="12035" width="83" style="361" customWidth="1"/>
    <col min="12036" max="12036" width="75.5703125" style="361" customWidth="1"/>
    <col min="12037" max="12290" width="9.140625" style="361"/>
    <col min="12291" max="12291" width="83" style="361" customWidth="1"/>
    <col min="12292" max="12292" width="75.5703125" style="361" customWidth="1"/>
    <col min="12293" max="12546" width="9.140625" style="361"/>
    <col min="12547" max="12547" width="83" style="361" customWidth="1"/>
    <col min="12548" max="12548" width="75.5703125" style="361" customWidth="1"/>
    <col min="12549" max="12802" width="9.140625" style="361"/>
    <col min="12803" max="12803" width="83" style="361" customWidth="1"/>
    <col min="12804" max="12804" width="75.5703125" style="361" customWidth="1"/>
    <col min="12805" max="13058" width="9.140625" style="361"/>
    <col min="13059" max="13059" width="83" style="361" customWidth="1"/>
    <col min="13060" max="13060" width="75.5703125" style="361" customWidth="1"/>
    <col min="13061" max="13314" width="9.140625" style="361"/>
    <col min="13315" max="13315" width="83" style="361" customWidth="1"/>
    <col min="13316" max="13316" width="75.5703125" style="361" customWidth="1"/>
    <col min="13317" max="13570" width="9.140625" style="361"/>
    <col min="13571" max="13571" width="83" style="361" customWidth="1"/>
    <col min="13572" max="13572" width="75.5703125" style="361" customWidth="1"/>
    <col min="13573" max="13826" width="9.140625" style="361"/>
    <col min="13827" max="13827" width="83" style="361" customWidth="1"/>
    <col min="13828" max="13828" width="75.5703125" style="361" customWidth="1"/>
    <col min="13829" max="14082" width="9.140625" style="361"/>
    <col min="14083" max="14083" width="83" style="361" customWidth="1"/>
    <col min="14084" max="14084" width="75.5703125" style="361" customWidth="1"/>
    <col min="14085" max="14338" width="9.140625" style="361"/>
    <col min="14339" max="14339" width="83" style="361" customWidth="1"/>
    <col min="14340" max="14340" width="75.5703125" style="361" customWidth="1"/>
    <col min="14341" max="14594" width="9.140625" style="361"/>
    <col min="14595" max="14595" width="83" style="361" customWidth="1"/>
    <col min="14596" max="14596" width="75.5703125" style="361" customWidth="1"/>
    <col min="14597" max="14850" width="9.140625" style="361"/>
    <col min="14851" max="14851" width="83" style="361" customWidth="1"/>
    <col min="14852" max="14852" width="75.5703125" style="361" customWidth="1"/>
    <col min="14853" max="15106" width="9.140625" style="361"/>
    <col min="15107" max="15107" width="83" style="361" customWidth="1"/>
    <col min="15108" max="15108" width="75.5703125" style="361" customWidth="1"/>
    <col min="15109" max="15362" width="9.140625" style="361"/>
    <col min="15363" max="15363" width="83" style="361" customWidth="1"/>
    <col min="15364" max="15364" width="75.5703125" style="361" customWidth="1"/>
    <col min="15365" max="15618" width="9.140625" style="361"/>
    <col min="15619" max="15619" width="83" style="361" customWidth="1"/>
    <col min="15620" max="15620" width="75.5703125" style="361" customWidth="1"/>
    <col min="15621" max="15874" width="9.140625" style="361"/>
    <col min="15875" max="15875" width="83" style="361" customWidth="1"/>
    <col min="15876" max="15876" width="75.5703125" style="361" customWidth="1"/>
    <col min="15877" max="16130" width="9.140625" style="361"/>
    <col min="16131" max="16131" width="83" style="361" customWidth="1"/>
    <col min="16132" max="16132" width="75.5703125" style="361" customWidth="1"/>
    <col min="16133" max="16384" width="9.140625" style="361"/>
  </cols>
  <sheetData>
    <row r="1" spans="1:11" ht="38.25" customHeight="1">
      <c r="A1" s="509" t="s">
        <v>994</v>
      </c>
      <c r="B1" s="509"/>
      <c r="C1" s="509"/>
      <c r="D1" s="359"/>
      <c r="E1" s="360"/>
      <c r="F1" s="360"/>
      <c r="G1" s="360"/>
      <c r="H1" s="360"/>
      <c r="I1" s="360"/>
      <c r="J1" s="360"/>
      <c r="K1" s="360"/>
    </row>
    <row r="2" spans="1:11" ht="18" customHeight="1">
      <c r="D2" s="363"/>
    </row>
    <row r="3" spans="1:11" ht="18" customHeight="1">
      <c r="A3" s="364" t="s">
        <v>105</v>
      </c>
      <c r="B3" s="362" t="s">
        <v>938</v>
      </c>
      <c r="D3" s="365"/>
      <c r="E3" s="366"/>
      <c r="F3" s="366"/>
      <c r="G3" s="366"/>
      <c r="H3" s="366"/>
      <c r="I3" s="366"/>
      <c r="J3" s="366"/>
      <c r="K3" s="366"/>
    </row>
    <row r="4" spans="1:11" ht="18" customHeight="1">
      <c r="B4" s="367" t="s">
        <v>135</v>
      </c>
      <c r="C4" s="368" t="s">
        <v>939</v>
      </c>
      <c r="D4" s="365"/>
      <c r="E4" s="366"/>
      <c r="F4" s="366"/>
      <c r="G4" s="366"/>
      <c r="H4" s="366"/>
      <c r="I4" s="366"/>
      <c r="J4" s="366"/>
      <c r="K4" s="366"/>
    </row>
    <row r="5" spans="1:11" ht="38.1" customHeight="1">
      <c r="B5" s="367" t="s">
        <v>138</v>
      </c>
      <c r="C5" s="368" t="s">
        <v>940</v>
      </c>
      <c r="D5" s="365"/>
      <c r="E5" s="366"/>
      <c r="F5" s="366"/>
      <c r="G5" s="366"/>
      <c r="H5" s="366"/>
      <c r="I5" s="366"/>
      <c r="J5" s="366"/>
      <c r="K5" s="366"/>
    </row>
    <row r="6" spans="1:11" ht="18" customHeight="1">
      <c r="B6" s="367" t="s">
        <v>941</v>
      </c>
      <c r="C6" s="368" t="s">
        <v>942</v>
      </c>
      <c r="D6" s="365"/>
      <c r="E6" s="366"/>
      <c r="F6" s="366"/>
      <c r="G6" s="366"/>
      <c r="H6" s="366"/>
      <c r="I6" s="366"/>
      <c r="J6" s="366"/>
      <c r="K6" s="366"/>
    </row>
    <row r="7" spans="1:11" ht="18" customHeight="1">
      <c r="B7" s="367" t="s">
        <v>943</v>
      </c>
      <c r="C7" s="368" t="s">
        <v>944</v>
      </c>
      <c r="D7" s="365"/>
      <c r="E7" s="366"/>
      <c r="F7" s="366"/>
      <c r="G7" s="366"/>
      <c r="H7" s="366"/>
      <c r="I7" s="366"/>
      <c r="J7" s="366"/>
      <c r="K7" s="366"/>
    </row>
    <row r="8" spans="1:11" ht="18" customHeight="1">
      <c r="B8" s="367" t="s">
        <v>945</v>
      </c>
      <c r="C8" s="368" t="s">
        <v>946</v>
      </c>
      <c r="D8" s="365"/>
      <c r="E8" s="366"/>
      <c r="F8" s="366"/>
      <c r="G8" s="366"/>
      <c r="H8" s="366"/>
      <c r="I8" s="366"/>
      <c r="J8" s="366"/>
      <c r="K8" s="366"/>
    </row>
    <row r="9" spans="1:11" ht="18" customHeight="1">
      <c r="B9" s="367" t="s">
        <v>947</v>
      </c>
      <c r="C9" s="368" t="s">
        <v>948</v>
      </c>
      <c r="D9" s="365"/>
      <c r="E9" s="366"/>
      <c r="F9" s="366"/>
      <c r="G9" s="366"/>
      <c r="H9" s="366"/>
      <c r="I9" s="366"/>
      <c r="J9" s="366"/>
      <c r="K9" s="366"/>
    </row>
    <row r="10" spans="1:11" ht="18" customHeight="1">
      <c r="B10" s="367"/>
      <c r="C10" s="368"/>
      <c r="D10" s="365"/>
      <c r="E10" s="366"/>
      <c r="F10" s="366"/>
      <c r="G10" s="366"/>
      <c r="H10" s="366"/>
      <c r="I10" s="366"/>
      <c r="J10" s="366"/>
      <c r="K10" s="366"/>
    </row>
    <row r="11" spans="1:11" ht="18" hidden="1" customHeight="1">
      <c r="A11" s="364" t="s">
        <v>949</v>
      </c>
      <c r="B11" s="362" t="s">
        <v>950</v>
      </c>
      <c r="D11" s="365"/>
      <c r="E11" s="366"/>
      <c r="F11" s="366"/>
      <c r="G11" s="366"/>
      <c r="H11" s="366"/>
      <c r="I11" s="366"/>
      <c r="J11" s="366"/>
      <c r="K11" s="366"/>
    </row>
    <row r="12" spans="1:11" ht="18" hidden="1" customHeight="1">
      <c r="B12" s="506" t="s">
        <v>951</v>
      </c>
      <c r="C12" s="506"/>
      <c r="D12" s="369"/>
      <c r="E12" s="366"/>
      <c r="F12" s="366"/>
      <c r="G12" s="366"/>
      <c r="H12" s="366"/>
      <c r="I12" s="366"/>
      <c r="J12" s="366"/>
      <c r="K12" s="366"/>
    </row>
    <row r="13" spans="1:11" ht="18" hidden="1" customHeight="1">
      <c r="B13" s="370"/>
      <c r="C13" s="368" t="s">
        <v>952</v>
      </c>
      <c r="D13" s="365"/>
      <c r="E13" s="366"/>
      <c r="F13" s="366"/>
      <c r="G13" s="366"/>
      <c r="H13" s="366"/>
      <c r="I13" s="366"/>
      <c r="J13" s="366"/>
      <c r="K13" s="366"/>
    </row>
    <row r="14" spans="1:11" ht="18" hidden="1" customHeight="1">
      <c r="B14" s="506" t="s">
        <v>953</v>
      </c>
      <c r="C14" s="506"/>
      <c r="D14" s="369"/>
      <c r="E14" s="366"/>
      <c r="F14" s="366"/>
      <c r="G14" s="366"/>
      <c r="H14" s="366"/>
      <c r="I14" s="366"/>
      <c r="J14" s="366"/>
      <c r="K14" s="366"/>
    </row>
    <row r="15" spans="1:11" ht="38.1" hidden="1" customHeight="1">
      <c r="B15" s="371" t="s">
        <v>954</v>
      </c>
      <c r="C15" s="368" t="s">
        <v>955</v>
      </c>
      <c r="D15" s="365"/>
      <c r="E15" s="366"/>
      <c r="F15" s="366"/>
      <c r="G15" s="366"/>
      <c r="H15" s="366"/>
      <c r="I15" s="366"/>
      <c r="J15" s="366"/>
      <c r="K15" s="366"/>
    </row>
    <row r="16" spans="1:11" ht="24.75" hidden="1" customHeight="1">
      <c r="B16" s="371" t="s">
        <v>954</v>
      </c>
      <c r="C16" s="368" t="s">
        <v>956</v>
      </c>
      <c r="D16" s="365"/>
      <c r="E16" s="366"/>
      <c r="F16" s="366"/>
      <c r="G16" s="366"/>
      <c r="H16" s="366"/>
      <c r="I16" s="366"/>
      <c r="J16" s="366"/>
      <c r="K16" s="366"/>
    </row>
    <row r="17" spans="2:11" ht="42" hidden="1" customHeight="1">
      <c r="B17" s="371" t="s">
        <v>954</v>
      </c>
      <c r="C17" s="368" t="s">
        <v>1450</v>
      </c>
      <c r="D17" s="365"/>
      <c r="E17" s="366"/>
      <c r="F17" s="366"/>
      <c r="G17" s="366"/>
      <c r="H17" s="366"/>
      <c r="I17" s="366"/>
      <c r="J17" s="366"/>
      <c r="K17" s="366"/>
    </row>
    <row r="18" spans="2:11" ht="18" hidden="1" customHeight="1">
      <c r="B18" s="371" t="s">
        <v>954</v>
      </c>
      <c r="C18" s="368" t="s">
        <v>957</v>
      </c>
      <c r="D18" s="365"/>
      <c r="E18" s="366"/>
      <c r="F18" s="366"/>
      <c r="G18" s="366"/>
      <c r="H18" s="366"/>
      <c r="I18" s="366"/>
      <c r="J18" s="366"/>
      <c r="K18" s="366"/>
    </row>
    <row r="19" spans="2:11" ht="18" hidden="1" customHeight="1">
      <c r="B19" s="371" t="s">
        <v>954</v>
      </c>
      <c r="C19" s="368" t="s">
        <v>958</v>
      </c>
      <c r="D19" s="365"/>
      <c r="E19" s="366"/>
      <c r="F19" s="366"/>
      <c r="G19" s="366"/>
      <c r="H19" s="366"/>
      <c r="I19" s="366"/>
      <c r="J19" s="366"/>
      <c r="K19" s="366"/>
    </row>
    <row r="20" spans="2:11" ht="18" hidden="1" customHeight="1">
      <c r="B20" s="371" t="s">
        <v>954</v>
      </c>
      <c r="C20" s="368" t="s">
        <v>959</v>
      </c>
      <c r="D20" s="365"/>
      <c r="E20" s="366"/>
      <c r="F20" s="366"/>
      <c r="G20" s="366"/>
      <c r="H20" s="366"/>
      <c r="I20" s="366"/>
      <c r="J20" s="366"/>
      <c r="K20" s="366"/>
    </row>
    <row r="21" spans="2:11" ht="18" hidden="1" customHeight="1">
      <c r="B21" s="506" t="s">
        <v>960</v>
      </c>
      <c r="C21" s="506"/>
      <c r="D21" s="365"/>
      <c r="E21" s="366"/>
      <c r="F21" s="366"/>
      <c r="G21" s="366"/>
      <c r="H21" s="366"/>
      <c r="I21" s="366"/>
      <c r="J21" s="366"/>
      <c r="K21" s="366"/>
    </row>
    <row r="22" spans="2:11" ht="18" hidden="1" customHeight="1">
      <c r="B22" s="371" t="s">
        <v>954</v>
      </c>
      <c r="C22" s="368" t="s">
        <v>961</v>
      </c>
      <c r="D22" s="365"/>
      <c r="E22" s="366"/>
      <c r="F22" s="366"/>
      <c r="G22" s="366"/>
      <c r="H22" s="366"/>
      <c r="I22" s="366"/>
      <c r="J22" s="366"/>
      <c r="K22" s="366"/>
    </row>
    <row r="23" spans="2:11" ht="18" hidden="1" customHeight="1">
      <c r="B23" s="371" t="s">
        <v>954</v>
      </c>
      <c r="C23" s="368" t="s">
        <v>962</v>
      </c>
      <c r="D23" s="365"/>
      <c r="E23" s="366"/>
      <c r="F23" s="366"/>
      <c r="G23" s="366"/>
      <c r="H23" s="366"/>
      <c r="I23" s="366"/>
      <c r="J23" s="366"/>
      <c r="K23" s="366"/>
    </row>
    <row r="24" spans="2:11" ht="45.75" hidden="1" customHeight="1">
      <c r="B24" s="505" t="s">
        <v>963</v>
      </c>
      <c r="C24" s="505"/>
      <c r="D24" s="365"/>
      <c r="E24" s="366"/>
      <c r="F24" s="366"/>
      <c r="G24" s="366"/>
      <c r="H24" s="366"/>
      <c r="I24" s="366"/>
      <c r="J24" s="366"/>
      <c r="K24" s="366"/>
    </row>
    <row r="25" spans="2:11" ht="18" hidden="1" customHeight="1">
      <c r="B25" s="371" t="s">
        <v>954</v>
      </c>
      <c r="C25" s="372" t="s">
        <v>1451</v>
      </c>
      <c r="D25" s="365"/>
      <c r="E25" s="366"/>
      <c r="F25" s="366"/>
      <c r="G25" s="366"/>
      <c r="H25" s="366"/>
      <c r="I25" s="366"/>
      <c r="J25" s="366"/>
      <c r="K25" s="366"/>
    </row>
    <row r="26" spans="2:11" ht="18" hidden="1" customHeight="1">
      <c r="B26" s="371" t="s">
        <v>954</v>
      </c>
      <c r="C26" s="368" t="s">
        <v>964</v>
      </c>
      <c r="D26" s="365"/>
      <c r="E26" s="366"/>
      <c r="F26" s="366"/>
      <c r="G26" s="366"/>
      <c r="H26" s="366"/>
      <c r="I26" s="366"/>
      <c r="J26" s="366"/>
      <c r="K26" s="366"/>
    </row>
    <row r="27" spans="2:11" ht="35.25" hidden="1" customHeight="1">
      <c r="B27" s="505" t="s">
        <v>965</v>
      </c>
      <c r="C27" s="505"/>
      <c r="D27" s="365"/>
      <c r="E27" s="366"/>
      <c r="F27" s="366"/>
      <c r="G27" s="366"/>
      <c r="H27" s="366"/>
      <c r="I27" s="366"/>
      <c r="J27" s="366"/>
      <c r="K27" s="366"/>
    </row>
    <row r="28" spans="2:11" ht="18" hidden="1" customHeight="1">
      <c r="B28" s="371" t="s">
        <v>954</v>
      </c>
      <c r="C28" s="368" t="s">
        <v>1452</v>
      </c>
      <c r="D28" s="365"/>
      <c r="E28" s="366"/>
      <c r="F28" s="366"/>
      <c r="G28" s="366"/>
      <c r="H28" s="366"/>
      <c r="I28" s="366"/>
      <c r="J28" s="366"/>
      <c r="K28" s="366"/>
    </row>
    <row r="29" spans="2:11" ht="18" hidden="1" customHeight="1">
      <c r="B29" s="371" t="s">
        <v>954</v>
      </c>
      <c r="C29" s="368" t="s">
        <v>964</v>
      </c>
      <c r="D29" s="365"/>
      <c r="E29" s="366"/>
      <c r="F29" s="366"/>
      <c r="G29" s="366"/>
      <c r="H29" s="366"/>
      <c r="I29" s="366"/>
      <c r="J29" s="366"/>
      <c r="K29" s="366"/>
    </row>
    <row r="30" spans="2:11" ht="18" hidden="1" customHeight="1">
      <c r="B30" s="371" t="s">
        <v>954</v>
      </c>
      <c r="C30" s="368" t="s">
        <v>966</v>
      </c>
      <c r="D30" s="365"/>
      <c r="E30" s="366"/>
      <c r="F30" s="366"/>
      <c r="G30" s="366"/>
      <c r="H30" s="366"/>
      <c r="I30" s="366"/>
      <c r="J30" s="366"/>
      <c r="K30" s="366"/>
    </row>
    <row r="31" spans="2:11" ht="42" hidden="1" customHeight="1">
      <c r="B31" s="505" t="s">
        <v>967</v>
      </c>
      <c r="C31" s="505"/>
      <c r="D31" s="365"/>
      <c r="E31" s="366"/>
      <c r="F31" s="366"/>
      <c r="G31" s="366"/>
      <c r="H31" s="366"/>
      <c r="I31" s="366"/>
      <c r="J31" s="366"/>
      <c r="K31" s="366"/>
    </row>
    <row r="32" spans="2:11" ht="18" hidden="1" customHeight="1">
      <c r="B32" s="371" t="s">
        <v>954</v>
      </c>
      <c r="C32" s="372" t="s">
        <v>1451</v>
      </c>
      <c r="D32" s="365"/>
      <c r="E32" s="366"/>
      <c r="F32" s="366"/>
      <c r="G32" s="366"/>
      <c r="H32" s="366"/>
      <c r="I32" s="366"/>
      <c r="J32" s="366"/>
      <c r="K32" s="366"/>
    </row>
    <row r="33" spans="2:11" ht="18" hidden="1" customHeight="1">
      <c r="B33" s="371" t="s">
        <v>954</v>
      </c>
      <c r="C33" s="368" t="s">
        <v>964</v>
      </c>
      <c r="D33" s="365"/>
      <c r="E33" s="366"/>
      <c r="F33" s="366"/>
      <c r="G33" s="366"/>
      <c r="H33" s="366"/>
      <c r="I33" s="366"/>
      <c r="J33" s="366"/>
      <c r="K33" s="366"/>
    </row>
    <row r="34" spans="2:11" ht="30.75" hidden="1" customHeight="1">
      <c r="B34" s="505" t="s">
        <v>968</v>
      </c>
      <c r="C34" s="505"/>
      <c r="D34" s="365"/>
      <c r="E34" s="366"/>
      <c r="F34" s="366"/>
      <c r="G34" s="366"/>
      <c r="H34" s="366"/>
      <c r="I34" s="366"/>
      <c r="J34" s="366"/>
      <c r="K34" s="366"/>
    </row>
    <row r="35" spans="2:11" ht="18" hidden="1" customHeight="1">
      <c r="B35" s="371" t="s">
        <v>954</v>
      </c>
      <c r="C35" s="368" t="s">
        <v>1452</v>
      </c>
      <c r="D35" s="365"/>
      <c r="E35" s="366"/>
      <c r="F35" s="366"/>
      <c r="G35" s="366"/>
      <c r="H35" s="366"/>
      <c r="I35" s="366"/>
      <c r="J35" s="366"/>
      <c r="K35" s="366"/>
    </row>
    <row r="36" spans="2:11" ht="18" hidden="1" customHeight="1">
      <c r="B36" s="371" t="s">
        <v>954</v>
      </c>
      <c r="C36" s="368" t="s">
        <v>964</v>
      </c>
      <c r="D36" s="365"/>
      <c r="E36" s="366"/>
      <c r="F36" s="366"/>
      <c r="G36" s="366"/>
      <c r="H36" s="366"/>
      <c r="I36" s="366"/>
      <c r="J36" s="366"/>
      <c r="K36" s="366"/>
    </row>
    <row r="37" spans="2:11" ht="18" hidden="1" customHeight="1">
      <c r="B37" s="371" t="s">
        <v>954</v>
      </c>
      <c r="C37" s="368" t="s">
        <v>966</v>
      </c>
      <c r="D37" s="365"/>
      <c r="E37" s="366"/>
      <c r="F37" s="366"/>
      <c r="G37" s="366"/>
      <c r="H37" s="366"/>
      <c r="I37" s="366"/>
      <c r="J37" s="366"/>
      <c r="K37" s="366"/>
    </row>
    <row r="38" spans="2:11" ht="35.25" hidden="1" customHeight="1">
      <c r="B38" s="505" t="s">
        <v>969</v>
      </c>
      <c r="C38" s="505"/>
      <c r="D38" s="365"/>
      <c r="E38" s="366"/>
      <c r="F38" s="366"/>
      <c r="G38" s="366"/>
      <c r="H38" s="366"/>
      <c r="I38" s="366"/>
      <c r="J38" s="366"/>
      <c r="K38" s="366"/>
    </row>
    <row r="39" spans="2:11" ht="18" hidden="1" customHeight="1">
      <c r="B39" s="371" t="s">
        <v>954</v>
      </c>
      <c r="C39" s="368" t="s">
        <v>970</v>
      </c>
      <c r="D39" s="365"/>
      <c r="E39" s="366"/>
      <c r="F39" s="366"/>
      <c r="G39" s="366"/>
      <c r="H39" s="366"/>
      <c r="I39" s="366"/>
      <c r="J39" s="366"/>
      <c r="K39" s="366"/>
    </row>
    <row r="40" spans="2:11" ht="18" hidden="1" customHeight="1">
      <c r="B40" s="371" t="s">
        <v>954</v>
      </c>
      <c r="C40" s="368" t="s">
        <v>964</v>
      </c>
      <c r="D40" s="365"/>
      <c r="E40" s="366"/>
      <c r="F40" s="366"/>
      <c r="G40" s="366"/>
      <c r="H40" s="366"/>
      <c r="I40" s="366"/>
      <c r="J40" s="366"/>
      <c r="K40" s="366"/>
    </row>
    <row r="41" spans="2:11" ht="18" hidden="1" customHeight="1">
      <c r="B41" s="371" t="s">
        <v>954</v>
      </c>
      <c r="C41" s="368" t="s">
        <v>966</v>
      </c>
      <c r="D41" s="365"/>
      <c r="E41" s="366"/>
      <c r="F41" s="366"/>
      <c r="G41" s="366"/>
      <c r="H41" s="366"/>
      <c r="I41" s="366"/>
      <c r="J41" s="366"/>
      <c r="K41" s="366"/>
    </row>
    <row r="42" spans="2:11" ht="18" hidden="1" customHeight="1">
      <c r="B42" s="371"/>
      <c r="C42" s="368"/>
      <c r="D42" s="365"/>
      <c r="E42" s="366"/>
      <c r="F42" s="366"/>
      <c r="G42" s="366"/>
      <c r="H42" s="366"/>
      <c r="I42" s="366"/>
      <c r="J42" s="366"/>
      <c r="K42" s="366"/>
    </row>
    <row r="43" spans="2:11" ht="18" hidden="1" customHeight="1">
      <c r="B43" s="506" t="s">
        <v>1453</v>
      </c>
      <c r="C43" s="506"/>
      <c r="D43" s="365"/>
      <c r="E43" s="366"/>
      <c r="F43" s="366"/>
      <c r="G43" s="366"/>
      <c r="H43" s="366"/>
      <c r="I43" s="366"/>
      <c r="J43" s="366"/>
      <c r="K43" s="366"/>
    </row>
    <row r="44" spans="2:11" hidden="1">
      <c r="B44" s="371" t="s">
        <v>954</v>
      </c>
      <c r="C44" s="368" t="s">
        <v>971</v>
      </c>
      <c r="D44" s="365"/>
      <c r="E44" s="366"/>
      <c r="F44" s="366"/>
      <c r="G44" s="366"/>
      <c r="H44" s="366"/>
      <c r="I44" s="366"/>
      <c r="J44" s="366"/>
      <c r="K44" s="366"/>
    </row>
    <row r="45" spans="2:11" ht="18" hidden="1" customHeight="1">
      <c r="B45" s="371" t="s">
        <v>954</v>
      </c>
      <c r="C45" s="368" t="s">
        <v>972</v>
      </c>
      <c r="D45" s="365"/>
      <c r="E45" s="366"/>
      <c r="F45" s="366"/>
      <c r="G45" s="366"/>
      <c r="H45" s="366"/>
      <c r="I45" s="366"/>
      <c r="J45" s="366"/>
      <c r="K45" s="366"/>
    </row>
    <row r="46" spans="2:11" ht="36" hidden="1" customHeight="1">
      <c r="B46" s="371" t="s">
        <v>954</v>
      </c>
      <c r="C46" s="368" t="s">
        <v>973</v>
      </c>
    </row>
    <row r="47" spans="2:11" ht="18" hidden="1" customHeight="1">
      <c r="B47" s="371" t="s">
        <v>954</v>
      </c>
      <c r="C47" s="368" t="s">
        <v>974</v>
      </c>
      <c r="D47" s="373"/>
    </row>
    <row r="48" spans="2:11" ht="18" hidden="1" customHeight="1">
      <c r="C48" s="361"/>
      <c r="D48" s="373"/>
    </row>
    <row r="49" spans="1:3" ht="36" customHeight="1">
      <c r="A49" s="507"/>
      <c r="B49" s="507"/>
      <c r="C49" s="507"/>
    </row>
    <row r="50" spans="1:3" ht="18" customHeight="1">
      <c r="A50" s="508" t="s">
        <v>975</v>
      </c>
      <c r="B50" s="508"/>
      <c r="C50" s="508"/>
    </row>
    <row r="51" spans="1:3" ht="18" customHeight="1">
      <c r="A51" s="504" t="s">
        <v>976</v>
      </c>
      <c r="B51" s="504"/>
      <c r="C51" s="504"/>
    </row>
    <row r="52" spans="1:3" ht="18" customHeight="1">
      <c r="B52" s="374"/>
      <c r="C52" s="374"/>
    </row>
    <row r="53" spans="1:3" ht="18" customHeight="1">
      <c r="C53" s="375"/>
    </row>
    <row r="54" spans="1:3" ht="18" customHeight="1">
      <c r="C54" s="361"/>
    </row>
    <row r="55" spans="1:3" ht="18" customHeight="1">
      <c r="C55" s="375"/>
    </row>
    <row r="56" spans="1:3" ht="18" customHeight="1">
      <c r="B56" s="361"/>
      <c r="C56" s="361"/>
    </row>
    <row r="57" spans="1:3" ht="18" customHeight="1">
      <c r="B57" s="361"/>
      <c r="C57" s="361"/>
    </row>
    <row r="58" spans="1:3" ht="18" customHeight="1">
      <c r="B58" s="361"/>
      <c r="C58" s="361"/>
    </row>
    <row r="59" spans="1:3" ht="18" customHeight="1">
      <c r="B59" s="361"/>
      <c r="C59" s="361"/>
    </row>
    <row r="60" spans="1:3" ht="18" customHeight="1">
      <c r="B60" s="361"/>
      <c r="C60" s="361"/>
    </row>
    <row r="61" spans="1:3" ht="18" customHeight="1">
      <c r="B61" s="361"/>
      <c r="C61" s="361"/>
    </row>
    <row r="62" spans="1:3" ht="18" customHeight="1"/>
    <row r="63" spans="1:3" ht="18" customHeight="1"/>
    <row r="64" spans="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sheetData>
  <sheetProtection password="DC2B"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3B56-B5D5-4957-9535-0831A5936291}">
  <dimension ref="A1:C22"/>
  <sheetViews>
    <sheetView zoomScale="115" zoomScaleNormal="115" workbookViewId="0">
      <selection activeCell="C12" sqref="C12"/>
    </sheetView>
  </sheetViews>
  <sheetFormatPr defaultRowHeight="12.75"/>
  <cols>
    <col min="1" max="1" width="33" style="310" customWidth="1"/>
    <col min="2" max="2" width="11.7109375" style="310" customWidth="1"/>
    <col min="3" max="3" width="58.85546875" style="310" customWidth="1"/>
    <col min="4" max="256" width="9.140625" style="310"/>
    <col min="257" max="257" width="33" style="310" customWidth="1"/>
    <col min="258" max="258" width="11.7109375" style="310" customWidth="1"/>
    <col min="259" max="259" width="58.85546875" style="310" customWidth="1"/>
    <col min="260" max="512" width="9.140625" style="310"/>
    <col min="513" max="513" width="33" style="310" customWidth="1"/>
    <col min="514" max="514" width="11.7109375" style="310" customWidth="1"/>
    <col min="515" max="515" width="58.85546875" style="310" customWidth="1"/>
    <col min="516" max="768" width="9.140625" style="310"/>
    <col min="769" max="769" width="33" style="310" customWidth="1"/>
    <col min="770" max="770" width="11.7109375" style="310" customWidth="1"/>
    <col min="771" max="771" width="58.85546875" style="310" customWidth="1"/>
    <col min="772" max="1024" width="9.140625" style="310"/>
    <col min="1025" max="1025" width="33" style="310" customWidth="1"/>
    <col min="1026" max="1026" width="11.7109375" style="310" customWidth="1"/>
    <col min="1027" max="1027" width="58.85546875" style="310" customWidth="1"/>
    <col min="1028" max="1280" width="9.140625" style="310"/>
    <col min="1281" max="1281" width="33" style="310" customWidth="1"/>
    <col min="1282" max="1282" width="11.7109375" style="310" customWidth="1"/>
    <col min="1283" max="1283" width="58.85546875" style="310" customWidth="1"/>
    <col min="1284" max="1536" width="9.140625" style="310"/>
    <col min="1537" max="1537" width="33" style="310" customWidth="1"/>
    <col min="1538" max="1538" width="11.7109375" style="310" customWidth="1"/>
    <col min="1539" max="1539" width="58.85546875" style="310" customWidth="1"/>
    <col min="1540" max="1792" width="9.140625" style="310"/>
    <col min="1793" max="1793" width="33" style="310" customWidth="1"/>
    <col min="1794" max="1794" width="11.7109375" style="310" customWidth="1"/>
    <col min="1795" max="1795" width="58.85546875" style="310" customWidth="1"/>
    <col min="1796" max="2048" width="9.140625" style="310"/>
    <col min="2049" max="2049" width="33" style="310" customWidth="1"/>
    <col min="2050" max="2050" width="11.7109375" style="310" customWidth="1"/>
    <col min="2051" max="2051" width="58.85546875" style="310" customWidth="1"/>
    <col min="2052" max="2304" width="9.140625" style="310"/>
    <col min="2305" max="2305" width="33" style="310" customWidth="1"/>
    <col min="2306" max="2306" width="11.7109375" style="310" customWidth="1"/>
    <col min="2307" max="2307" width="58.85546875" style="310" customWidth="1"/>
    <col min="2308" max="2560" width="9.140625" style="310"/>
    <col min="2561" max="2561" width="33" style="310" customWidth="1"/>
    <col min="2562" max="2562" width="11.7109375" style="310" customWidth="1"/>
    <col min="2563" max="2563" width="58.85546875" style="310" customWidth="1"/>
    <col min="2564" max="2816" width="9.140625" style="310"/>
    <col min="2817" max="2817" width="33" style="310" customWidth="1"/>
    <col min="2818" max="2818" width="11.7109375" style="310" customWidth="1"/>
    <col min="2819" max="2819" width="58.85546875" style="310" customWidth="1"/>
    <col min="2820" max="3072" width="9.140625" style="310"/>
    <col min="3073" max="3073" width="33" style="310" customWidth="1"/>
    <col min="3074" max="3074" width="11.7109375" style="310" customWidth="1"/>
    <col min="3075" max="3075" width="58.85546875" style="310" customWidth="1"/>
    <col min="3076" max="3328" width="9.140625" style="310"/>
    <col min="3329" max="3329" width="33" style="310" customWidth="1"/>
    <col min="3330" max="3330" width="11.7109375" style="310" customWidth="1"/>
    <col min="3331" max="3331" width="58.85546875" style="310" customWidth="1"/>
    <col min="3332" max="3584" width="9.140625" style="310"/>
    <col min="3585" max="3585" width="33" style="310" customWidth="1"/>
    <col min="3586" max="3586" width="11.7109375" style="310" customWidth="1"/>
    <col min="3587" max="3587" width="58.85546875" style="310" customWidth="1"/>
    <col min="3588" max="3840" width="9.140625" style="310"/>
    <col min="3841" max="3841" width="33" style="310" customWidth="1"/>
    <col min="3842" max="3842" width="11.7109375" style="310" customWidth="1"/>
    <col min="3843" max="3843" width="58.85546875" style="310" customWidth="1"/>
    <col min="3844" max="4096" width="9.140625" style="310"/>
    <col min="4097" max="4097" width="33" style="310" customWidth="1"/>
    <col min="4098" max="4098" width="11.7109375" style="310" customWidth="1"/>
    <col min="4099" max="4099" width="58.85546875" style="310" customWidth="1"/>
    <col min="4100" max="4352" width="9.140625" style="310"/>
    <col min="4353" max="4353" width="33" style="310" customWidth="1"/>
    <col min="4354" max="4354" width="11.7109375" style="310" customWidth="1"/>
    <col min="4355" max="4355" width="58.85546875" style="310" customWidth="1"/>
    <col min="4356" max="4608" width="9.140625" style="310"/>
    <col min="4609" max="4609" width="33" style="310" customWidth="1"/>
    <col min="4610" max="4610" width="11.7109375" style="310" customWidth="1"/>
    <col min="4611" max="4611" width="58.85546875" style="310" customWidth="1"/>
    <col min="4612" max="4864" width="9.140625" style="310"/>
    <col min="4865" max="4865" width="33" style="310" customWidth="1"/>
    <col min="4866" max="4866" width="11.7109375" style="310" customWidth="1"/>
    <col min="4867" max="4867" width="58.85546875" style="310" customWidth="1"/>
    <col min="4868" max="5120" width="9.140625" style="310"/>
    <col min="5121" max="5121" width="33" style="310" customWidth="1"/>
    <col min="5122" max="5122" width="11.7109375" style="310" customWidth="1"/>
    <col min="5123" max="5123" width="58.85546875" style="310" customWidth="1"/>
    <col min="5124" max="5376" width="9.140625" style="310"/>
    <col min="5377" max="5377" width="33" style="310" customWidth="1"/>
    <col min="5378" max="5378" width="11.7109375" style="310" customWidth="1"/>
    <col min="5379" max="5379" width="58.85546875" style="310" customWidth="1"/>
    <col min="5380" max="5632" width="9.140625" style="310"/>
    <col min="5633" max="5633" width="33" style="310" customWidth="1"/>
    <col min="5634" max="5634" width="11.7109375" style="310" customWidth="1"/>
    <col min="5635" max="5635" width="58.85546875" style="310" customWidth="1"/>
    <col min="5636" max="5888" width="9.140625" style="310"/>
    <col min="5889" max="5889" width="33" style="310" customWidth="1"/>
    <col min="5890" max="5890" width="11.7109375" style="310" customWidth="1"/>
    <col min="5891" max="5891" width="58.85546875" style="310" customWidth="1"/>
    <col min="5892" max="6144" width="9.140625" style="310"/>
    <col min="6145" max="6145" width="33" style="310" customWidth="1"/>
    <col min="6146" max="6146" width="11.7109375" style="310" customWidth="1"/>
    <col min="6147" max="6147" width="58.85546875" style="310" customWidth="1"/>
    <col min="6148" max="6400" width="9.140625" style="310"/>
    <col min="6401" max="6401" width="33" style="310" customWidth="1"/>
    <col min="6402" max="6402" width="11.7109375" style="310" customWidth="1"/>
    <col min="6403" max="6403" width="58.85546875" style="310" customWidth="1"/>
    <col min="6404" max="6656" width="9.140625" style="310"/>
    <col min="6657" max="6657" width="33" style="310" customWidth="1"/>
    <col min="6658" max="6658" width="11.7109375" style="310" customWidth="1"/>
    <col min="6659" max="6659" width="58.85546875" style="310" customWidth="1"/>
    <col min="6660" max="6912" width="9.140625" style="310"/>
    <col min="6913" max="6913" width="33" style="310" customWidth="1"/>
    <col min="6914" max="6914" width="11.7109375" style="310" customWidth="1"/>
    <col min="6915" max="6915" width="58.85546875" style="310" customWidth="1"/>
    <col min="6916" max="7168" width="9.140625" style="310"/>
    <col min="7169" max="7169" width="33" style="310" customWidth="1"/>
    <col min="7170" max="7170" width="11.7109375" style="310" customWidth="1"/>
    <col min="7171" max="7171" width="58.85546875" style="310" customWidth="1"/>
    <col min="7172" max="7424" width="9.140625" style="310"/>
    <col min="7425" max="7425" width="33" style="310" customWidth="1"/>
    <col min="7426" max="7426" width="11.7109375" style="310" customWidth="1"/>
    <col min="7427" max="7427" width="58.85546875" style="310" customWidth="1"/>
    <col min="7428" max="7680" width="9.140625" style="310"/>
    <col min="7681" max="7681" width="33" style="310" customWidth="1"/>
    <col min="7682" max="7682" width="11.7109375" style="310" customWidth="1"/>
    <col min="7683" max="7683" width="58.85546875" style="310" customWidth="1"/>
    <col min="7684" max="7936" width="9.140625" style="310"/>
    <col min="7937" max="7937" width="33" style="310" customWidth="1"/>
    <col min="7938" max="7938" width="11.7109375" style="310" customWidth="1"/>
    <col min="7939" max="7939" width="58.85546875" style="310" customWidth="1"/>
    <col min="7940" max="8192" width="9.140625" style="310"/>
    <col min="8193" max="8193" width="33" style="310" customWidth="1"/>
    <col min="8194" max="8194" width="11.7109375" style="310" customWidth="1"/>
    <col min="8195" max="8195" width="58.85546875" style="310" customWidth="1"/>
    <col min="8196" max="8448" width="9.140625" style="310"/>
    <col min="8449" max="8449" width="33" style="310" customWidth="1"/>
    <col min="8450" max="8450" width="11.7109375" style="310" customWidth="1"/>
    <col min="8451" max="8451" width="58.85546875" style="310" customWidth="1"/>
    <col min="8452" max="8704" width="9.140625" style="310"/>
    <col min="8705" max="8705" width="33" style="310" customWidth="1"/>
    <col min="8706" max="8706" width="11.7109375" style="310" customWidth="1"/>
    <col min="8707" max="8707" width="58.85546875" style="310" customWidth="1"/>
    <col min="8708" max="8960" width="9.140625" style="310"/>
    <col min="8961" max="8961" width="33" style="310" customWidth="1"/>
    <col min="8962" max="8962" width="11.7109375" style="310" customWidth="1"/>
    <col min="8963" max="8963" width="58.85546875" style="310" customWidth="1"/>
    <col min="8964" max="9216" width="9.140625" style="310"/>
    <col min="9217" max="9217" width="33" style="310" customWidth="1"/>
    <col min="9218" max="9218" width="11.7109375" style="310" customWidth="1"/>
    <col min="9219" max="9219" width="58.85546875" style="310" customWidth="1"/>
    <col min="9220" max="9472" width="9.140625" style="310"/>
    <col min="9473" max="9473" width="33" style="310" customWidth="1"/>
    <col min="9474" max="9474" width="11.7109375" style="310" customWidth="1"/>
    <col min="9475" max="9475" width="58.85546875" style="310" customWidth="1"/>
    <col min="9476" max="9728" width="9.140625" style="310"/>
    <col min="9729" max="9729" width="33" style="310" customWidth="1"/>
    <col min="9730" max="9730" width="11.7109375" style="310" customWidth="1"/>
    <col min="9731" max="9731" width="58.85546875" style="310" customWidth="1"/>
    <col min="9732" max="9984" width="9.140625" style="310"/>
    <col min="9985" max="9985" width="33" style="310" customWidth="1"/>
    <col min="9986" max="9986" width="11.7109375" style="310" customWidth="1"/>
    <col min="9987" max="9987" width="58.85546875" style="310" customWidth="1"/>
    <col min="9988" max="10240" width="9.140625" style="310"/>
    <col min="10241" max="10241" width="33" style="310" customWidth="1"/>
    <col min="10242" max="10242" width="11.7109375" style="310" customWidth="1"/>
    <col min="10243" max="10243" width="58.85546875" style="310" customWidth="1"/>
    <col min="10244" max="10496" width="9.140625" style="310"/>
    <col min="10497" max="10497" width="33" style="310" customWidth="1"/>
    <col min="10498" max="10498" width="11.7109375" style="310" customWidth="1"/>
    <col min="10499" max="10499" width="58.85546875" style="310" customWidth="1"/>
    <col min="10500" max="10752" width="9.140625" style="310"/>
    <col min="10753" max="10753" width="33" style="310" customWidth="1"/>
    <col min="10754" max="10754" width="11.7109375" style="310" customWidth="1"/>
    <col min="10755" max="10755" width="58.85546875" style="310" customWidth="1"/>
    <col min="10756" max="11008" width="9.140625" style="310"/>
    <col min="11009" max="11009" width="33" style="310" customWidth="1"/>
    <col min="11010" max="11010" width="11.7109375" style="310" customWidth="1"/>
    <col min="11011" max="11011" width="58.85546875" style="310" customWidth="1"/>
    <col min="11012" max="11264" width="9.140625" style="310"/>
    <col min="11265" max="11265" width="33" style="310" customWidth="1"/>
    <col min="11266" max="11266" width="11.7109375" style="310" customWidth="1"/>
    <col min="11267" max="11267" width="58.85546875" style="310" customWidth="1"/>
    <col min="11268" max="11520" width="9.140625" style="310"/>
    <col min="11521" max="11521" width="33" style="310" customWidth="1"/>
    <col min="11522" max="11522" width="11.7109375" style="310" customWidth="1"/>
    <col min="11523" max="11523" width="58.85546875" style="310" customWidth="1"/>
    <col min="11524" max="11776" width="9.140625" style="310"/>
    <col min="11777" max="11777" width="33" style="310" customWidth="1"/>
    <col min="11778" max="11778" width="11.7109375" style="310" customWidth="1"/>
    <col min="11779" max="11779" width="58.85546875" style="310" customWidth="1"/>
    <col min="11780" max="12032" width="9.140625" style="310"/>
    <col min="12033" max="12033" width="33" style="310" customWidth="1"/>
    <col min="12034" max="12034" width="11.7109375" style="310" customWidth="1"/>
    <col min="12035" max="12035" width="58.85546875" style="310" customWidth="1"/>
    <col min="12036" max="12288" width="9.140625" style="310"/>
    <col min="12289" max="12289" width="33" style="310" customWidth="1"/>
    <col min="12290" max="12290" width="11.7109375" style="310" customWidth="1"/>
    <col min="12291" max="12291" width="58.85546875" style="310" customWidth="1"/>
    <col min="12292" max="12544" width="9.140625" style="310"/>
    <col min="12545" max="12545" width="33" style="310" customWidth="1"/>
    <col min="12546" max="12546" width="11.7109375" style="310" customWidth="1"/>
    <col min="12547" max="12547" width="58.85546875" style="310" customWidth="1"/>
    <col min="12548" max="12800" width="9.140625" style="310"/>
    <col min="12801" max="12801" width="33" style="310" customWidth="1"/>
    <col min="12802" max="12802" width="11.7109375" style="310" customWidth="1"/>
    <col min="12803" max="12803" width="58.85546875" style="310" customWidth="1"/>
    <col min="12804" max="13056" width="9.140625" style="310"/>
    <col min="13057" max="13057" width="33" style="310" customWidth="1"/>
    <col min="13058" max="13058" width="11.7109375" style="310" customWidth="1"/>
    <col min="13059" max="13059" width="58.85546875" style="310" customWidth="1"/>
    <col min="13060" max="13312" width="9.140625" style="310"/>
    <col min="13313" max="13313" width="33" style="310" customWidth="1"/>
    <col min="13314" max="13314" width="11.7109375" style="310" customWidth="1"/>
    <col min="13315" max="13315" width="58.85546875" style="310" customWidth="1"/>
    <col min="13316" max="13568" width="9.140625" style="310"/>
    <col min="13569" max="13569" width="33" style="310" customWidth="1"/>
    <col min="13570" max="13570" width="11.7109375" style="310" customWidth="1"/>
    <col min="13571" max="13571" width="58.85546875" style="310" customWidth="1"/>
    <col min="13572" max="13824" width="9.140625" style="310"/>
    <col min="13825" max="13825" width="33" style="310" customWidth="1"/>
    <col min="13826" max="13826" width="11.7109375" style="310" customWidth="1"/>
    <col min="13827" max="13827" width="58.85546875" style="310" customWidth="1"/>
    <col min="13828" max="14080" width="9.140625" style="310"/>
    <col min="14081" max="14081" width="33" style="310" customWidth="1"/>
    <col min="14082" max="14082" width="11.7109375" style="310" customWidth="1"/>
    <col min="14083" max="14083" width="58.85546875" style="310" customWidth="1"/>
    <col min="14084" max="14336" width="9.140625" style="310"/>
    <col min="14337" max="14337" width="33" style="310" customWidth="1"/>
    <col min="14338" max="14338" width="11.7109375" style="310" customWidth="1"/>
    <col min="14339" max="14339" width="58.85546875" style="310" customWidth="1"/>
    <col min="14340" max="14592" width="9.140625" style="310"/>
    <col min="14593" max="14593" width="33" style="310" customWidth="1"/>
    <col min="14594" max="14594" width="11.7109375" style="310" customWidth="1"/>
    <col min="14595" max="14595" width="58.85546875" style="310" customWidth="1"/>
    <col min="14596" max="14848" width="9.140625" style="310"/>
    <col min="14849" max="14849" width="33" style="310" customWidth="1"/>
    <col min="14850" max="14850" width="11.7109375" style="310" customWidth="1"/>
    <col min="14851" max="14851" width="58.85546875" style="310" customWidth="1"/>
    <col min="14852" max="15104" width="9.140625" style="310"/>
    <col min="15105" max="15105" width="33" style="310" customWidth="1"/>
    <col min="15106" max="15106" width="11.7109375" style="310" customWidth="1"/>
    <col min="15107" max="15107" width="58.85546875" style="310" customWidth="1"/>
    <col min="15108" max="15360" width="9.140625" style="310"/>
    <col min="15361" max="15361" width="33" style="310" customWidth="1"/>
    <col min="15362" max="15362" width="11.7109375" style="310" customWidth="1"/>
    <col min="15363" max="15363" width="58.85546875" style="310" customWidth="1"/>
    <col min="15364" max="15616" width="9.140625" style="310"/>
    <col min="15617" max="15617" width="33" style="310" customWidth="1"/>
    <col min="15618" max="15618" width="11.7109375" style="310" customWidth="1"/>
    <col min="15619" max="15619" width="58.85546875" style="310" customWidth="1"/>
    <col min="15620" max="15872" width="9.140625" style="310"/>
    <col min="15873" max="15873" width="33" style="310" customWidth="1"/>
    <col min="15874" max="15874" width="11.7109375" style="310" customWidth="1"/>
    <col min="15875" max="15875" width="58.85546875" style="310" customWidth="1"/>
    <col min="15876" max="16128" width="9.140625" style="310"/>
    <col min="16129" max="16129" width="33" style="310" customWidth="1"/>
    <col min="16130" max="16130" width="11.7109375" style="310" customWidth="1"/>
    <col min="16131" max="16131" width="58.85546875" style="310" customWidth="1"/>
    <col min="16132" max="16384" width="9.140625" style="310"/>
  </cols>
  <sheetData>
    <row r="1" spans="1:3">
      <c r="A1" s="510" t="s">
        <v>977</v>
      </c>
      <c r="B1" s="510"/>
      <c r="C1" s="510"/>
    </row>
    <row r="2" spans="1:3" ht="56.25" customHeight="1">
      <c r="A2" s="511" t="s">
        <v>995</v>
      </c>
      <c r="B2" s="511"/>
      <c r="C2" s="511"/>
    </row>
    <row r="3" spans="1:3">
      <c r="A3" s="336"/>
      <c r="B3" s="336"/>
      <c r="C3" s="336"/>
    </row>
    <row r="4" spans="1:3">
      <c r="A4" s="512" t="s">
        <v>981</v>
      </c>
      <c r="B4" s="512"/>
      <c r="C4" s="512"/>
    </row>
    <row r="5" spans="1:3">
      <c r="A5" s="337"/>
      <c r="B5" s="337"/>
      <c r="C5" s="338"/>
    </row>
    <row r="6" spans="1:3" ht="25.5">
      <c r="A6" s="339" t="s">
        <v>982</v>
      </c>
      <c r="B6" s="340"/>
      <c r="C6" s="341" t="s">
        <v>983</v>
      </c>
    </row>
    <row r="7" spans="1:3">
      <c r="A7" s="342"/>
      <c r="B7" s="342"/>
      <c r="C7" s="343"/>
    </row>
    <row r="8" spans="1:3">
      <c r="A8" s="344" t="str">
        <f>IF(C6="Individual Firm","Name of Sole Bidder [Individual Firm]",IF(C6="Licensee of a Manufacturer","Name of Bidder [Licensee]",IF(C6="Representative of a Manufacturer","Name of Bidder [Authorised Representative]","Name of Lead Partner")))</f>
        <v>Name of Sole Bidder [Individual Firm]</v>
      </c>
      <c r="B8" s="345"/>
      <c r="C8" s="346"/>
    </row>
    <row r="9" spans="1:3" ht="25.5">
      <c r="A9" s="347" t="s">
        <v>984</v>
      </c>
      <c r="B9" s="348"/>
      <c r="C9" s="346" t="s">
        <v>985</v>
      </c>
    </row>
    <row r="10" spans="1:3">
      <c r="A10" s="349"/>
      <c r="B10" s="350"/>
      <c r="C10" s="346" t="s">
        <v>985</v>
      </c>
    </row>
    <row r="11" spans="1:3">
      <c r="A11" s="351"/>
      <c r="B11" s="352"/>
      <c r="C11" s="346" t="s">
        <v>985</v>
      </c>
    </row>
    <row r="12" spans="1:3">
      <c r="A12" s="338"/>
      <c r="B12" s="338"/>
      <c r="C12" s="342"/>
    </row>
    <row r="13" spans="1:3">
      <c r="A13" s="344" t="str">
        <f>IF(C6="Individual Firm","",IF(C6="Licensee of a Manufacturer","Name of Manufacturer [Licenser]",IF(C6="Representative of a Manufacturer","Name of Manufacturer","Name of Other Partner")))</f>
        <v/>
      </c>
      <c r="B13" s="345"/>
      <c r="C13" s="346" t="s">
        <v>985</v>
      </c>
    </row>
    <row r="14" spans="1:3">
      <c r="A14" s="353"/>
      <c r="B14" s="348"/>
      <c r="C14" s="346" t="s">
        <v>985</v>
      </c>
    </row>
    <row r="15" spans="1:3">
      <c r="A15" s="349"/>
      <c r="B15" s="350"/>
      <c r="C15" s="346" t="s">
        <v>985</v>
      </c>
    </row>
    <row r="16" spans="1:3">
      <c r="A16" s="513"/>
      <c r="B16" s="513"/>
      <c r="C16" s="346" t="s">
        <v>985</v>
      </c>
    </row>
    <row r="17" spans="1:3">
      <c r="A17" s="338"/>
      <c r="B17" s="338"/>
      <c r="C17" s="342"/>
    </row>
    <row r="18" spans="1:3">
      <c r="A18" s="354" t="s">
        <v>986</v>
      </c>
      <c r="B18" s="355"/>
      <c r="C18" s="356"/>
    </row>
    <row r="19" spans="1:3">
      <c r="A19" s="354" t="s">
        <v>987</v>
      </c>
      <c r="B19" s="355"/>
      <c r="C19" s="346"/>
    </row>
    <row r="20" spans="1:3">
      <c r="A20" s="357"/>
      <c r="B20" s="357"/>
      <c r="C20" s="357"/>
    </row>
    <row r="21" spans="1:3">
      <c r="A21" s="354" t="s">
        <v>988</v>
      </c>
      <c r="B21" s="355"/>
      <c r="C21" s="358"/>
    </row>
    <row r="22" spans="1:3">
      <c r="A22" s="354" t="s">
        <v>989</v>
      </c>
      <c r="B22" s="355"/>
      <c r="C22" s="346"/>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A847F5D1-2DC1-4294-AFBA-ABE223EC736C}">
      <formula1>$AA$2:$AA$5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643E1-732F-4E90-A891-EE204014459C}">
  <dimension ref="A1:Q401"/>
  <sheetViews>
    <sheetView view="pageBreakPreview" topLeftCell="A231" zoomScaleNormal="115" zoomScaleSheetLayoutView="100" workbookViewId="0">
      <selection activeCell="O239" sqref="O239"/>
    </sheetView>
  </sheetViews>
  <sheetFormatPr defaultRowHeight="12.75"/>
  <cols>
    <col min="1" max="1" width="9.140625" style="208"/>
    <col min="2" max="2" width="14.28515625" style="208" customWidth="1"/>
    <col min="3" max="3" width="12.42578125" style="208" customWidth="1"/>
    <col min="4" max="4" width="11.140625" style="208" customWidth="1"/>
    <col min="5" max="5" width="12.5703125" style="208" customWidth="1"/>
    <col min="6" max="6" width="7.7109375" style="208" customWidth="1"/>
    <col min="7" max="7" width="7.5703125" style="296" customWidth="1"/>
    <col min="8" max="8" width="12.5703125" style="208" customWidth="1"/>
    <col min="9" max="9" width="59" style="208" customWidth="1"/>
    <col min="10" max="10" width="8.7109375" style="208" customWidth="1"/>
    <col min="11" max="11" width="8.42578125" style="297" customWidth="1"/>
    <col min="12" max="12" width="12.7109375" style="208" customWidth="1"/>
    <col min="13" max="13" width="16.5703125" style="208" customWidth="1"/>
    <col min="14" max="14" width="19" style="298" customWidth="1"/>
    <col min="15" max="15" width="19.7109375" style="208" customWidth="1"/>
    <col min="16" max="16" width="18.5703125" style="208" customWidth="1"/>
    <col min="17" max="17" width="19.85546875" style="208" hidden="1" customWidth="1"/>
    <col min="18" max="18" width="12.42578125" style="208" bestFit="1" customWidth="1"/>
    <col min="19" max="19" width="9.5703125" style="208" bestFit="1" customWidth="1"/>
    <col min="20" max="16384" width="9.140625" style="208"/>
  </cols>
  <sheetData>
    <row r="1" spans="1:17" ht="15" customHeight="1">
      <c r="A1" s="541" t="s">
        <v>0</v>
      </c>
      <c r="B1" s="541"/>
      <c r="C1" s="541"/>
      <c r="D1" s="541"/>
      <c r="E1" s="541"/>
      <c r="F1" s="541"/>
      <c r="G1" s="541"/>
      <c r="H1" s="541"/>
      <c r="I1" s="541"/>
      <c r="J1" s="541"/>
      <c r="K1" s="541"/>
      <c r="L1" s="541"/>
      <c r="M1" s="541"/>
      <c r="N1" s="541"/>
      <c r="O1" s="541"/>
      <c r="P1" s="541"/>
      <c r="Q1" s="541"/>
    </row>
    <row r="2" spans="1:17" ht="15" customHeight="1">
      <c r="A2" s="542" t="s">
        <v>1</v>
      </c>
      <c r="B2" s="542"/>
      <c r="C2" s="542"/>
      <c r="D2" s="542"/>
      <c r="E2" s="542"/>
      <c r="F2" s="542"/>
      <c r="G2" s="542"/>
      <c r="H2" s="542"/>
      <c r="I2" s="542"/>
      <c r="J2" s="542"/>
      <c r="K2" s="542"/>
      <c r="L2" s="542"/>
      <c r="M2" s="542"/>
      <c r="N2" s="542"/>
      <c r="O2" s="542"/>
      <c r="P2" s="542"/>
      <c r="Q2" s="542"/>
    </row>
    <row r="3" spans="1:17" ht="15" customHeight="1">
      <c r="A3" s="542" t="s">
        <v>2</v>
      </c>
      <c r="B3" s="542"/>
      <c r="C3" s="542"/>
      <c r="D3" s="542"/>
      <c r="E3" s="542"/>
      <c r="F3" s="542"/>
      <c r="G3" s="542"/>
      <c r="H3" s="542"/>
      <c r="I3" s="542"/>
      <c r="J3" s="542"/>
      <c r="K3" s="542"/>
      <c r="L3" s="542"/>
      <c r="M3" s="542"/>
      <c r="N3" s="542"/>
      <c r="O3" s="542"/>
      <c r="P3" s="542"/>
      <c r="Q3" s="542"/>
    </row>
    <row r="4" spans="1:17" ht="17.25" customHeight="1">
      <c r="A4" s="543" t="s">
        <v>996</v>
      </c>
      <c r="B4" s="543"/>
      <c r="C4" s="543"/>
      <c r="D4" s="543"/>
      <c r="E4" s="543"/>
      <c r="F4" s="543"/>
      <c r="G4" s="543"/>
      <c r="H4" s="543"/>
      <c r="I4" s="543"/>
      <c r="J4" s="543"/>
      <c r="K4" s="543"/>
      <c r="L4" s="543"/>
      <c r="M4" s="543"/>
      <c r="N4" s="543"/>
      <c r="O4" s="543"/>
      <c r="P4" s="543"/>
      <c r="Q4" s="543"/>
    </row>
    <row r="5" spans="1:17" ht="15" customHeight="1">
      <c r="A5" s="544" t="s">
        <v>1447</v>
      </c>
      <c r="B5" s="544"/>
      <c r="C5" s="544"/>
      <c r="D5" s="544"/>
      <c r="E5" s="544"/>
      <c r="F5" s="544"/>
      <c r="G5" s="544"/>
      <c r="H5" s="544"/>
      <c r="I5" s="544"/>
      <c r="J5" s="544"/>
      <c r="K5" s="544"/>
      <c r="L5" s="544"/>
      <c r="M5" s="544"/>
      <c r="N5" s="544"/>
      <c r="O5" s="544"/>
      <c r="P5" s="544"/>
      <c r="Q5" s="544"/>
    </row>
    <row r="6" spans="1:17" ht="15" customHeight="1">
      <c r="A6" s="544"/>
      <c r="B6" s="544"/>
      <c r="C6" s="544"/>
      <c r="D6" s="544"/>
      <c r="E6" s="544" t="s">
        <v>3</v>
      </c>
      <c r="F6" s="544"/>
      <c r="G6" s="544"/>
      <c r="H6" s="544"/>
      <c r="I6" s="544"/>
      <c r="J6" s="544"/>
      <c r="K6" s="544"/>
      <c r="L6" s="544"/>
      <c r="M6" s="545"/>
      <c r="N6" s="545"/>
      <c r="O6" s="545"/>
      <c r="P6" s="545"/>
      <c r="Q6" s="211"/>
    </row>
    <row r="7" spans="1:17" s="316" customFormat="1">
      <c r="A7" s="309" t="s">
        <v>4</v>
      </c>
      <c r="B7" s="309"/>
      <c r="C7" s="317"/>
      <c r="D7" s="317"/>
      <c r="E7" s="551"/>
      <c r="F7" s="552"/>
      <c r="G7" s="552"/>
      <c r="H7" s="552"/>
      <c r="I7" s="552"/>
      <c r="J7" s="552"/>
      <c r="K7" s="552"/>
      <c r="L7" s="553"/>
      <c r="M7" s="554" t="s">
        <v>5</v>
      </c>
      <c r="N7" s="554"/>
      <c r="O7" s="554"/>
      <c r="P7" s="554"/>
      <c r="Q7" s="315"/>
    </row>
    <row r="8" spans="1:17" s="316" customFormat="1">
      <c r="A8" s="550" t="s">
        <v>6</v>
      </c>
      <c r="B8" s="550"/>
      <c r="C8" s="550"/>
      <c r="D8" s="550"/>
      <c r="E8" s="547"/>
      <c r="F8" s="548"/>
      <c r="G8" s="548"/>
      <c r="H8" s="548"/>
      <c r="I8" s="548"/>
      <c r="J8" s="548"/>
      <c r="K8" s="548"/>
      <c r="L8" s="549"/>
      <c r="M8" s="550" t="s">
        <v>7</v>
      </c>
      <c r="N8" s="550"/>
      <c r="O8" s="550"/>
      <c r="P8" s="550"/>
      <c r="Q8" s="315"/>
    </row>
    <row r="9" spans="1:17" s="316" customFormat="1">
      <c r="A9" s="550" t="s">
        <v>8</v>
      </c>
      <c r="B9" s="555"/>
      <c r="C9" s="555"/>
      <c r="D9" s="555"/>
      <c r="E9" s="547"/>
      <c r="F9" s="548"/>
      <c r="G9" s="548"/>
      <c r="H9" s="548"/>
      <c r="I9" s="548"/>
      <c r="J9" s="548"/>
      <c r="K9" s="548"/>
      <c r="L9" s="549"/>
      <c r="M9" s="550" t="s">
        <v>9</v>
      </c>
      <c r="N9" s="550"/>
      <c r="O9" s="550"/>
      <c r="P9" s="550"/>
      <c r="Q9" s="315"/>
    </row>
    <row r="10" spans="1:17" s="316" customFormat="1">
      <c r="A10" s="215"/>
      <c r="B10" s="215"/>
      <c r="C10" s="215"/>
      <c r="D10" s="215"/>
      <c r="E10" s="547"/>
      <c r="F10" s="548"/>
      <c r="G10" s="548"/>
      <c r="H10" s="548"/>
      <c r="I10" s="548"/>
      <c r="J10" s="548"/>
      <c r="K10" s="548"/>
      <c r="L10" s="549"/>
      <c r="M10" s="550" t="s">
        <v>10</v>
      </c>
      <c r="N10" s="550"/>
      <c r="O10" s="550"/>
      <c r="P10" s="550"/>
      <c r="Q10" s="315"/>
    </row>
    <row r="11" spans="1:17" s="316" customFormat="1">
      <c r="A11" s="215"/>
      <c r="B11" s="215"/>
      <c r="C11" s="215"/>
      <c r="D11" s="215"/>
      <c r="E11" s="547"/>
      <c r="F11" s="548"/>
      <c r="G11" s="548"/>
      <c r="H11" s="548"/>
      <c r="I11" s="548"/>
      <c r="J11" s="548"/>
      <c r="K11" s="548"/>
      <c r="L11" s="549"/>
      <c r="M11" s="550" t="s">
        <v>11</v>
      </c>
      <c r="N11" s="550"/>
      <c r="O11" s="550"/>
      <c r="P11" s="550"/>
      <c r="Q11" s="315"/>
    </row>
    <row r="12" spans="1:17" s="316" customFormat="1">
      <c r="A12" s="498"/>
      <c r="B12" s="499"/>
      <c r="C12" s="499"/>
      <c r="D12" s="499"/>
      <c r="E12" s="499"/>
      <c r="F12" s="499"/>
      <c r="G12" s="499"/>
      <c r="H12" s="499"/>
      <c r="I12" s="499"/>
      <c r="J12" s="499"/>
      <c r="K12" s="499"/>
      <c r="L12" s="500"/>
      <c r="M12" s="550" t="s">
        <v>12</v>
      </c>
      <c r="N12" s="550"/>
      <c r="O12" s="550"/>
      <c r="P12" s="550"/>
      <c r="Q12" s="315"/>
    </row>
    <row r="13" spans="1:17" s="316" customFormat="1">
      <c r="A13" s="531" t="s">
        <v>1448</v>
      </c>
      <c r="B13" s="546"/>
      <c r="C13" s="546"/>
      <c r="D13" s="546"/>
      <c r="E13" s="546"/>
      <c r="F13" s="546"/>
      <c r="G13" s="546"/>
      <c r="H13" s="546"/>
      <c r="I13" s="546"/>
      <c r="J13" s="546"/>
      <c r="K13" s="546"/>
      <c r="L13" s="546"/>
      <c r="M13" s="546"/>
      <c r="N13" s="546"/>
      <c r="O13" s="546"/>
      <c r="P13" s="532"/>
      <c r="Q13" s="315"/>
    </row>
    <row r="14" spans="1:17">
      <c r="A14" s="212"/>
      <c r="B14" s="213"/>
      <c r="C14" s="214"/>
      <c r="D14" s="215"/>
      <c r="E14" s="212"/>
      <c r="F14" s="213"/>
      <c r="G14" s="216"/>
      <c r="H14" s="213"/>
      <c r="I14" s="214"/>
      <c r="J14" s="217"/>
      <c r="K14" s="218"/>
      <c r="L14" s="218"/>
      <c r="M14" s="218"/>
      <c r="N14" s="218"/>
      <c r="O14" s="219"/>
      <c r="P14" s="217"/>
      <c r="Q14" s="212"/>
    </row>
    <row r="15" spans="1:17">
      <c r="A15" s="212"/>
      <c r="B15" s="213"/>
      <c r="C15" s="214"/>
      <c r="D15" s="215"/>
      <c r="E15" s="212"/>
      <c r="F15" s="213"/>
      <c r="G15" s="216"/>
      <c r="H15" s="213"/>
      <c r="I15" s="214"/>
      <c r="J15" s="217"/>
      <c r="K15" s="218"/>
      <c r="L15" s="218"/>
      <c r="M15" s="218"/>
      <c r="N15" s="218"/>
      <c r="O15" s="219"/>
      <c r="P15" s="217"/>
      <c r="Q15" s="212"/>
    </row>
    <row r="16" spans="1:17" ht="15" customHeight="1">
      <c r="A16" s="527" t="s">
        <v>13</v>
      </c>
      <c r="B16" s="527" t="s">
        <v>14</v>
      </c>
      <c r="C16" s="527" t="s">
        <v>15</v>
      </c>
      <c r="D16" s="220" t="s">
        <v>16</v>
      </c>
      <c r="E16" s="527" t="s">
        <v>17</v>
      </c>
      <c r="F16" s="533" t="s">
        <v>18</v>
      </c>
      <c r="G16" s="534"/>
      <c r="H16" s="537" t="s">
        <v>1313</v>
      </c>
      <c r="I16" s="538"/>
      <c r="J16" s="527" t="s">
        <v>19</v>
      </c>
      <c r="K16" s="529" t="s">
        <v>20</v>
      </c>
      <c r="L16" s="527" t="s">
        <v>21</v>
      </c>
      <c r="M16" s="527" t="s">
        <v>22</v>
      </c>
      <c r="N16" s="529" t="s">
        <v>23</v>
      </c>
      <c r="O16" s="527" t="s">
        <v>24</v>
      </c>
      <c r="P16" s="527" t="s">
        <v>25</v>
      </c>
      <c r="Q16" s="527" t="s">
        <v>26</v>
      </c>
    </row>
    <row r="17" spans="1:17" ht="98.25" customHeight="1">
      <c r="A17" s="528"/>
      <c r="B17" s="528"/>
      <c r="C17" s="528"/>
      <c r="D17" s="220" t="s">
        <v>27</v>
      </c>
      <c r="E17" s="528"/>
      <c r="F17" s="535"/>
      <c r="G17" s="536"/>
      <c r="H17" s="539"/>
      <c r="I17" s="540"/>
      <c r="J17" s="528"/>
      <c r="K17" s="530"/>
      <c r="L17" s="528"/>
      <c r="M17" s="528"/>
      <c r="N17" s="530"/>
      <c r="O17" s="528"/>
      <c r="P17" s="528"/>
      <c r="Q17" s="528"/>
    </row>
    <row r="18" spans="1:17" s="222" customFormat="1" ht="18" customHeight="1">
      <c r="A18" s="221">
        <v>1</v>
      </c>
      <c r="B18" s="221">
        <v>2</v>
      </c>
      <c r="C18" s="221">
        <v>3</v>
      </c>
      <c r="D18" s="221">
        <v>4</v>
      </c>
      <c r="E18" s="221">
        <v>5</v>
      </c>
      <c r="F18" s="221">
        <v>6</v>
      </c>
      <c r="G18" s="221">
        <v>7</v>
      </c>
      <c r="H18" s="531">
        <v>8</v>
      </c>
      <c r="I18" s="532"/>
      <c r="J18" s="221">
        <v>9</v>
      </c>
      <c r="K18" s="220">
        <v>10</v>
      </c>
      <c r="L18" s="221">
        <v>11</v>
      </c>
      <c r="M18" s="221">
        <v>12</v>
      </c>
      <c r="N18" s="220">
        <v>13</v>
      </c>
      <c r="O18" s="221" t="s">
        <v>28</v>
      </c>
      <c r="P18" s="221">
        <v>15</v>
      </c>
      <c r="Q18" s="221">
        <v>16</v>
      </c>
    </row>
    <row r="19" spans="1:17" ht="19.5" customHeight="1">
      <c r="A19" s="223"/>
      <c r="B19" s="223"/>
      <c r="C19" s="223"/>
      <c r="D19" s="223"/>
      <c r="E19" s="224"/>
      <c r="F19" s="224"/>
      <c r="G19" s="225"/>
      <c r="H19" s="525" t="s">
        <v>29</v>
      </c>
      <c r="I19" s="526"/>
      <c r="J19" s="226"/>
      <c r="K19" s="227"/>
      <c r="L19" s="226"/>
      <c r="M19" s="226"/>
      <c r="N19" s="227"/>
      <c r="O19" s="224"/>
      <c r="P19" s="224"/>
      <c r="Q19" s="224"/>
    </row>
    <row r="20" spans="1:17" ht="63.75">
      <c r="A20" s="516">
        <v>1</v>
      </c>
      <c r="B20" s="223"/>
      <c r="C20" s="223"/>
      <c r="D20" s="223"/>
      <c r="E20" s="253"/>
      <c r="F20" s="253"/>
      <c r="G20" s="376"/>
      <c r="H20" s="230">
        <v>2.6</v>
      </c>
      <c r="I20" s="231" t="s">
        <v>997</v>
      </c>
      <c r="J20" s="230"/>
      <c r="K20" s="251"/>
      <c r="L20" s="233"/>
      <c r="M20" s="378"/>
      <c r="N20" s="379"/>
      <c r="O20" s="253"/>
      <c r="P20" s="253"/>
      <c r="Q20" s="224"/>
    </row>
    <row r="21" spans="1:17">
      <c r="A21" s="517"/>
      <c r="B21" s="321" t="s">
        <v>1460</v>
      </c>
      <c r="C21" s="267" t="s">
        <v>1314</v>
      </c>
      <c r="D21" s="267" t="s">
        <v>1315</v>
      </c>
      <c r="E21" s="228"/>
      <c r="F21" s="225">
        <v>0.18</v>
      </c>
      <c r="G21" s="229"/>
      <c r="H21" s="230" t="s">
        <v>38</v>
      </c>
      <c r="I21" s="231" t="s">
        <v>998</v>
      </c>
      <c r="J21" s="230" t="s">
        <v>469</v>
      </c>
      <c r="K21" s="251">
        <v>358</v>
      </c>
      <c r="L21" s="234">
        <v>177.5</v>
      </c>
      <c r="M21" s="378">
        <v>0.18</v>
      </c>
      <c r="N21" s="380">
        <f>L21/1.18</f>
        <v>150.42372881355934</v>
      </c>
      <c r="O21" s="381">
        <f>N21*K21</f>
        <v>53851.694915254244</v>
      </c>
      <c r="P21" s="381">
        <f>IF(ISBLANK(G21),F21*O21,G21*O21)</f>
        <v>9693.3050847457635</v>
      </c>
      <c r="Q21" s="224"/>
    </row>
    <row r="22" spans="1:17" ht="89.25">
      <c r="A22" s="516">
        <v>2</v>
      </c>
      <c r="B22" s="223"/>
      <c r="C22" s="223"/>
      <c r="D22" s="223"/>
      <c r="E22" s="253"/>
      <c r="F22" s="376"/>
      <c r="G22" s="376"/>
      <c r="H22" s="232">
        <v>2.1</v>
      </c>
      <c r="I22" s="231" t="s">
        <v>999</v>
      </c>
      <c r="J22" s="230"/>
      <c r="K22" s="251"/>
      <c r="L22" s="234"/>
      <c r="M22" s="378"/>
      <c r="N22" s="380"/>
      <c r="O22" s="381"/>
      <c r="P22" s="381"/>
      <c r="Q22" s="224"/>
    </row>
    <row r="23" spans="1:17">
      <c r="A23" s="520"/>
      <c r="B23" s="223"/>
      <c r="C23" s="223"/>
      <c r="D23" s="223"/>
      <c r="E23" s="253"/>
      <c r="F23" s="376"/>
      <c r="G23" s="376"/>
      <c r="H23" s="230" t="s">
        <v>502</v>
      </c>
      <c r="I23" s="231" t="s">
        <v>1000</v>
      </c>
      <c r="J23" s="230"/>
      <c r="K23" s="251"/>
      <c r="L23" s="234"/>
      <c r="M23" s="378"/>
      <c r="N23" s="380"/>
      <c r="O23" s="381"/>
      <c r="P23" s="381"/>
      <c r="Q23" s="224"/>
    </row>
    <row r="24" spans="1:17" ht="25.5">
      <c r="A24" s="517"/>
      <c r="B24" s="321" t="s">
        <v>1460</v>
      </c>
      <c r="C24" s="267" t="s">
        <v>1316</v>
      </c>
      <c r="D24" s="267" t="s">
        <v>1315</v>
      </c>
      <c r="E24" s="228"/>
      <c r="F24" s="225">
        <v>0.18</v>
      </c>
      <c r="G24" s="229"/>
      <c r="H24" s="230" t="s">
        <v>46</v>
      </c>
      <c r="I24" s="231" t="s">
        <v>1001</v>
      </c>
      <c r="J24" s="237" t="s">
        <v>650</v>
      </c>
      <c r="K24" s="251">
        <v>68</v>
      </c>
      <c r="L24" s="234">
        <v>352.15</v>
      </c>
      <c r="M24" s="378">
        <v>0.18</v>
      </c>
      <c r="N24" s="380">
        <f>L24/1.18</f>
        <v>298.43220338983048</v>
      </c>
      <c r="O24" s="381">
        <f t="shared" ref="O24:O85" si="0">N24*K24</f>
        <v>20293.389830508473</v>
      </c>
      <c r="P24" s="381">
        <f t="shared" ref="P24:P85" si="1">IF(ISBLANK(G24),F24*O24,G24*O24)</f>
        <v>3652.8101694915249</v>
      </c>
      <c r="Q24" s="224"/>
    </row>
    <row r="25" spans="1:17" ht="51">
      <c r="A25" s="238">
        <v>3</v>
      </c>
      <c r="B25" s="321" t="s">
        <v>1460</v>
      </c>
      <c r="C25" s="267" t="s">
        <v>1317</v>
      </c>
      <c r="D25" s="267" t="s">
        <v>1318</v>
      </c>
      <c r="E25" s="228"/>
      <c r="F25" s="225">
        <v>0.18</v>
      </c>
      <c r="G25" s="229"/>
      <c r="H25" s="230">
        <v>2.25</v>
      </c>
      <c r="I25" s="239" t="s">
        <v>50</v>
      </c>
      <c r="J25" s="230" t="s">
        <v>469</v>
      </c>
      <c r="K25" s="251">
        <v>273</v>
      </c>
      <c r="L25" s="234">
        <v>196</v>
      </c>
      <c r="M25" s="378">
        <v>0.18</v>
      </c>
      <c r="N25" s="380">
        <f>L25/1.18</f>
        <v>166.10169491525426</v>
      </c>
      <c r="O25" s="381">
        <f t="shared" si="0"/>
        <v>45345.762711864409</v>
      </c>
      <c r="P25" s="381">
        <f t="shared" si="1"/>
        <v>8162.2372881355932</v>
      </c>
      <c r="Q25" s="224"/>
    </row>
    <row r="26" spans="1:17" ht="25.5">
      <c r="A26" s="516">
        <v>4</v>
      </c>
      <c r="B26" s="223"/>
      <c r="C26" s="223"/>
      <c r="D26" s="223"/>
      <c r="E26" s="253"/>
      <c r="F26" s="376"/>
      <c r="G26" s="376"/>
      <c r="H26" s="230">
        <v>2.2599999999999998</v>
      </c>
      <c r="I26" s="239" t="s">
        <v>1002</v>
      </c>
      <c r="J26" s="240"/>
      <c r="K26" s="251" t="s">
        <v>1229</v>
      </c>
      <c r="L26" s="234"/>
      <c r="M26" s="378"/>
      <c r="N26" s="380"/>
      <c r="O26" s="381"/>
      <c r="P26" s="381"/>
      <c r="Q26" s="224"/>
    </row>
    <row r="27" spans="1:17">
      <c r="A27" s="517"/>
      <c r="B27" s="321" t="s">
        <v>1460</v>
      </c>
      <c r="C27" s="267" t="s">
        <v>1319</v>
      </c>
      <c r="D27" s="267" t="s">
        <v>1315</v>
      </c>
      <c r="E27" s="228"/>
      <c r="F27" s="225">
        <v>0.18</v>
      </c>
      <c r="G27" s="229"/>
      <c r="H27" s="230" t="s">
        <v>53</v>
      </c>
      <c r="I27" s="231" t="s">
        <v>998</v>
      </c>
      <c r="J27" s="230" t="s">
        <v>469</v>
      </c>
      <c r="K27" s="251">
        <v>273</v>
      </c>
      <c r="L27" s="234">
        <v>126.8</v>
      </c>
      <c r="M27" s="378">
        <v>0.18</v>
      </c>
      <c r="N27" s="380">
        <f>L27/1.18</f>
        <v>107.45762711864407</v>
      </c>
      <c r="O27" s="381">
        <f t="shared" si="0"/>
        <v>29335.932203389832</v>
      </c>
      <c r="P27" s="381">
        <f t="shared" si="1"/>
        <v>5280.4677966101699</v>
      </c>
      <c r="Q27" s="224"/>
    </row>
    <row r="28" spans="1:17" ht="38.25">
      <c r="A28" s="516">
        <v>5</v>
      </c>
      <c r="B28" s="223"/>
      <c r="C28" s="223"/>
      <c r="D28" s="223"/>
      <c r="E28" s="253"/>
      <c r="F28" s="376"/>
      <c r="G28" s="376"/>
      <c r="H28" s="230">
        <v>4.0999999999999996</v>
      </c>
      <c r="I28" s="231" t="s">
        <v>1003</v>
      </c>
      <c r="J28" s="230"/>
      <c r="K28" s="251"/>
      <c r="L28" s="234"/>
      <c r="M28" s="378"/>
      <c r="N28" s="380"/>
      <c r="O28" s="381"/>
      <c r="P28" s="381"/>
      <c r="Q28" s="224"/>
    </row>
    <row r="29" spans="1:17" ht="25.5">
      <c r="A29" s="517"/>
      <c r="B29" s="321" t="s">
        <v>1460</v>
      </c>
      <c r="C29" s="267" t="s">
        <v>1320</v>
      </c>
      <c r="D29" s="267" t="s">
        <v>1321</v>
      </c>
      <c r="E29" s="228"/>
      <c r="F29" s="225">
        <v>0.18</v>
      </c>
      <c r="G29" s="229"/>
      <c r="H29" s="241" t="s">
        <v>61</v>
      </c>
      <c r="I29" s="239" t="s">
        <v>1004</v>
      </c>
      <c r="J29" s="230" t="s">
        <v>469</v>
      </c>
      <c r="K29" s="251">
        <v>19</v>
      </c>
      <c r="L29" s="234">
        <v>6812</v>
      </c>
      <c r="M29" s="378">
        <v>0.18</v>
      </c>
      <c r="N29" s="380">
        <f>L29/1.18</f>
        <v>5772.8813559322034</v>
      </c>
      <c r="O29" s="381">
        <f t="shared" si="0"/>
        <v>109684.74576271187</v>
      </c>
      <c r="P29" s="381">
        <f t="shared" si="1"/>
        <v>19743.254237288136</v>
      </c>
      <c r="Q29" s="224"/>
    </row>
    <row r="30" spans="1:17" ht="38.25">
      <c r="A30" s="514">
        <v>6</v>
      </c>
      <c r="B30" s="223"/>
      <c r="C30" s="223"/>
      <c r="D30" s="223"/>
      <c r="E30" s="253"/>
      <c r="F30" s="376"/>
      <c r="G30" s="376"/>
      <c r="H30" s="230">
        <v>5.0999999999999996</v>
      </c>
      <c r="I30" s="239" t="s">
        <v>1005</v>
      </c>
      <c r="J30" s="230"/>
      <c r="K30" s="251"/>
      <c r="L30" s="242"/>
      <c r="M30" s="378"/>
      <c r="N30" s="380"/>
      <c r="O30" s="381"/>
      <c r="P30" s="381"/>
      <c r="Q30" s="224"/>
    </row>
    <row r="31" spans="1:17" ht="38.25">
      <c r="A31" s="515"/>
      <c r="B31" s="321" t="s">
        <v>1460</v>
      </c>
      <c r="C31" s="267" t="s">
        <v>1322</v>
      </c>
      <c r="D31" s="267" t="s">
        <v>1321</v>
      </c>
      <c r="E31" s="228"/>
      <c r="F31" s="225">
        <v>0.18</v>
      </c>
      <c r="G31" s="229"/>
      <c r="H31" s="230" t="s">
        <v>1006</v>
      </c>
      <c r="I31" s="231" t="s">
        <v>1007</v>
      </c>
      <c r="J31" s="230" t="s">
        <v>1230</v>
      </c>
      <c r="K31" s="251">
        <v>43</v>
      </c>
      <c r="L31" s="234">
        <v>8583.4</v>
      </c>
      <c r="M31" s="378">
        <v>0.18</v>
      </c>
      <c r="N31" s="380">
        <f>L31/1.18</f>
        <v>7274.0677966101694</v>
      </c>
      <c r="O31" s="381">
        <f t="shared" si="0"/>
        <v>312784.9152542373</v>
      </c>
      <c r="P31" s="381">
        <f t="shared" si="1"/>
        <v>56301.284745762714</v>
      </c>
      <c r="Q31" s="224"/>
    </row>
    <row r="32" spans="1:17" ht="25.5">
      <c r="A32" s="238">
        <v>7</v>
      </c>
      <c r="B32" s="223"/>
      <c r="C32" s="223"/>
      <c r="D32" s="223"/>
      <c r="E32" s="253"/>
      <c r="F32" s="376"/>
      <c r="G32" s="376"/>
      <c r="H32" s="230">
        <v>5.9</v>
      </c>
      <c r="I32" s="231" t="s">
        <v>1008</v>
      </c>
      <c r="J32" s="230"/>
      <c r="K32" s="251"/>
      <c r="L32" s="234"/>
      <c r="M32" s="378"/>
      <c r="N32" s="380"/>
      <c r="O32" s="381"/>
      <c r="P32" s="381"/>
      <c r="Q32" s="224"/>
    </row>
    <row r="33" spans="1:17">
      <c r="A33" s="238" t="s">
        <v>1233</v>
      </c>
      <c r="B33" s="321" t="s">
        <v>1460</v>
      </c>
      <c r="C33" s="267" t="s">
        <v>1323</v>
      </c>
      <c r="D33" s="267" t="s">
        <v>1324</v>
      </c>
      <c r="E33" s="228"/>
      <c r="F33" s="225">
        <v>0.18</v>
      </c>
      <c r="G33" s="229"/>
      <c r="H33" s="230" t="s">
        <v>85</v>
      </c>
      <c r="I33" s="231" t="s">
        <v>1009</v>
      </c>
      <c r="J33" s="230" t="s">
        <v>72</v>
      </c>
      <c r="K33" s="251">
        <v>208</v>
      </c>
      <c r="L33" s="234">
        <v>392.15</v>
      </c>
      <c r="M33" s="378">
        <v>0.18</v>
      </c>
      <c r="N33" s="380">
        <f t="shared" ref="N33:N37" si="2">L33/1.18</f>
        <v>332.33050847457628</v>
      </c>
      <c r="O33" s="381">
        <f t="shared" si="0"/>
        <v>69124.745762711871</v>
      </c>
      <c r="P33" s="381">
        <f t="shared" si="1"/>
        <v>12442.454237288137</v>
      </c>
      <c r="Q33" s="224"/>
    </row>
    <row r="34" spans="1:17">
      <c r="A34" s="238" t="s">
        <v>1234</v>
      </c>
      <c r="B34" s="321" t="s">
        <v>1460</v>
      </c>
      <c r="C34" s="267" t="s">
        <v>1325</v>
      </c>
      <c r="D34" s="267" t="s">
        <v>1324</v>
      </c>
      <c r="E34" s="228"/>
      <c r="F34" s="225">
        <v>0.18</v>
      </c>
      <c r="G34" s="229"/>
      <c r="H34" s="230" t="s">
        <v>90</v>
      </c>
      <c r="I34" s="231" t="s">
        <v>91</v>
      </c>
      <c r="J34" s="230" t="s">
        <v>72</v>
      </c>
      <c r="K34" s="251">
        <v>42</v>
      </c>
      <c r="L34" s="234">
        <v>927.25</v>
      </c>
      <c r="M34" s="378">
        <v>0.18</v>
      </c>
      <c r="N34" s="380">
        <f t="shared" si="2"/>
        <v>785.80508474576277</v>
      </c>
      <c r="O34" s="381">
        <f t="shared" si="0"/>
        <v>33003.813559322036</v>
      </c>
      <c r="P34" s="381">
        <f t="shared" si="1"/>
        <v>5940.6864406779659</v>
      </c>
      <c r="Q34" s="224"/>
    </row>
    <row r="35" spans="1:17">
      <c r="A35" s="238" t="s">
        <v>1235</v>
      </c>
      <c r="B35" s="321" t="s">
        <v>1460</v>
      </c>
      <c r="C35" s="267" t="s">
        <v>1326</v>
      </c>
      <c r="D35" s="267" t="s">
        <v>1324</v>
      </c>
      <c r="E35" s="228"/>
      <c r="F35" s="225">
        <v>0.18</v>
      </c>
      <c r="G35" s="229"/>
      <c r="H35" s="230" t="s">
        <v>93</v>
      </c>
      <c r="I35" s="231" t="s">
        <v>1010</v>
      </c>
      <c r="J35" s="230" t="s">
        <v>72</v>
      </c>
      <c r="K35" s="251">
        <v>504</v>
      </c>
      <c r="L35" s="234">
        <v>736.4</v>
      </c>
      <c r="M35" s="378">
        <v>0.18</v>
      </c>
      <c r="N35" s="380">
        <f t="shared" si="2"/>
        <v>624.06779661016947</v>
      </c>
      <c r="O35" s="381">
        <f t="shared" si="0"/>
        <v>314530.16949152539</v>
      </c>
      <c r="P35" s="381">
        <f t="shared" si="1"/>
        <v>56615.430508474565</v>
      </c>
      <c r="Q35" s="224"/>
    </row>
    <row r="36" spans="1:17">
      <c r="A36" s="238" t="s">
        <v>1236</v>
      </c>
      <c r="B36" s="321" t="s">
        <v>1460</v>
      </c>
      <c r="C36" s="267" t="s">
        <v>1327</v>
      </c>
      <c r="D36" s="267" t="s">
        <v>1324</v>
      </c>
      <c r="E36" s="228"/>
      <c r="F36" s="225">
        <v>0.18</v>
      </c>
      <c r="G36" s="229"/>
      <c r="H36" s="230" t="s">
        <v>96</v>
      </c>
      <c r="I36" s="239" t="s">
        <v>1011</v>
      </c>
      <c r="J36" s="230" t="s">
        <v>72</v>
      </c>
      <c r="K36" s="251">
        <v>238</v>
      </c>
      <c r="L36" s="234">
        <v>961.3</v>
      </c>
      <c r="M36" s="378">
        <v>0.18</v>
      </c>
      <c r="N36" s="380">
        <f t="shared" si="2"/>
        <v>814.66101694915255</v>
      </c>
      <c r="O36" s="381">
        <f t="shared" si="0"/>
        <v>193889.32203389829</v>
      </c>
      <c r="P36" s="381">
        <f t="shared" si="1"/>
        <v>34900.077966101693</v>
      </c>
      <c r="Q36" s="224"/>
    </row>
    <row r="37" spans="1:17">
      <c r="A37" s="238" t="s">
        <v>1237</v>
      </c>
      <c r="B37" s="321" t="s">
        <v>1460</v>
      </c>
      <c r="C37" s="267" t="s">
        <v>1328</v>
      </c>
      <c r="D37" s="267" t="s">
        <v>1324</v>
      </c>
      <c r="E37" s="228"/>
      <c r="F37" s="225">
        <v>0.18</v>
      </c>
      <c r="G37" s="229"/>
      <c r="H37" s="230" t="s">
        <v>106</v>
      </c>
      <c r="I37" s="239" t="s">
        <v>1012</v>
      </c>
      <c r="J37" s="230" t="s">
        <v>72</v>
      </c>
      <c r="K37" s="251">
        <v>48</v>
      </c>
      <c r="L37" s="234">
        <v>951.1</v>
      </c>
      <c r="M37" s="378">
        <v>0.18</v>
      </c>
      <c r="N37" s="380">
        <f t="shared" si="2"/>
        <v>806.01694915254245</v>
      </c>
      <c r="O37" s="381">
        <f t="shared" si="0"/>
        <v>38688.813559322036</v>
      </c>
      <c r="P37" s="381">
        <f t="shared" si="1"/>
        <v>6963.9864406779661</v>
      </c>
      <c r="Q37" s="224"/>
    </row>
    <row r="38" spans="1:17" ht="76.5">
      <c r="A38" s="516">
        <v>8</v>
      </c>
      <c r="B38" s="223"/>
      <c r="C38" s="223"/>
      <c r="D38" s="223"/>
      <c r="E38" s="253"/>
      <c r="F38" s="376"/>
      <c r="G38" s="376"/>
      <c r="H38" s="230">
        <v>5.18</v>
      </c>
      <c r="I38" s="239" t="s">
        <v>1013</v>
      </c>
      <c r="J38" s="230"/>
      <c r="K38" s="251"/>
      <c r="L38" s="234"/>
      <c r="M38" s="378"/>
      <c r="N38" s="380"/>
      <c r="O38" s="381"/>
      <c r="P38" s="381"/>
      <c r="Q38" s="224"/>
    </row>
    <row r="39" spans="1:17">
      <c r="A39" s="517"/>
      <c r="B39" s="321" t="s">
        <v>1460</v>
      </c>
      <c r="C39" s="267" t="s">
        <v>1329</v>
      </c>
      <c r="D39" s="267" t="s">
        <v>1321</v>
      </c>
      <c r="E39" s="228"/>
      <c r="F39" s="225">
        <v>0.18</v>
      </c>
      <c r="G39" s="229"/>
      <c r="H39" s="230" t="s">
        <v>1014</v>
      </c>
      <c r="I39" s="239" t="s">
        <v>1015</v>
      </c>
      <c r="J39" s="230" t="s">
        <v>702</v>
      </c>
      <c r="K39" s="251">
        <v>75</v>
      </c>
      <c r="L39" s="234">
        <v>1886.9</v>
      </c>
      <c r="M39" s="378">
        <v>0.18</v>
      </c>
      <c r="N39" s="380">
        <f>L39/1.18</f>
        <v>1599.0677966101696</v>
      </c>
      <c r="O39" s="381">
        <f t="shared" si="0"/>
        <v>119930.08474576272</v>
      </c>
      <c r="P39" s="381">
        <f t="shared" si="1"/>
        <v>21587.41525423729</v>
      </c>
      <c r="Q39" s="224"/>
    </row>
    <row r="40" spans="1:17" ht="38.25">
      <c r="A40" s="516">
        <v>9</v>
      </c>
      <c r="B40" s="223"/>
      <c r="C40" s="223"/>
      <c r="D40" s="223"/>
      <c r="E40" s="253"/>
      <c r="F40" s="376"/>
      <c r="G40" s="376"/>
      <c r="H40" s="230">
        <v>5.22</v>
      </c>
      <c r="I40" s="239" t="s">
        <v>1016</v>
      </c>
      <c r="J40" s="230"/>
      <c r="K40" s="251"/>
      <c r="L40" s="234"/>
      <c r="M40" s="378"/>
      <c r="N40" s="380"/>
      <c r="O40" s="381"/>
      <c r="P40" s="381"/>
      <c r="Q40" s="224"/>
    </row>
    <row r="41" spans="1:17">
      <c r="A41" s="517"/>
      <c r="B41" s="321" t="s">
        <v>1460</v>
      </c>
      <c r="C41" s="267" t="s">
        <v>1330</v>
      </c>
      <c r="D41" s="267" t="s">
        <v>1321</v>
      </c>
      <c r="E41" s="228"/>
      <c r="F41" s="225">
        <v>0.18</v>
      </c>
      <c r="G41" s="229"/>
      <c r="H41" s="230" t="s">
        <v>1017</v>
      </c>
      <c r="I41" s="239" t="s">
        <v>561</v>
      </c>
      <c r="J41" s="230" t="s">
        <v>167</v>
      </c>
      <c r="K41" s="251">
        <v>16500</v>
      </c>
      <c r="L41" s="234">
        <v>107.85</v>
      </c>
      <c r="M41" s="378">
        <v>0.18</v>
      </c>
      <c r="N41" s="380">
        <f>L41/1.18</f>
        <v>91.398305084745758</v>
      </c>
      <c r="O41" s="381">
        <f t="shared" si="0"/>
        <v>1508072.0338983049</v>
      </c>
      <c r="P41" s="381">
        <f t="shared" si="1"/>
        <v>271452.96610169485</v>
      </c>
      <c r="Q41" s="224"/>
    </row>
    <row r="42" spans="1:17" ht="38.25">
      <c r="A42" s="516">
        <v>10</v>
      </c>
      <c r="B42" s="223"/>
      <c r="C42" s="223"/>
      <c r="D42" s="223"/>
      <c r="E42" s="253"/>
      <c r="F42" s="376"/>
      <c r="G42" s="376"/>
      <c r="H42" s="230" t="s">
        <v>1018</v>
      </c>
      <c r="I42" s="239" t="s">
        <v>1019</v>
      </c>
      <c r="J42" s="230"/>
      <c r="K42" s="251" t="s">
        <v>1229</v>
      </c>
      <c r="L42" s="234"/>
      <c r="M42" s="378"/>
      <c r="N42" s="380"/>
      <c r="O42" s="381"/>
      <c r="P42" s="381"/>
      <c r="Q42" s="224"/>
    </row>
    <row r="43" spans="1:17">
      <c r="A43" s="517"/>
      <c r="B43" s="321" t="s">
        <v>1460</v>
      </c>
      <c r="C43" s="267" t="s">
        <v>1330</v>
      </c>
      <c r="D43" s="267" t="s">
        <v>1321</v>
      </c>
      <c r="E43" s="228"/>
      <c r="F43" s="225">
        <v>0.18</v>
      </c>
      <c r="G43" s="229"/>
      <c r="H43" s="230" t="s">
        <v>1020</v>
      </c>
      <c r="I43" s="239" t="s">
        <v>561</v>
      </c>
      <c r="J43" s="230" t="s">
        <v>167</v>
      </c>
      <c r="K43" s="251">
        <v>8880</v>
      </c>
      <c r="L43" s="234">
        <v>107.85</v>
      </c>
      <c r="M43" s="378">
        <v>0.18</v>
      </c>
      <c r="N43" s="380">
        <f>L43/1.18</f>
        <v>91.398305084745758</v>
      </c>
      <c r="O43" s="381">
        <f t="shared" si="0"/>
        <v>811616.94915254228</v>
      </c>
      <c r="P43" s="381">
        <f t="shared" si="1"/>
        <v>146091.05084745761</v>
      </c>
      <c r="Q43" s="224"/>
    </row>
    <row r="44" spans="1:17" ht="25.5">
      <c r="A44" s="238">
        <v>11</v>
      </c>
      <c r="B44" s="321" t="s">
        <v>1460</v>
      </c>
      <c r="C44" s="267">
        <v>120000560</v>
      </c>
      <c r="D44" s="267" t="s">
        <v>1331</v>
      </c>
      <c r="E44" s="228"/>
      <c r="F44" s="225">
        <v>0.18</v>
      </c>
      <c r="G44" s="229"/>
      <c r="H44" s="232">
        <v>5.3</v>
      </c>
      <c r="I44" s="231" t="s">
        <v>110</v>
      </c>
      <c r="J44" s="237" t="s">
        <v>650</v>
      </c>
      <c r="K44" s="251">
        <v>113</v>
      </c>
      <c r="L44" s="234">
        <v>78.400000000000006</v>
      </c>
      <c r="M44" s="378">
        <v>0.18</v>
      </c>
      <c r="N44" s="380">
        <f>L44/1.18</f>
        <v>66.440677966101703</v>
      </c>
      <c r="O44" s="381">
        <f t="shared" si="0"/>
        <v>7507.7966101694929</v>
      </c>
      <c r="P44" s="381">
        <f t="shared" si="1"/>
        <v>1351.4033898305086</v>
      </c>
      <c r="Q44" s="224"/>
    </row>
    <row r="45" spans="1:17" ht="204">
      <c r="A45" s="238">
        <v>12</v>
      </c>
      <c r="B45" s="223"/>
      <c r="C45" s="223"/>
      <c r="D45" s="223"/>
      <c r="E45" s="253"/>
      <c r="F45" s="376"/>
      <c r="G45" s="376"/>
      <c r="H45" s="230">
        <v>5.33</v>
      </c>
      <c r="I45" s="239" t="s">
        <v>1021</v>
      </c>
      <c r="J45" s="230"/>
      <c r="K45" s="251"/>
      <c r="L45" s="234"/>
      <c r="M45" s="378"/>
      <c r="N45" s="380"/>
      <c r="O45" s="381"/>
      <c r="P45" s="381"/>
      <c r="Q45" s="224"/>
    </row>
    <row r="46" spans="1:17">
      <c r="A46" s="516" t="s">
        <v>1233</v>
      </c>
      <c r="B46" s="223"/>
      <c r="C46" s="223"/>
      <c r="D46" s="223"/>
      <c r="E46" s="253"/>
      <c r="F46" s="376"/>
      <c r="G46" s="376"/>
      <c r="H46" s="230" t="s">
        <v>582</v>
      </c>
      <c r="I46" s="239" t="s">
        <v>583</v>
      </c>
      <c r="J46" s="230"/>
      <c r="K46" s="251"/>
      <c r="L46" s="234"/>
      <c r="M46" s="378"/>
      <c r="N46" s="380"/>
      <c r="O46" s="381"/>
      <c r="P46" s="381"/>
      <c r="Q46" s="224"/>
    </row>
    <row r="47" spans="1:17" ht="25.5">
      <c r="A47" s="517"/>
      <c r="B47" s="321" t="s">
        <v>1460</v>
      </c>
      <c r="C47" s="267" t="s">
        <v>1332</v>
      </c>
      <c r="D47" s="267" t="s">
        <v>1333</v>
      </c>
      <c r="E47" s="228"/>
      <c r="F47" s="225">
        <v>0.18</v>
      </c>
      <c r="G47" s="229"/>
      <c r="H47" s="230" t="s">
        <v>1022</v>
      </c>
      <c r="I47" s="239" t="s">
        <v>1023</v>
      </c>
      <c r="J47" s="230" t="s">
        <v>469</v>
      </c>
      <c r="K47" s="251">
        <v>88</v>
      </c>
      <c r="L47" s="234">
        <v>9504.75</v>
      </c>
      <c r="M47" s="378">
        <v>0.18</v>
      </c>
      <c r="N47" s="380">
        <f t="shared" ref="N47:N108" si="3">L47/1.18</f>
        <v>8054.8728813559328</v>
      </c>
      <c r="O47" s="381">
        <f t="shared" si="0"/>
        <v>708828.81355932204</v>
      </c>
      <c r="P47" s="381">
        <f t="shared" si="1"/>
        <v>127589.18644067796</v>
      </c>
      <c r="Q47" s="224"/>
    </row>
    <row r="48" spans="1:17">
      <c r="A48" s="516" t="s">
        <v>1234</v>
      </c>
      <c r="B48" s="223"/>
      <c r="C48" s="223"/>
      <c r="D48" s="223"/>
      <c r="E48" s="253"/>
      <c r="F48" s="376"/>
      <c r="G48" s="376"/>
      <c r="H48" s="230" t="s">
        <v>596</v>
      </c>
      <c r="I48" s="239" t="s">
        <v>597</v>
      </c>
      <c r="J48" s="230"/>
      <c r="K48" s="251"/>
      <c r="L48" s="234"/>
      <c r="M48" s="378"/>
      <c r="N48" s="380"/>
      <c r="O48" s="381"/>
      <c r="P48" s="381"/>
      <c r="Q48" s="224"/>
    </row>
    <row r="49" spans="1:17" ht="25.5">
      <c r="A49" s="517"/>
      <c r="B49" s="321" t="s">
        <v>1460</v>
      </c>
      <c r="C49" s="267" t="s">
        <v>1334</v>
      </c>
      <c r="D49" s="267" t="s">
        <v>1333</v>
      </c>
      <c r="E49" s="228"/>
      <c r="F49" s="225">
        <v>0.18</v>
      </c>
      <c r="G49" s="229"/>
      <c r="H49" s="224" t="s">
        <v>1024</v>
      </c>
      <c r="I49" s="243" t="s">
        <v>1023</v>
      </c>
      <c r="J49" s="230" t="s">
        <v>469</v>
      </c>
      <c r="K49" s="251">
        <v>110</v>
      </c>
      <c r="L49" s="234">
        <v>9860.4</v>
      </c>
      <c r="M49" s="378">
        <v>0.18</v>
      </c>
      <c r="N49" s="380">
        <f t="shared" si="3"/>
        <v>8356.2711864406774</v>
      </c>
      <c r="O49" s="381">
        <f t="shared" si="0"/>
        <v>919189.83050847449</v>
      </c>
      <c r="P49" s="381">
        <f t="shared" si="1"/>
        <v>165454.16949152539</v>
      </c>
      <c r="Q49" s="224"/>
    </row>
    <row r="50" spans="1:17" ht="25.5">
      <c r="A50" s="238">
        <v>13</v>
      </c>
      <c r="B50" s="321" t="s">
        <v>1460</v>
      </c>
      <c r="C50" s="267" t="s">
        <v>1335</v>
      </c>
      <c r="D50" s="267" t="s">
        <v>1321</v>
      </c>
      <c r="E50" s="228"/>
      <c r="F50" s="225">
        <v>0.18</v>
      </c>
      <c r="G50" s="229"/>
      <c r="H50" s="230">
        <v>5.35</v>
      </c>
      <c r="I50" s="239" t="s">
        <v>115</v>
      </c>
      <c r="J50" s="230" t="s">
        <v>615</v>
      </c>
      <c r="K50" s="251">
        <v>79.2</v>
      </c>
      <c r="L50" s="234">
        <v>733.5</v>
      </c>
      <c r="M50" s="378">
        <v>0.18</v>
      </c>
      <c r="N50" s="380">
        <f t="shared" si="3"/>
        <v>621.61016949152543</v>
      </c>
      <c r="O50" s="381">
        <f t="shared" si="0"/>
        <v>49231.525423728817</v>
      </c>
      <c r="P50" s="381">
        <f t="shared" si="1"/>
        <v>8861.6745762711871</v>
      </c>
      <c r="Q50" s="224"/>
    </row>
    <row r="51" spans="1:17" ht="38.25">
      <c r="A51" s="516">
        <v>14</v>
      </c>
      <c r="B51" s="223"/>
      <c r="C51" s="223"/>
      <c r="D51" s="223"/>
      <c r="E51" s="253"/>
      <c r="F51" s="376"/>
      <c r="G51" s="376"/>
      <c r="H51" s="230">
        <v>6.1</v>
      </c>
      <c r="I51" s="239" t="s">
        <v>1025</v>
      </c>
      <c r="J51" s="230"/>
      <c r="K51" s="251" t="s">
        <v>1229</v>
      </c>
      <c r="L51" s="234"/>
      <c r="M51" s="378"/>
      <c r="N51" s="380"/>
      <c r="O51" s="381"/>
      <c r="P51" s="381"/>
      <c r="Q51" s="224"/>
    </row>
    <row r="52" spans="1:17">
      <c r="A52" s="517"/>
      <c r="B52" s="321" t="s">
        <v>1460</v>
      </c>
      <c r="C52" s="267" t="s">
        <v>1336</v>
      </c>
      <c r="D52" s="267" t="s">
        <v>1337</v>
      </c>
      <c r="E52" s="228"/>
      <c r="F52" s="225">
        <v>0.18</v>
      </c>
      <c r="G52" s="229"/>
      <c r="H52" s="230" t="s">
        <v>119</v>
      </c>
      <c r="I52" s="239" t="s">
        <v>120</v>
      </c>
      <c r="J52" s="230" t="s">
        <v>469</v>
      </c>
      <c r="K52" s="251">
        <v>53</v>
      </c>
      <c r="L52" s="234">
        <v>7132.25</v>
      </c>
      <c r="M52" s="378">
        <v>0.18</v>
      </c>
      <c r="N52" s="380">
        <f t="shared" si="3"/>
        <v>6044.2796610169498</v>
      </c>
      <c r="O52" s="381">
        <f t="shared" si="0"/>
        <v>320346.82203389832</v>
      </c>
      <c r="P52" s="381">
        <f t="shared" si="1"/>
        <v>57662.427966101699</v>
      </c>
      <c r="Q52" s="224"/>
    </row>
    <row r="53" spans="1:17" ht="38.25">
      <c r="A53" s="516">
        <v>15</v>
      </c>
      <c r="B53" s="223"/>
      <c r="C53" s="223"/>
      <c r="D53" s="223"/>
      <c r="E53" s="253"/>
      <c r="F53" s="376"/>
      <c r="G53" s="376"/>
      <c r="H53" s="230">
        <v>6.4</v>
      </c>
      <c r="I53" s="231" t="s">
        <v>123</v>
      </c>
      <c r="J53" s="230"/>
      <c r="K53" s="251"/>
      <c r="L53" s="234"/>
      <c r="M53" s="378"/>
      <c r="N53" s="380"/>
      <c r="O53" s="381"/>
      <c r="P53" s="381"/>
      <c r="Q53" s="224"/>
    </row>
    <row r="54" spans="1:17">
      <c r="A54" s="517"/>
      <c r="B54" s="321" t="s">
        <v>1460</v>
      </c>
      <c r="C54" s="267" t="s">
        <v>1338</v>
      </c>
      <c r="D54" s="267" t="s">
        <v>1337</v>
      </c>
      <c r="E54" s="228"/>
      <c r="F54" s="225">
        <v>0.18</v>
      </c>
      <c r="G54" s="229"/>
      <c r="H54" s="230" t="s">
        <v>1026</v>
      </c>
      <c r="I54" s="244" t="s">
        <v>1027</v>
      </c>
      <c r="J54" s="237" t="s">
        <v>469</v>
      </c>
      <c r="K54" s="251">
        <v>41</v>
      </c>
      <c r="L54" s="234">
        <v>9344.35</v>
      </c>
      <c r="M54" s="378">
        <v>0.18</v>
      </c>
      <c r="N54" s="380">
        <f t="shared" si="3"/>
        <v>7918.9406779661022</v>
      </c>
      <c r="O54" s="381">
        <f t="shared" si="0"/>
        <v>324676.56779661018</v>
      </c>
      <c r="P54" s="381">
        <f t="shared" si="1"/>
        <v>58441.782203389834</v>
      </c>
      <c r="Q54" s="224"/>
    </row>
    <row r="55" spans="1:17" ht="25.5">
      <c r="A55" s="521">
        <v>16</v>
      </c>
      <c r="B55" s="223"/>
      <c r="C55" s="223"/>
      <c r="D55" s="223"/>
      <c r="E55" s="253"/>
      <c r="F55" s="376"/>
      <c r="G55" s="376"/>
      <c r="H55" s="230">
        <v>6.12</v>
      </c>
      <c r="I55" s="243" t="s">
        <v>1028</v>
      </c>
      <c r="J55" s="237"/>
      <c r="K55" s="251"/>
      <c r="L55" s="234"/>
      <c r="M55" s="378"/>
      <c r="N55" s="380"/>
      <c r="O55" s="381"/>
      <c r="P55" s="381"/>
      <c r="Q55" s="224"/>
    </row>
    <row r="56" spans="1:17">
      <c r="A56" s="522"/>
      <c r="B56" s="321" t="s">
        <v>1460</v>
      </c>
      <c r="C56" s="267" t="s">
        <v>1339</v>
      </c>
      <c r="D56" s="267" t="s">
        <v>1337</v>
      </c>
      <c r="E56" s="228"/>
      <c r="F56" s="225">
        <v>0.18</v>
      </c>
      <c r="G56" s="229"/>
      <c r="H56" s="230" t="s">
        <v>1029</v>
      </c>
      <c r="I56" s="239" t="s">
        <v>1030</v>
      </c>
      <c r="J56" s="230" t="s">
        <v>72</v>
      </c>
      <c r="K56" s="251">
        <v>43</v>
      </c>
      <c r="L56" s="234">
        <v>905.05</v>
      </c>
      <c r="M56" s="378">
        <v>0.18</v>
      </c>
      <c r="N56" s="380">
        <f t="shared" si="3"/>
        <v>766.99152542372883</v>
      </c>
      <c r="O56" s="381">
        <f t="shared" si="0"/>
        <v>32980.635593220337</v>
      </c>
      <c r="P56" s="381">
        <f t="shared" si="1"/>
        <v>5936.51440677966</v>
      </c>
      <c r="Q56" s="224"/>
    </row>
    <row r="57" spans="1:17" ht="102">
      <c r="A57" s="514">
        <v>17</v>
      </c>
      <c r="B57" s="223"/>
      <c r="C57" s="223"/>
      <c r="D57" s="223"/>
      <c r="E57" s="253"/>
      <c r="F57" s="376"/>
      <c r="G57" s="376"/>
      <c r="H57" s="230">
        <v>8.1999999999999993</v>
      </c>
      <c r="I57" s="239" t="s">
        <v>1031</v>
      </c>
      <c r="J57" s="230"/>
      <c r="K57" s="251" t="s">
        <v>1229</v>
      </c>
      <c r="L57" s="234"/>
      <c r="M57" s="378"/>
      <c r="N57" s="380"/>
      <c r="O57" s="381"/>
      <c r="P57" s="381"/>
      <c r="Q57" s="224"/>
    </row>
    <row r="58" spans="1:17">
      <c r="A58" s="523"/>
      <c r="B58" s="223"/>
      <c r="C58" s="223"/>
      <c r="D58" s="223"/>
      <c r="E58" s="253"/>
      <c r="F58" s="376"/>
      <c r="G58" s="376"/>
      <c r="H58" s="230" t="s">
        <v>141</v>
      </c>
      <c r="I58" s="239" t="s">
        <v>1032</v>
      </c>
      <c r="J58" s="230"/>
      <c r="K58" s="251" t="s">
        <v>1229</v>
      </c>
      <c r="L58" s="234"/>
      <c r="M58" s="378"/>
      <c r="N58" s="380"/>
      <c r="O58" s="381"/>
      <c r="P58" s="381"/>
      <c r="Q58" s="224"/>
    </row>
    <row r="59" spans="1:17">
      <c r="A59" s="515"/>
      <c r="B59" s="321" t="s">
        <v>1460</v>
      </c>
      <c r="C59" s="267" t="s">
        <v>1340</v>
      </c>
      <c r="D59" s="267" t="s">
        <v>1341</v>
      </c>
      <c r="E59" s="228"/>
      <c r="F59" s="225">
        <v>0.18</v>
      </c>
      <c r="G59" s="229"/>
      <c r="H59" s="230" t="s">
        <v>144</v>
      </c>
      <c r="I59" s="231" t="s">
        <v>140</v>
      </c>
      <c r="J59" s="230" t="s">
        <v>72</v>
      </c>
      <c r="K59" s="251">
        <v>40</v>
      </c>
      <c r="L59" s="245">
        <v>5136.3</v>
      </c>
      <c r="M59" s="378">
        <v>0.18</v>
      </c>
      <c r="N59" s="380">
        <f t="shared" si="3"/>
        <v>4352.7966101694919</v>
      </c>
      <c r="O59" s="381">
        <f t="shared" si="0"/>
        <v>174111.86440677967</v>
      </c>
      <c r="P59" s="381">
        <f t="shared" si="1"/>
        <v>31340.135593220341</v>
      </c>
      <c r="Q59" s="224"/>
    </row>
    <row r="60" spans="1:17" ht="38.25">
      <c r="A60" s="514">
        <v>18</v>
      </c>
      <c r="B60" s="223"/>
      <c r="C60" s="223"/>
      <c r="D60" s="223"/>
      <c r="E60" s="253"/>
      <c r="F60" s="376"/>
      <c r="G60" s="376"/>
      <c r="H60" s="230">
        <v>8.3000000000000007</v>
      </c>
      <c r="I60" s="231" t="s">
        <v>1033</v>
      </c>
      <c r="J60" s="230"/>
      <c r="K60" s="251"/>
      <c r="L60" s="245"/>
      <c r="M60" s="378"/>
      <c r="N60" s="380"/>
      <c r="O60" s="381"/>
      <c r="P60" s="381"/>
      <c r="Q60" s="224"/>
    </row>
    <row r="61" spans="1:17">
      <c r="A61" s="515"/>
      <c r="B61" s="321" t="s">
        <v>1460</v>
      </c>
      <c r="C61" s="267" t="s">
        <v>1342</v>
      </c>
      <c r="D61" s="267" t="s">
        <v>1341</v>
      </c>
      <c r="E61" s="228"/>
      <c r="F61" s="225">
        <v>0.18</v>
      </c>
      <c r="G61" s="229"/>
      <c r="H61" s="230" t="s">
        <v>1034</v>
      </c>
      <c r="I61" s="231" t="s">
        <v>1035</v>
      </c>
      <c r="J61" s="230" t="s">
        <v>650</v>
      </c>
      <c r="K61" s="251">
        <v>117</v>
      </c>
      <c r="L61" s="245">
        <v>510.95</v>
      </c>
      <c r="M61" s="378">
        <v>0.18</v>
      </c>
      <c r="N61" s="380">
        <f t="shared" si="3"/>
        <v>433.00847457627123</v>
      </c>
      <c r="O61" s="381">
        <f t="shared" si="0"/>
        <v>50661.991525423735</v>
      </c>
      <c r="P61" s="381">
        <f t="shared" si="1"/>
        <v>9119.1584745762721</v>
      </c>
      <c r="Q61" s="224"/>
    </row>
    <row r="62" spans="1:17" ht="51">
      <c r="A62" s="246">
        <v>19</v>
      </c>
      <c r="B62" s="321" t="s">
        <v>1460</v>
      </c>
      <c r="C62" s="267" t="s">
        <v>1343</v>
      </c>
      <c r="D62" s="267" t="s">
        <v>1341</v>
      </c>
      <c r="E62" s="228"/>
      <c r="F62" s="225">
        <v>0.18</v>
      </c>
      <c r="G62" s="229"/>
      <c r="H62" s="230">
        <v>8.4</v>
      </c>
      <c r="I62" s="231" t="s">
        <v>1036</v>
      </c>
      <c r="J62" s="230" t="s">
        <v>741</v>
      </c>
      <c r="K62" s="251">
        <v>22</v>
      </c>
      <c r="L62" s="245">
        <v>568.54999999999995</v>
      </c>
      <c r="M62" s="378">
        <v>0.18</v>
      </c>
      <c r="N62" s="380">
        <f t="shared" si="3"/>
        <v>481.82203389830505</v>
      </c>
      <c r="O62" s="381">
        <f t="shared" si="0"/>
        <v>10600.084745762711</v>
      </c>
      <c r="P62" s="381">
        <f t="shared" si="1"/>
        <v>1908.015254237288</v>
      </c>
      <c r="Q62" s="224"/>
    </row>
    <row r="63" spans="1:17" ht="63.75">
      <c r="A63" s="238">
        <v>20</v>
      </c>
      <c r="B63" s="321" t="s">
        <v>1460</v>
      </c>
      <c r="C63" s="267" t="s">
        <v>1344</v>
      </c>
      <c r="D63" s="267" t="s">
        <v>1341</v>
      </c>
      <c r="E63" s="228"/>
      <c r="F63" s="225">
        <v>0.18</v>
      </c>
      <c r="G63" s="229"/>
      <c r="H63" s="230">
        <v>8.5</v>
      </c>
      <c r="I63" s="239" t="s">
        <v>1037</v>
      </c>
      <c r="J63" s="230" t="s">
        <v>743</v>
      </c>
      <c r="K63" s="251">
        <v>7</v>
      </c>
      <c r="L63" s="234">
        <v>978.7</v>
      </c>
      <c r="M63" s="378">
        <v>0.18</v>
      </c>
      <c r="N63" s="380">
        <f t="shared" si="3"/>
        <v>829.40677966101703</v>
      </c>
      <c r="O63" s="381">
        <f t="shared" si="0"/>
        <v>5805.8474576271192</v>
      </c>
      <c r="P63" s="381">
        <f t="shared" si="1"/>
        <v>1045.0525423728814</v>
      </c>
      <c r="Q63" s="224"/>
    </row>
    <row r="64" spans="1:17" ht="63.75">
      <c r="A64" s="516">
        <v>21</v>
      </c>
      <c r="B64" s="223"/>
      <c r="C64" s="223"/>
      <c r="D64" s="223"/>
      <c r="E64" s="253"/>
      <c r="F64" s="376"/>
      <c r="G64" s="376"/>
      <c r="H64" s="250"/>
      <c r="I64" s="239" t="s">
        <v>1038</v>
      </c>
      <c r="J64" s="230"/>
      <c r="K64" s="251"/>
      <c r="L64" s="234"/>
      <c r="M64" s="378"/>
      <c r="N64" s="380"/>
      <c r="O64" s="381"/>
      <c r="P64" s="381"/>
      <c r="Q64" s="224"/>
    </row>
    <row r="65" spans="1:17">
      <c r="A65" s="517"/>
      <c r="B65" s="321" t="s">
        <v>1460</v>
      </c>
      <c r="C65" s="267" t="s">
        <v>1345</v>
      </c>
      <c r="D65" s="267" t="s">
        <v>1321</v>
      </c>
      <c r="E65" s="228"/>
      <c r="F65" s="225">
        <v>0.18</v>
      </c>
      <c r="G65" s="229"/>
      <c r="H65" s="230" t="s">
        <v>1039</v>
      </c>
      <c r="I65" s="239" t="s">
        <v>1040</v>
      </c>
      <c r="J65" s="230" t="s">
        <v>72</v>
      </c>
      <c r="K65" s="251">
        <v>27</v>
      </c>
      <c r="L65" s="247">
        <v>1430.2</v>
      </c>
      <c r="M65" s="378">
        <v>0.18</v>
      </c>
      <c r="N65" s="380">
        <f t="shared" si="3"/>
        <v>1212.0338983050849</v>
      </c>
      <c r="O65" s="381">
        <f t="shared" si="0"/>
        <v>32724.915254237294</v>
      </c>
      <c r="P65" s="381">
        <f t="shared" si="1"/>
        <v>5890.4847457627129</v>
      </c>
      <c r="Q65" s="224"/>
    </row>
    <row r="66" spans="1:17" ht="51">
      <c r="A66" s="516">
        <v>22</v>
      </c>
      <c r="B66" s="223"/>
      <c r="C66" s="223"/>
      <c r="D66" s="223"/>
      <c r="E66" s="253"/>
      <c r="F66" s="376"/>
      <c r="G66" s="376"/>
      <c r="H66" s="230">
        <v>8.2799999999999994</v>
      </c>
      <c r="I66" s="239" t="s">
        <v>1041</v>
      </c>
      <c r="J66" s="230"/>
      <c r="K66" s="251"/>
      <c r="L66" s="234"/>
      <c r="M66" s="378"/>
      <c r="N66" s="380"/>
      <c r="O66" s="381"/>
      <c r="P66" s="381"/>
      <c r="Q66" s="224"/>
    </row>
    <row r="67" spans="1:17">
      <c r="A67" s="517"/>
      <c r="B67" s="321" t="s">
        <v>1460</v>
      </c>
      <c r="C67" s="267" t="s">
        <v>1454</v>
      </c>
      <c r="D67" s="267" t="s">
        <v>1347</v>
      </c>
      <c r="E67" s="228"/>
      <c r="F67" s="225">
        <v>0.18</v>
      </c>
      <c r="G67" s="229"/>
      <c r="H67" s="230" t="s">
        <v>1042</v>
      </c>
      <c r="I67" s="239" t="s">
        <v>1043</v>
      </c>
      <c r="J67" s="230" t="s">
        <v>72</v>
      </c>
      <c r="K67" s="251">
        <v>27</v>
      </c>
      <c r="L67" s="245">
        <v>1946.25</v>
      </c>
      <c r="M67" s="378">
        <v>0.18</v>
      </c>
      <c r="N67" s="380">
        <f t="shared" si="3"/>
        <v>1649.3644067796611</v>
      </c>
      <c r="O67" s="381">
        <f t="shared" si="0"/>
        <v>44532.838983050846</v>
      </c>
      <c r="P67" s="381">
        <f t="shared" si="1"/>
        <v>8015.9110169491523</v>
      </c>
      <c r="Q67" s="224"/>
    </row>
    <row r="68" spans="1:17" ht="102">
      <c r="A68" s="238">
        <v>23</v>
      </c>
      <c r="B68" s="321" t="s">
        <v>1460</v>
      </c>
      <c r="C68" s="267" t="s">
        <v>1455</v>
      </c>
      <c r="D68" s="267" t="s">
        <v>1341</v>
      </c>
      <c r="E68" s="228"/>
      <c r="F68" s="225">
        <v>0.18</v>
      </c>
      <c r="G68" s="229"/>
      <c r="H68" s="230">
        <v>8.31</v>
      </c>
      <c r="I68" s="239" t="s">
        <v>1044</v>
      </c>
      <c r="J68" s="230" t="s">
        <v>72</v>
      </c>
      <c r="K68" s="251">
        <v>120</v>
      </c>
      <c r="L68" s="234">
        <v>1267.95</v>
      </c>
      <c r="M68" s="378">
        <v>0.18</v>
      </c>
      <c r="N68" s="380">
        <f t="shared" si="3"/>
        <v>1074.5338983050849</v>
      </c>
      <c r="O68" s="381">
        <f t="shared" si="0"/>
        <v>128944.06779661019</v>
      </c>
      <c r="P68" s="381">
        <f t="shared" si="1"/>
        <v>23209.932203389835</v>
      </c>
      <c r="Q68" s="224"/>
    </row>
    <row r="69" spans="1:17" ht="51">
      <c r="A69" s="516">
        <v>24</v>
      </c>
      <c r="B69" s="223"/>
      <c r="C69" s="223"/>
      <c r="D69" s="223"/>
      <c r="E69" s="253"/>
      <c r="F69" s="376"/>
      <c r="G69" s="376"/>
      <c r="H69" s="230">
        <v>9.4600000000000009</v>
      </c>
      <c r="I69" s="239" t="s">
        <v>1045</v>
      </c>
      <c r="J69" s="230"/>
      <c r="K69" s="251"/>
      <c r="L69" s="245"/>
      <c r="M69" s="378"/>
      <c r="N69" s="380"/>
      <c r="O69" s="381"/>
      <c r="P69" s="381"/>
      <c r="Q69" s="224"/>
    </row>
    <row r="70" spans="1:17">
      <c r="A70" s="517"/>
      <c r="B70" s="321" t="s">
        <v>1460</v>
      </c>
      <c r="C70" s="267" t="s">
        <v>1346</v>
      </c>
      <c r="D70" s="267" t="s">
        <v>1347</v>
      </c>
      <c r="E70" s="228"/>
      <c r="F70" s="225">
        <v>0.18</v>
      </c>
      <c r="G70" s="229"/>
      <c r="H70" s="230" t="s">
        <v>162</v>
      </c>
      <c r="I70" s="239" t="s">
        <v>1046</v>
      </c>
      <c r="J70" s="230" t="s">
        <v>741</v>
      </c>
      <c r="K70" s="251">
        <v>19</v>
      </c>
      <c r="L70" s="245">
        <v>525.54999999999995</v>
      </c>
      <c r="M70" s="378">
        <v>0.18</v>
      </c>
      <c r="N70" s="380">
        <f t="shared" si="3"/>
        <v>445.38135593220335</v>
      </c>
      <c r="O70" s="381">
        <f t="shared" si="0"/>
        <v>8462.2457627118638</v>
      </c>
      <c r="P70" s="381">
        <f t="shared" si="1"/>
        <v>1523.2042372881353</v>
      </c>
      <c r="Q70" s="224"/>
    </row>
    <row r="71" spans="1:17" ht="38.25">
      <c r="A71" s="514">
        <v>25</v>
      </c>
      <c r="B71" s="223"/>
      <c r="C71" s="223"/>
      <c r="D71" s="223"/>
      <c r="E71" s="253"/>
      <c r="F71" s="376"/>
      <c r="G71" s="376"/>
      <c r="H71" s="248">
        <v>9.48</v>
      </c>
      <c r="I71" s="249" t="s">
        <v>1047</v>
      </c>
      <c r="J71" s="250"/>
      <c r="K71" s="251"/>
      <c r="L71" s="245"/>
      <c r="M71" s="378"/>
      <c r="N71" s="380"/>
      <c r="O71" s="381"/>
      <c r="P71" s="381"/>
      <c r="Q71" s="224"/>
    </row>
    <row r="72" spans="1:17">
      <c r="A72" s="515"/>
      <c r="B72" s="321" t="s">
        <v>1460</v>
      </c>
      <c r="C72" s="267" t="s">
        <v>1348</v>
      </c>
      <c r="D72" s="267" t="s">
        <v>1347</v>
      </c>
      <c r="E72" s="228"/>
      <c r="F72" s="225">
        <v>0.18</v>
      </c>
      <c r="G72" s="229"/>
      <c r="H72" s="230" t="s">
        <v>168</v>
      </c>
      <c r="I72" s="239" t="s">
        <v>1048</v>
      </c>
      <c r="J72" s="230" t="s">
        <v>167</v>
      </c>
      <c r="K72" s="251">
        <v>1475</v>
      </c>
      <c r="L72" s="245">
        <v>238.35</v>
      </c>
      <c r="M72" s="378">
        <v>0.18</v>
      </c>
      <c r="N72" s="380">
        <f t="shared" si="3"/>
        <v>201.99152542372883</v>
      </c>
      <c r="O72" s="381">
        <f t="shared" si="0"/>
        <v>297937.5</v>
      </c>
      <c r="P72" s="381">
        <f t="shared" si="1"/>
        <v>53628.75</v>
      </c>
      <c r="Q72" s="224"/>
    </row>
    <row r="73" spans="1:17" ht="63.75">
      <c r="A73" s="238">
        <v>26</v>
      </c>
      <c r="B73" s="321" t="s">
        <v>1460</v>
      </c>
      <c r="C73" s="267" t="s">
        <v>1349</v>
      </c>
      <c r="D73" s="267" t="s">
        <v>1347</v>
      </c>
      <c r="E73" s="228"/>
      <c r="F73" s="225">
        <v>0.18</v>
      </c>
      <c r="G73" s="229"/>
      <c r="H73" s="230">
        <v>9.5299999999999994</v>
      </c>
      <c r="I73" s="239" t="s">
        <v>1049</v>
      </c>
      <c r="J73" s="230" t="s">
        <v>743</v>
      </c>
      <c r="K73" s="251">
        <v>40</v>
      </c>
      <c r="L73" s="245">
        <v>228.85</v>
      </c>
      <c r="M73" s="378">
        <v>0.18</v>
      </c>
      <c r="N73" s="380">
        <f t="shared" si="3"/>
        <v>193.9406779661017</v>
      </c>
      <c r="O73" s="381">
        <f t="shared" si="0"/>
        <v>7757.6271186440681</v>
      </c>
      <c r="P73" s="381">
        <f t="shared" si="1"/>
        <v>1396.3728813559321</v>
      </c>
      <c r="Q73" s="224"/>
    </row>
    <row r="74" spans="1:17" ht="25.5">
      <c r="A74" s="516">
        <v>27</v>
      </c>
      <c r="B74" s="223"/>
      <c r="C74" s="223"/>
      <c r="D74" s="223"/>
      <c r="E74" s="253"/>
      <c r="F74" s="376"/>
      <c r="G74" s="376"/>
      <c r="H74" s="230">
        <v>9.7200000000000006</v>
      </c>
      <c r="I74" s="239" t="s">
        <v>1050</v>
      </c>
      <c r="J74" s="230"/>
      <c r="K74" s="251"/>
      <c r="L74" s="245"/>
      <c r="M74" s="378"/>
      <c r="N74" s="380"/>
      <c r="O74" s="381"/>
      <c r="P74" s="381"/>
      <c r="Q74" s="224"/>
    </row>
    <row r="75" spans="1:17">
      <c r="A75" s="517"/>
      <c r="B75" s="321" t="s">
        <v>1460</v>
      </c>
      <c r="C75" s="267" t="s">
        <v>1350</v>
      </c>
      <c r="D75" s="267" t="s">
        <v>1347</v>
      </c>
      <c r="E75" s="228"/>
      <c r="F75" s="225">
        <v>0.18</v>
      </c>
      <c r="G75" s="229"/>
      <c r="H75" s="250" t="s">
        <v>1051</v>
      </c>
      <c r="I75" s="249" t="s">
        <v>1052</v>
      </c>
      <c r="J75" s="250" t="s">
        <v>743</v>
      </c>
      <c r="K75" s="251">
        <v>28</v>
      </c>
      <c r="L75" s="245">
        <v>185.15</v>
      </c>
      <c r="M75" s="378">
        <v>0.18</v>
      </c>
      <c r="N75" s="380">
        <f t="shared" si="3"/>
        <v>156.90677966101697</v>
      </c>
      <c r="O75" s="381">
        <f t="shared" si="0"/>
        <v>4393.3898305084749</v>
      </c>
      <c r="P75" s="381">
        <f t="shared" si="1"/>
        <v>790.81016949152547</v>
      </c>
      <c r="Q75" s="224"/>
    </row>
    <row r="76" spans="1:17" ht="25.5">
      <c r="A76" s="514">
        <v>28</v>
      </c>
      <c r="B76" s="223"/>
      <c r="C76" s="223"/>
      <c r="D76" s="223"/>
      <c r="E76" s="253"/>
      <c r="F76" s="376"/>
      <c r="G76" s="376"/>
      <c r="H76" s="250">
        <v>9.73</v>
      </c>
      <c r="I76" s="249" t="s">
        <v>1053</v>
      </c>
      <c r="J76" s="250"/>
      <c r="K76" s="251"/>
      <c r="L76" s="245"/>
      <c r="M76" s="378"/>
      <c r="N76" s="380"/>
      <c r="O76" s="381"/>
      <c r="P76" s="381"/>
      <c r="Q76" s="224"/>
    </row>
    <row r="77" spans="1:17">
      <c r="A77" s="515"/>
      <c r="B77" s="321" t="s">
        <v>1460</v>
      </c>
      <c r="C77" s="267" t="s">
        <v>1351</v>
      </c>
      <c r="D77" s="267" t="s">
        <v>1347</v>
      </c>
      <c r="E77" s="228"/>
      <c r="F77" s="225">
        <v>0.18</v>
      </c>
      <c r="G77" s="229"/>
      <c r="H77" s="230" t="s">
        <v>1054</v>
      </c>
      <c r="I77" s="239" t="s">
        <v>1055</v>
      </c>
      <c r="J77" s="230" t="s">
        <v>743</v>
      </c>
      <c r="K77" s="251">
        <v>32</v>
      </c>
      <c r="L77" s="245">
        <v>414.6</v>
      </c>
      <c r="M77" s="378">
        <v>0.18</v>
      </c>
      <c r="N77" s="380">
        <f t="shared" si="3"/>
        <v>351.35593220338984</v>
      </c>
      <c r="O77" s="381">
        <f t="shared" si="0"/>
        <v>11243.389830508475</v>
      </c>
      <c r="P77" s="381">
        <f t="shared" si="1"/>
        <v>2023.8101694915254</v>
      </c>
      <c r="Q77" s="224"/>
    </row>
    <row r="78" spans="1:17" ht="25.5">
      <c r="A78" s="516">
        <v>29</v>
      </c>
      <c r="B78" s="223"/>
      <c r="C78" s="223"/>
      <c r="D78" s="223"/>
      <c r="E78" s="253"/>
      <c r="F78" s="376"/>
      <c r="G78" s="376"/>
      <c r="H78" s="230">
        <v>9.74</v>
      </c>
      <c r="I78" s="239" t="s">
        <v>1056</v>
      </c>
      <c r="J78" s="230"/>
      <c r="K78" s="251"/>
      <c r="L78" s="245"/>
      <c r="M78" s="378"/>
      <c r="N78" s="380"/>
      <c r="O78" s="381"/>
      <c r="P78" s="381"/>
      <c r="Q78" s="224"/>
    </row>
    <row r="79" spans="1:17">
      <c r="A79" s="517"/>
      <c r="B79" s="321" t="s">
        <v>1460</v>
      </c>
      <c r="C79" s="267" t="s">
        <v>1352</v>
      </c>
      <c r="D79" s="267" t="s">
        <v>1347</v>
      </c>
      <c r="E79" s="228"/>
      <c r="F79" s="225">
        <v>0.18</v>
      </c>
      <c r="G79" s="229"/>
      <c r="H79" s="230" t="s">
        <v>1057</v>
      </c>
      <c r="I79" s="239" t="s">
        <v>1058</v>
      </c>
      <c r="J79" s="230" t="s">
        <v>743</v>
      </c>
      <c r="K79" s="251">
        <v>15</v>
      </c>
      <c r="L79" s="245">
        <v>358.4</v>
      </c>
      <c r="M79" s="378">
        <v>0.18</v>
      </c>
      <c r="N79" s="380">
        <f t="shared" si="3"/>
        <v>303.72881355932202</v>
      </c>
      <c r="O79" s="381">
        <f t="shared" si="0"/>
        <v>4555.9322033898306</v>
      </c>
      <c r="P79" s="381">
        <f t="shared" si="1"/>
        <v>820.06779661016947</v>
      </c>
      <c r="Q79" s="224"/>
    </row>
    <row r="80" spans="1:17" ht="25.5">
      <c r="A80" s="516">
        <v>30</v>
      </c>
      <c r="B80" s="223"/>
      <c r="C80" s="223"/>
      <c r="D80" s="223"/>
      <c r="E80" s="253"/>
      <c r="F80" s="376"/>
      <c r="G80" s="376"/>
      <c r="H80" s="230">
        <v>9.81</v>
      </c>
      <c r="I80" s="239" t="s">
        <v>1059</v>
      </c>
      <c r="J80" s="230"/>
      <c r="K80" s="251"/>
      <c r="L80" s="245"/>
      <c r="M80" s="378"/>
      <c r="N80" s="380"/>
      <c r="O80" s="381"/>
      <c r="P80" s="381"/>
      <c r="Q80" s="224"/>
    </row>
    <row r="81" spans="1:17">
      <c r="A81" s="517"/>
      <c r="B81" s="321" t="s">
        <v>1460</v>
      </c>
      <c r="C81" s="267" t="s">
        <v>1353</v>
      </c>
      <c r="D81" s="267" t="s">
        <v>1347</v>
      </c>
      <c r="E81" s="228"/>
      <c r="F81" s="225">
        <v>0.18</v>
      </c>
      <c r="G81" s="229"/>
      <c r="H81" s="230" t="s">
        <v>1060</v>
      </c>
      <c r="I81" s="252" t="s">
        <v>1061</v>
      </c>
      <c r="J81" s="230" t="s">
        <v>743</v>
      </c>
      <c r="K81" s="251">
        <v>30</v>
      </c>
      <c r="L81" s="245">
        <v>256.64999999999998</v>
      </c>
      <c r="M81" s="378">
        <v>0.18</v>
      </c>
      <c r="N81" s="380">
        <f t="shared" si="3"/>
        <v>217.5</v>
      </c>
      <c r="O81" s="381">
        <f t="shared" si="0"/>
        <v>6525</v>
      </c>
      <c r="P81" s="381">
        <f t="shared" si="1"/>
        <v>1174.5</v>
      </c>
      <c r="Q81" s="224"/>
    </row>
    <row r="82" spans="1:17" ht="25.5">
      <c r="A82" s="238">
        <v>31</v>
      </c>
      <c r="B82" s="321" t="s">
        <v>1460</v>
      </c>
      <c r="C82" s="267" t="s">
        <v>1354</v>
      </c>
      <c r="D82" s="267" t="s">
        <v>1347</v>
      </c>
      <c r="E82" s="228"/>
      <c r="F82" s="225">
        <v>0.18</v>
      </c>
      <c r="G82" s="229"/>
      <c r="H82" s="230">
        <v>9.82</v>
      </c>
      <c r="I82" s="239" t="s">
        <v>1062</v>
      </c>
      <c r="J82" s="230" t="s">
        <v>743</v>
      </c>
      <c r="K82" s="251">
        <v>15</v>
      </c>
      <c r="L82" s="245">
        <v>121.65</v>
      </c>
      <c r="M82" s="378">
        <v>0.18</v>
      </c>
      <c r="N82" s="380">
        <f t="shared" si="3"/>
        <v>103.09322033898306</v>
      </c>
      <c r="O82" s="381">
        <f t="shared" si="0"/>
        <v>1546.398305084746</v>
      </c>
      <c r="P82" s="381">
        <f t="shared" si="1"/>
        <v>278.35169491525426</v>
      </c>
      <c r="Q82" s="224"/>
    </row>
    <row r="83" spans="1:17" ht="63.75">
      <c r="A83" s="238">
        <v>32</v>
      </c>
      <c r="B83" s="321" t="s">
        <v>1460</v>
      </c>
      <c r="C83" s="267" t="s">
        <v>1355</v>
      </c>
      <c r="D83" s="267" t="s">
        <v>1347</v>
      </c>
      <c r="E83" s="228"/>
      <c r="F83" s="225">
        <v>0.18</v>
      </c>
      <c r="G83" s="229"/>
      <c r="H83" s="230">
        <v>9.84</v>
      </c>
      <c r="I83" s="239" t="s">
        <v>1063</v>
      </c>
      <c r="J83" s="230" t="s">
        <v>743</v>
      </c>
      <c r="K83" s="251">
        <v>8</v>
      </c>
      <c r="L83" s="245">
        <v>983.15</v>
      </c>
      <c r="M83" s="378">
        <v>0.18</v>
      </c>
      <c r="N83" s="380">
        <f t="shared" si="3"/>
        <v>833.17796610169489</v>
      </c>
      <c r="O83" s="381">
        <f t="shared" si="0"/>
        <v>6665.4237288135591</v>
      </c>
      <c r="P83" s="381">
        <f t="shared" si="1"/>
        <v>1199.7762711864407</v>
      </c>
      <c r="Q83" s="224"/>
    </row>
    <row r="84" spans="1:17" ht="38.25">
      <c r="A84" s="246">
        <v>33</v>
      </c>
      <c r="B84" s="321" t="s">
        <v>1460</v>
      </c>
      <c r="C84" s="267" t="s">
        <v>1356</v>
      </c>
      <c r="D84" s="267" t="s">
        <v>1347</v>
      </c>
      <c r="E84" s="228"/>
      <c r="F84" s="225">
        <v>0.18</v>
      </c>
      <c r="G84" s="229"/>
      <c r="H84" s="250">
        <v>9.8800000000000008</v>
      </c>
      <c r="I84" s="239" t="s">
        <v>1064</v>
      </c>
      <c r="J84" s="230" t="s">
        <v>171</v>
      </c>
      <c r="K84" s="251">
        <v>8</v>
      </c>
      <c r="L84" s="245">
        <v>998.35</v>
      </c>
      <c r="M84" s="378">
        <v>0.18</v>
      </c>
      <c r="N84" s="380">
        <f t="shared" si="3"/>
        <v>846.05932203389841</v>
      </c>
      <c r="O84" s="381">
        <f t="shared" si="0"/>
        <v>6768.4745762711873</v>
      </c>
      <c r="P84" s="381">
        <f t="shared" si="1"/>
        <v>1218.3254237288136</v>
      </c>
      <c r="Q84" s="224"/>
    </row>
    <row r="85" spans="1:17" ht="25.5">
      <c r="A85" s="246">
        <v>34</v>
      </c>
      <c r="B85" s="321" t="s">
        <v>1460</v>
      </c>
      <c r="C85" s="267" t="s">
        <v>1357</v>
      </c>
      <c r="D85" s="267" t="s">
        <v>1347</v>
      </c>
      <c r="E85" s="228"/>
      <c r="F85" s="225">
        <v>0.18</v>
      </c>
      <c r="G85" s="229"/>
      <c r="H85" s="250">
        <v>9.89</v>
      </c>
      <c r="I85" s="239" t="s">
        <v>1065</v>
      </c>
      <c r="J85" s="230" t="s">
        <v>743</v>
      </c>
      <c r="K85" s="251">
        <v>8</v>
      </c>
      <c r="L85" s="245">
        <v>952.8</v>
      </c>
      <c r="M85" s="378">
        <v>0.18</v>
      </c>
      <c r="N85" s="380">
        <f t="shared" si="3"/>
        <v>807.45762711864404</v>
      </c>
      <c r="O85" s="381">
        <f t="shared" si="0"/>
        <v>6459.6610169491523</v>
      </c>
      <c r="P85" s="381">
        <f t="shared" si="1"/>
        <v>1162.7389830508473</v>
      </c>
      <c r="Q85" s="224"/>
    </row>
    <row r="86" spans="1:17" ht="382.5">
      <c r="A86" s="514">
        <v>35</v>
      </c>
      <c r="B86" s="223"/>
      <c r="C86" s="223"/>
      <c r="D86" s="223"/>
      <c r="E86" s="253"/>
      <c r="F86" s="376"/>
      <c r="G86" s="376"/>
      <c r="H86" s="207" t="s">
        <v>1066</v>
      </c>
      <c r="I86" s="249" t="s">
        <v>1067</v>
      </c>
      <c r="J86" s="250"/>
      <c r="K86" s="251"/>
      <c r="L86" s="245"/>
      <c r="M86" s="378"/>
      <c r="N86" s="380"/>
      <c r="O86" s="381"/>
      <c r="P86" s="381"/>
      <c r="Q86" s="224"/>
    </row>
    <row r="87" spans="1:17" ht="51">
      <c r="A87" s="523"/>
      <c r="B87" s="223"/>
      <c r="C87" s="223"/>
      <c r="D87" s="223"/>
      <c r="E87" s="253"/>
      <c r="F87" s="376"/>
      <c r="G87" s="376"/>
      <c r="H87" s="206" t="s">
        <v>1068</v>
      </c>
      <c r="I87" s="249" t="s">
        <v>1069</v>
      </c>
      <c r="J87" s="250"/>
      <c r="K87" s="251"/>
      <c r="L87" s="245"/>
      <c r="M87" s="378"/>
      <c r="N87" s="380"/>
      <c r="O87" s="381"/>
      <c r="P87" s="381"/>
      <c r="Q87" s="224"/>
    </row>
    <row r="88" spans="1:17" ht="51">
      <c r="A88" s="515"/>
      <c r="B88" s="321" t="s">
        <v>1460</v>
      </c>
      <c r="C88" s="267" t="s">
        <v>1456</v>
      </c>
      <c r="D88" s="267" t="s">
        <v>1446</v>
      </c>
      <c r="E88" s="228"/>
      <c r="F88" s="225">
        <v>0.18</v>
      </c>
      <c r="G88" s="229"/>
      <c r="H88" s="253" t="s">
        <v>1070</v>
      </c>
      <c r="I88" s="254" t="s">
        <v>1071</v>
      </c>
      <c r="J88" s="250" t="s">
        <v>702</v>
      </c>
      <c r="K88" s="251">
        <v>35</v>
      </c>
      <c r="L88" s="245">
        <v>10474.049999999999</v>
      </c>
      <c r="M88" s="378">
        <v>0.18</v>
      </c>
      <c r="N88" s="380">
        <f t="shared" si="3"/>
        <v>8876.3135593220341</v>
      </c>
      <c r="O88" s="381">
        <f t="shared" ref="O88:O151" si="4">N88*K88</f>
        <v>310670.9745762712</v>
      </c>
      <c r="P88" s="381">
        <f t="shared" ref="P88:P149" si="5">IF(ISBLANK(G88),F88*O88,G88*O88)</f>
        <v>55920.77542372881</v>
      </c>
      <c r="Q88" s="224"/>
    </row>
    <row r="89" spans="1:17" ht="89.25">
      <c r="A89" s="238">
        <v>36</v>
      </c>
      <c r="B89" s="321" t="s">
        <v>1460</v>
      </c>
      <c r="C89" s="267" t="s">
        <v>1358</v>
      </c>
      <c r="D89" s="267" t="s">
        <v>1359</v>
      </c>
      <c r="E89" s="228"/>
      <c r="F89" s="225">
        <v>0.18</v>
      </c>
      <c r="G89" s="229"/>
      <c r="H89" s="230">
        <v>9.1679999999999993</v>
      </c>
      <c r="I89" s="239" t="s">
        <v>1072</v>
      </c>
      <c r="J89" s="230" t="s">
        <v>72</v>
      </c>
      <c r="K89" s="251">
        <v>20</v>
      </c>
      <c r="L89" s="255">
        <v>2829.25</v>
      </c>
      <c r="M89" s="378">
        <v>0.18</v>
      </c>
      <c r="N89" s="380">
        <f t="shared" si="3"/>
        <v>2397.6694915254238</v>
      </c>
      <c r="O89" s="381">
        <f t="shared" si="4"/>
        <v>47953.389830508473</v>
      </c>
      <c r="P89" s="381">
        <f t="shared" si="5"/>
        <v>8631.6101694915251</v>
      </c>
      <c r="Q89" s="224"/>
    </row>
    <row r="90" spans="1:17" ht="38.25">
      <c r="A90" s="516">
        <v>37</v>
      </c>
      <c r="B90" s="223"/>
      <c r="C90" s="223"/>
      <c r="D90" s="223"/>
      <c r="E90" s="253"/>
      <c r="F90" s="376"/>
      <c r="G90" s="376"/>
      <c r="H90" s="377"/>
      <c r="I90" s="239" t="s">
        <v>1073</v>
      </c>
      <c r="J90" s="230"/>
      <c r="K90" s="251"/>
      <c r="L90" s="255"/>
      <c r="M90" s="378"/>
      <c r="N90" s="380"/>
      <c r="O90" s="381"/>
      <c r="P90" s="381"/>
      <c r="Q90" s="224"/>
    </row>
    <row r="91" spans="1:17">
      <c r="A91" s="517"/>
      <c r="B91" s="321" t="s">
        <v>1460</v>
      </c>
      <c r="C91" s="267" t="s">
        <v>1360</v>
      </c>
      <c r="D91" s="267" t="s">
        <v>1359</v>
      </c>
      <c r="E91" s="228"/>
      <c r="F91" s="225">
        <v>0.18</v>
      </c>
      <c r="G91" s="229"/>
      <c r="H91" s="230" t="s">
        <v>1074</v>
      </c>
      <c r="I91" s="239" t="s">
        <v>1075</v>
      </c>
      <c r="J91" s="230" t="s">
        <v>743</v>
      </c>
      <c r="K91" s="251">
        <v>32</v>
      </c>
      <c r="L91" s="255">
        <v>186.65</v>
      </c>
      <c r="M91" s="378">
        <v>0.18</v>
      </c>
      <c r="N91" s="380">
        <f t="shared" si="3"/>
        <v>158.17796610169492</v>
      </c>
      <c r="O91" s="381">
        <f t="shared" si="4"/>
        <v>5061.6949152542375</v>
      </c>
      <c r="P91" s="381">
        <f t="shared" si="5"/>
        <v>911.10508474576272</v>
      </c>
      <c r="Q91" s="224"/>
    </row>
    <row r="92" spans="1:17" ht="63.75">
      <c r="A92" s="238">
        <v>38</v>
      </c>
      <c r="B92" s="321" t="s">
        <v>1460</v>
      </c>
      <c r="C92" s="267" t="s">
        <v>1361</v>
      </c>
      <c r="D92" s="267" t="s">
        <v>1359</v>
      </c>
      <c r="E92" s="228"/>
      <c r="F92" s="225">
        <v>0.18</v>
      </c>
      <c r="G92" s="229"/>
      <c r="H92" s="230">
        <v>9.1709999999999994</v>
      </c>
      <c r="I92" s="239" t="s">
        <v>1076</v>
      </c>
      <c r="J92" s="230" t="s">
        <v>743</v>
      </c>
      <c r="K92" s="251">
        <v>32</v>
      </c>
      <c r="L92" s="255">
        <v>272</v>
      </c>
      <c r="M92" s="378">
        <v>0.18</v>
      </c>
      <c r="N92" s="380">
        <f t="shared" si="3"/>
        <v>230.5084745762712</v>
      </c>
      <c r="O92" s="381">
        <f t="shared" si="4"/>
        <v>7376.2711864406783</v>
      </c>
      <c r="P92" s="381">
        <f t="shared" si="5"/>
        <v>1327.7288135593221</v>
      </c>
      <c r="Q92" s="224"/>
    </row>
    <row r="93" spans="1:17" ht="38.25">
      <c r="A93" s="238">
        <v>39</v>
      </c>
      <c r="B93" s="321" t="s">
        <v>1460</v>
      </c>
      <c r="C93" s="267" t="s">
        <v>1362</v>
      </c>
      <c r="D93" s="267" t="s">
        <v>1359</v>
      </c>
      <c r="E93" s="228"/>
      <c r="F93" s="225">
        <v>0.18</v>
      </c>
      <c r="G93" s="229"/>
      <c r="H93" s="230">
        <v>9.1720000000000006</v>
      </c>
      <c r="I93" s="239" t="s">
        <v>1077</v>
      </c>
      <c r="J93" s="230" t="s">
        <v>1231</v>
      </c>
      <c r="K93" s="251">
        <v>15</v>
      </c>
      <c r="L93" s="255">
        <v>885.1</v>
      </c>
      <c r="M93" s="378">
        <v>0.18</v>
      </c>
      <c r="N93" s="380">
        <f t="shared" si="3"/>
        <v>750.08474576271192</v>
      </c>
      <c r="O93" s="381">
        <f t="shared" si="4"/>
        <v>11251.271186440679</v>
      </c>
      <c r="P93" s="381">
        <f t="shared" si="5"/>
        <v>2025.2288135593221</v>
      </c>
      <c r="Q93" s="224"/>
    </row>
    <row r="94" spans="1:17" ht="153">
      <c r="A94" s="238">
        <v>40</v>
      </c>
      <c r="B94" s="321" t="s">
        <v>1460</v>
      </c>
      <c r="C94" s="267" t="s">
        <v>1363</v>
      </c>
      <c r="D94" s="267" t="s">
        <v>1359</v>
      </c>
      <c r="E94" s="228"/>
      <c r="F94" s="225">
        <v>0.18</v>
      </c>
      <c r="G94" s="229"/>
      <c r="H94" s="230">
        <v>9.173</v>
      </c>
      <c r="I94" s="239" t="s">
        <v>1078</v>
      </c>
      <c r="J94" s="230" t="s">
        <v>167</v>
      </c>
      <c r="K94" s="251">
        <v>23</v>
      </c>
      <c r="L94" s="255">
        <v>533.25</v>
      </c>
      <c r="M94" s="378">
        <v>0.18</v>
      </c>
      <c r="N94" s="380">
        <f t="shared" si="3"/>
        <v>451.90677966101697</v>
      </c>
      <c r="O94" s="381">
        <f t="shared" si="4"/>
        <v>10393.855932203391</v>
      </c>
      <c r="P94" s="381">
        <f t="shared" si="5"/>
        <v>1870.8940677966102</v>
      </c>
      <c r="Q94" s="224"/>
    </row>
    <row r="95" spans="1:17" ht="63.75">
      <c r="A95" s="238">
        <v>41</v>
      </c>
      <c r="B95" s="321" t="s">
        <v>1460</v>
      </c>
      <c r="C95" s="267" t="s">
        <v>1457</v>
      </c>
      <c r="D95" s="267" t="s">
        <v>1347</v>
      </c>
      <c r="E95" s="228"/>
      <c r="F95" s="225">
        <v>0.18</v>
      </c>
      <c r="G95" s="229"/>
      <c r="H95" s="230">
        <v>9.1739999999999995</v>
      </c>
      <c r="I95" s="239" t="s">
        <v>1079</v>
      </c>
      <c r="J95" s="230" t="s">
        <v>741</v>
      </c>
      <c r="K95" s="251">
        <v>25</v>
      </c>
      <c r="L95" s="255">
        <v>43.8</v>
      </c>
      <c r="M95" s="378">
        <v>0.18</v>
      </c>
      <c r="N95" s="380">
        <f t="shared" si="3"/>
        <v>37.118644067796609</v>
      </c>
      <c r="O95" s="381">
        <f t="shared" si="4"/>
        <v>927.96610169491521</v>
      </c>
      <c r="P95" s="381">
        <f t="shared" si="5"/>
        <v>167.03389830508473</v>
      </c>
      <c r="Q95" s="224"/>
    </row>
    <row r="96" spans="1:17" ht="114.75">
      <c r="A96" s="238">
        <v>42</v>
      </c>
      <c r="B96" s="321" t="s">
        <v>1460</v>
      </c>
      <c r="C96" s="267" t="s">
        <v>1364</v>
      </c>
      <c r="D96" s="267" t="s">
        <v>1341</v>
      </c>
      <c r="E96" s="228"/>
      <c r="F96" s="225">
        <v>0.18</v>
      </c>
      <c r="G96" s="229"/>
      <c r="H96" s="238">
        <v>11.5</v>
      </c>
      <c r="I96" s="239" t="s">
        <v>1080</v>
      </c>
      <c r="J96" s="230" t="s">
        <v>702</v>
      </c>
      <c r="K96" s="251">
        <v>75</v>
      </c>
      <c r="L96" s="234">
        <v>1056.1500000000001</v>
      </c>
      <c r="M96" s="378">
        <v>0.18</v>
      </c>
      <c r="N96" s="380">
        <f t="shared" si="3"/>
        <v>895.04237288135607</v>
      </c>
      <c r="O96" s="381">
        <f t="shared" si="4"/>
        <v>67128.177966101706</v>
      </c>
      <c r="P96" s="381">
        <f t="shared" si="5"/>
        <v>12083.072033898306</v>
      </c>
      <c r="Q96" s="224"/>
    </row>
    <row r="97" spans="1:17" ht="89.25">
      <c r="A97" s="238">
        <v>43</v>
      </c>
      <c r="B97" s="321" t="s">
        <v>1460</v>
      </c>
      <c r="C97" s="267" t="s">
        <v>1365</v>
      </c>
      <c r="D97" s="267" t="s">
        <v>1341</v>
      </c>
      <c r="E97" s="228"/>
      <c r="F97" s="225">
        <v>0.18</v>
      </c>
      <c r="G97" s="229"/>
      <c r="H97" s="232">
        <v>11.39</v>
      </c>
      <c r="I97" s="256" t="s">
        <v>1081</v>
      </c>
      <c r="J97" s="230" t="s">
        <v>702</v>
      </c>
      <c r="K97" s="251">
        <v>29</v>
      </c>
      <c r="L97" s="234">
        <v>1330</v>
      </c>
      <c r="M97" s="378">
        <v>0.18</v>
      </c>
      <c r="N97" s="380">
        <f t="shared" si="3"/>
        <v>1127.1186440677966</v>
      </c>
      <c r="O97" s="381">
        <f t="shared" si="4"/>
        <v>32686.4406779661</v>
      </c>
      <c r="P97" s="381">
        <f t="shared" si="5"/>
        <v>5883.5593220338978</v>
      </c>
      <c r="Q97" s="224"/>
    </row>
    <row r="98" spans="1:17" ht="127.5">
      <c r="A98" s="516">
        <v>44</v>
      </c>
      <c r="B98" s="223"/>
      <c r="C98" s="223"/>
      <c r="D98" s="223"/>
      <c r="E98" s="253"/>
      <c r="F98" s="376"/>
      <c r="G98" s="376"/>
      <c r="H98" s="257" t="s">
        <v>1082</v>
      </c>
      <c r="I98" s="239" t="s">
        <v>1083</v>
      </c>
      <c r="J98" s="230"/>
      <c r="K98" s="251"/>
      <c r="L98" s="234"/>
      <c r="M98" s="378"/>
      <c r="N98" s="380"/>
      <c r="O98" s="381"/>
      <c r="P98" s="381"/>
      <c r="Q98" s="224"/>
    </row>
    <row r="99" spans="1:17">
      <c r="A99" s="520"/>
      <c r="B99" s="223"/>
      <c r="C99" s="223"/>
      <c r="D99" s="223"/>
      <c r="E99" s="253"/>
      <c r="F99" s="376"/>
      <c r="G99" s="376"/>
      <c r="H99" s="257" t="s">
        <v>1084</v>
      </c>
      <c r="I99" s="239" t="s">
        <v>1085</v>
      </c>
      <c r="J99" s="230"/>
      <c r="K99" s="251"/>
      <c r="L99" s="234"/>
      <c r="M99" s="378"/>
      <c r="N99" s="380"/>
      <c r="O99" s="381"/>
      <c r="P99" s="381"/>
      <c r="Q99" s="224"/>
    </row>
    <row r="100" spans="1:17">
      <c r="A100" s="517"/>
      <c r="B100" s="321" t="s">
        <v>1460</v>
      </c>
      <c r="C100" s="267" t="s">
        <v>1366</v>
      </c>
      <c r="D100" s="267" t="s">
        <v>1333</v>
      </c>
      <c r="E100" s="228"/>
      <c r="F100" s="225">
        <v>0.18</v>
      </c>
      <c r="G100" s="229"/>
      <c r="H100" s="257" t="s">
        <v>1086</v>
      </c>
      <c r="I100" s="239" t="s">
        <v>1087</v>
      </c>
      <c r="J100" s="230" t="s">
        <v>702</v>
      </c>
      <c r="K100" s="251">
        <v>247</v>
      </c>
      <c r="L100" s="234">
        <v>1577.15</v>
      </c>
      <c r="M100" s="378">
        <v>0.18</v>
      </c>
      <c r="N100" s="380">
        <f t="shared" si="3"/>
        <v>1336.5677966101696</v>
      </c>
      <c r="O100" s="381">
        <f t="shared" si="4"/>
        <v>330132.24576271191</v>
      </c>
      <c r="P100" s="381">
        <f t="shared" si="5"/>
        <v>59423.804237288139</v>
      </c>
      <c r="Q100" s="224"/>
    </row>
    <row r="101" spans="1:17" ht="38.25">
      <c r="A101" s="246">
        <v>45</v>
      </c>
      <c r="B101" s="321" t="s">
        <v>1460</v>
      </c>
      <c r="C101" s="267" t="s">
        <v>1367</v>
      </c>
      <c r="D101" s="267" t="s">
        <v>1341</v>
      </c>
      <c r="E101" s="228"/>
      <c r="F101" s="225">
        <v>0.18</v>
      </c>
      <c r="G101" s="229"/>
      <c r="H101" s="250">
        <v>11.42</v>
      </c>
      <c r="I101" s="249" t="s">
        <v>1088</v>
      </c>
      <c r="J101" s="250" t="s">
        <v>72</v>
      </c>
      <c r="K101" s="251">
        <v>420</v>
      </c>
      <c r="L101" s="234">
        <v>850.1</v>
      </c>
      <c r="M101" s="378">
        <v>0.18</v>
      </c>
      <c r="N101" s="380">
        <f t="shared" si="3"/>
        <v>720.42372881355936</v>
      </c>
      <c r="O101" s="381">
        <f t="shared" si="4"/>
        <v>302577.96610169491</v>
      </c>
      <c r="P101" s="381">
        <f t="shared" si="5"/>
        <v>54464.033898305082</v>
      </c>
      <c r="Q101" s="224"/>
    </row>
    <row r="102" spans="1:17" ht="38.25">
      <c r="A102" s="238">
        <v>46</v>
      </c>
      <c r="B102" s="321" t="s">
        <v>1460</v>
      </c>
      <c r="C102" s="267" t="s">
        <v>1368</v>
      </c>
      <c r="D102" s="267" t="s">
        <v>1341</v>
      </c>
      <c r="E102" s="228"/>
      <c r="F102" s="225">
        <v>0.18</v>
      </c>
      <c r="G102" s="229"/>
      <c r="H102" s="230">
        <v>11.43</v>
      </c>
      <c r="I102" s="239" t="s">
        <v>1089</v>
      </c>
      <c r="J102" s="230" t="s">
        <v>702</v>
      </c>
      <c r="K102" s="251">
        <v>379</v>
      </c>
      <c r="L102" s="234">
        <v>753.25</v>
      </c>
      <c r="M102" s="378">
        <v>0.18</v>
      </c>
      <c r="N102" s="380">
        <f t="shared" si="3"/>
        <v>638.34745762711873</v>
      </c>
      <c r="O102" s="381">
        <f t="shared" si="4"/>
        <v>241933.68644067799</v>
      </c>
      <c r="P102" s="381">
        <f t="shared" si="5"/>
        <v>43548.063559322036</v>
      </c>
      <c r="Q102" s="224"/>
    </row>
    <row r="103" spans="1:17" ht="63.75">
      <c r="A103" s="516">
        <v>47</v>
      </c>
      <c r="B103" s="223"/>
      <c r="C103" s="223"/>
      <c r="D103" s="223"/>
      <c r="E103" s="253"/>
      <c r="F103" s="376"/>
      <c r="G103" s="376"/>
      <c r="H103" s="230">
        <v>11.48</v>
      </c>
      <c r="I103" s="239" t="s">
        <v>1090</v>
      </c>
      <c r="J103" s="230"/>
      <c r="K103" s="251"/>
      <c r="L103" s="234"/>
      <c r="M103" s="378"/>
      <c r="N103" s="380"/>
      <c r="O103" s="381"/>
      <c r="P103" s="381"/>
      <c r="Q103" s="224"/>
    </row>
    <row r="104" spans="1:17">
      <c r="A104" s="517"/>
      <c r="B104" s="321" t="s">
        <v>1460</v>
      </c>
      <c r="C104" s="267" t="s">
        <v>1369</v>
      </c>
      <c r="D104" s="267" t="s">
        <v>1341</v>
      </c>
      <c r="E104" s="228"/>
      <c r="F104" s="225">
        <v>0.18</v>
      </c>
      <c r="G104" s="229"/>
      <c r="H104" s="230" t="s">
        <v>1091</v>
      </c>
      <c r="I104" s="252" t="s">
        <v>1092</v>
      </c>
      <c r="J104" s="230" t="s">
        <v>702</v>
      </c>
      <c r="K104" s="382">
        <v>247</v>
      </c>
      <c r="L104" s="234">
        <v>244.75</v>
      </c>
      <c r="M104" s="378">
        <v>0.18</v>
      </c>
      <c r="N104" s="380">
        <f t="shared" si="3"/>
        <v>207.41525423728814</v>
      </c>
      <c r="O104" s="381">
        <f t="shared" si="4"/>
        <v>51231.567796610172</v>
      </c>
      <c r="P104" s="381">
        <f t="shared" si="5"/>
        <v>9221.6822033898297</v>
      </c>
      <c r="Q104" s="224"/>
    </row>
    <row r="105" spans="1:17" ht="102">
      <c r="A105" s="516">
        <v>48</v>
      </c>
      <c r="B105" s="223"/>
      <c r="C105" s="223"/>
      <c r="D105" s="223"/>
      <c r="E105" s="253"/>
      <c r="F105" s="376"/>
      <c r="G105" s="376"/>
      <c r="H105" s="230">
        <v>11.55</v>
      </c>
      <c r="I105" s="252" t="s">
        <v>1093</v>
      </c>
      <c r="J105" s="230"/>
      <c r="K105" s="382"/>
      <c r="L105" s="234"/>
      <c r="M105" s="378"/>
      <c r="N105" s="380"/>
      <c r="O105" s="381"/>
      <c r="P105" s="381"/>
      <c r="Q105" s="224"/>
    </row>
    <row r="106" spans="1:17" ht="25.5">
      <c r="A106" s="517"/>
      <c r="B106" s="321" t="s">
        <v>1460</v>
      </c>
      <c r="C106" s="267" t="s">
        <v>1370</v>
      </c>
      <c r="D106" s="267" t="s">
        <v>1333</v>
      </c>
      <c r="E106" s="228"/>
      <c r="F106" s="225">
        <v>0.18</v>
      </c>
      <c r="G106" s="229"/>
      <c r="H106" s="232" t="s">
        <v>1094</v>
      </c>
      <c r="I106" s="252" t="s">
        <v>1095</v>
      </c>
      <c r="J106" s="230" t="s">
        <v>702</v>
      </c>
      <c r="K106" s="251">
        <v>37</v>
      </c>
      <c r="L106" s="234">
        <v>3186.7</v>
      </c>
      <c r="M106" s="378">
        <v>0.18</v>
      </c>
      <c r="N106" s="380">
        <f t="shared" si="3"/>
        <v>2700.593220338983</v>
      </c>
      <c r="O106" s="381">
        <f t="shared" si="4"/>
        <v>99921.949152542365</v>
      </c>
      <c r="P106" s="381">
        <f t="shared" si="5"/>
        <v>17985.950847457625</v>
      </c>
      <c r="Q106" s="224"/>
    </row>
    <row r="107" spans="1:17" ht="51">
      <c r="A107" s="516">
        <v>49</v>
      </c>
      <c r="B107" s="223"/>
      <c r="C107" s="223"/>
      <c r="D107" s="223"/>
      <c r="E107" s="253"/>
      <c r="F107" s="376"/>
      <c r="G107" s="376"/>
      <c r="H107" s="232">
        <v>12.41</v>
      </c>
      <c r="I107" s="252" t="s">
        <v>1096</v>
      </c>
      <c r="J107" s="230"/>
      <c r="K107" s="251"/>
      <c r="L107" s="234"/>
      <c r="M107" s="378"/>
      <c r="N107" s="380"/>
      <c r="O107" s="381"/>
      <c r="P107" s="381"/>
      <c r="Q107" s="224"/>
    </row>
    <row r="108" spans="1:17">
      <c r="A108" s="517"/>
      <c r="B108" s="321" t="s">
        <v>1460</v>
      </c>
      <c r="C108" s="267" t="s">
        <v>1371</v>
      </c>
      <c r="D108" s="267" t="s">
        <v>1372</v>
      </c>
      <c r="E108" s="228"/>
      <c r="F108" s="225">
        <v>0.18</v>
      </c>
      <c r="G108" s="229"/>
      <c r="H108" s="232" t="s">
        <v>225</v>
      </c>
      <c r="I108" s="252" t="s">
        <v>226</v>
      </c>
      <c r="J108" s="230" t="s">
        <v>741</v>
      </c>
      <c r="K108" s="251">
        <v>191</v>
      </c>
      <c r="L108" s="234">
        <v>377.4</v>
      </c>
      <c r="M108" s="378">
        <v>0.18</v>
      </c>
      <c r="N108" s="380">
        <f t="shared" si="3"/>
        <v>319.83050847457628</v>
      </c>
      <c r="O108" s="381">
        <f t="shared" si="4"/>
        <v>61087.627118644072</v>
      </c>
      <c r="P108" s="381">
        <f t="shared" si="5"/>
        <v>10995.772881355933</v>
      </c>
      <c r="Q108" s="224"/>
    </row>
    <row r="109" spans="1:17" ht="51">
      <c r="A109" s="258">
        <v>50</v>
      </c>
      <c r="B109" s="223"/>
      <c r="C109" s="223"/>
      <c r="D109" s="223"/>
      <c r="E109" s="253"/>
      <c r="F109" s="376"/>
      <c r="G109" s="376"/>
      <c r="H109" s="259">
        <v>12.42</v>
      </c>
      <c r="I109" s="239" t="s">
        <v>1097</v>
      </c>
      <c r="J109" s="259"/>
      <c r="K109" s="383" t="s">
        <v>1229</v>
      </c>
      <c r="L109" s="261"/>
      <c r="M109" s="378"/>
      <c r="N109" s="380"/>
      <c r="O109" s="381"/>
      <c r="P109" s="381"/>
      <c r="Q109" s="224"/>
    </row>
    <row r="110" spans="1:17">
      <c r="A110" s="518" t="s">
        <v>1233</v>
      </c>
      <c r="B110" s="223"/>
      <c r="C110" s="223"/>
      <c r="D110" s="223"/>
      <c r="E110" s="253"/>
      <c r="F110" s="376"/>
      <c r="G110" s="376"/>
      <c r="H110" s="259" t="s">
        <v>229</v>
      </c>
      <c r="I110" s="239" t="s">
        <v>230</v>
      </c>
      <c r="J110" s="259"/>
      <c r="K110" s="383" t="s">
        <v>1229</v>
      </c>
      <c r="L110" s="261"/>
      <c r="M110" s="378"/>
      <c r="N110" s="380"/>
      <c r="O110" s="381"/>
      <c r="P110" s="381"/>
      <c r="Q110" s="224"/>
    </row>
    <row r="111" spans="1:17">
      <c r="A111" s="519"/>
      <c r="B111" s="321" t="s">
        <v>1460</v>
      </c>
      <c r="C111" s="267" t="s">
        <v>1373</v>
      </c>
      <c r="D111" s="267" t="s">
        <v>1372</v>
      </c>
      <c r="E111" s="228"/>
      <c r="F111" s="225">
        <v>0.18</v>
      </c>
      <c r="G111" s="229"/>
      <c r="H111" s="262" t="s">
        <v>231</v>
      </c>
      <c r="I111" s="239" t="s">
        <v>232</v>
      </c>
      <c r="J111" s="259" t="s">
        <v>743</v>
      </c>
      <c r="K111" s="383">
        <v>20</v>
      </c>
      <c r="L111" s="261">
        <v>136.15</v>
      </c>
      <c r="M111" s="378">
        <v>0.18</v>
      </c>
      <c r="N111" s="380">
        <f t="shared" ref="N111:N173" si="6">L111/1.18</f>
        <v>115.38135593220341</v>
      </c>
      <c r="O111" s="381">
        <f t="shared" si="4"/>
        <v>2307.6271186440681</v>
      </c>
      <c r="P111" s="381">
        <f t="shared" si="5"/>
        <v>415.37288135593224</v>
      </c>
      <c r="Q111" s="224"/>
    </row>
    <row r="112" spans="1:17">
      <c r="A112" s="518" t="s">
        <v>1234</v>
      </c>
      <c r="B112" s="223"/>
      <c r="C112" s="223"/>
      <c r="D112" s="223"/>
      <c r="E112" s="253"/>
      <c r="F112" s="376"/>
      <c r="G112" s="376"/>
      <c r="H112" s="262" t="s">
        <v>237</v>
      </c>
      <c r="I112" s="239" t="s">
        <v>1098</v>
      </c>
      <c r="J112" s="259"/>
      <c r="K112" s="383"/>
      <c r="L112" s="261"/>
      <c r="M112" s="378"/>
      <c r="N112" s="380"/>
      <c r="O112" s="381"/>
      <c r="P112" s="381"/>
      <c r="Q112" s="224"/>
    </row>
    <row r="113" spans="1:17">
      <c r="A113" s="519"/>
      <c r="B113" s="321" t="s">
        <v>1460</v>
      </c>
      <c r="C113" s="267" t="s">
        <v>1374</v>
      </c>
      <c r="D113" s="267" t="s">
        <v>1372</v>
      </c>
      <c r="E113" s="228"/>
      <c r="F113" s="225">
        <v>0.18</v>
      </c>
      <c r="G113" s="229"/>
      <c r="H113" s="262" t="s">
        <v>239</v>
      </c>
      <c r="I113" s="239" t="s">
        <v>240</v>
      </c>
      <c r="J113" s="259" t="s">
        <v>743</v>
      </c>
      <c r="K113" s="383">
        <v>20</v>
      </c>
      <c r="L113" s="261">
        <v>150.35</v>
      </c>
      <c r="M113" s="378">
        <v>0.18</v>
      </c>
      <c r="N113" s="380">
        <f t="shared" si="6"/>
        <v>127.41525423728814</v>
      </c>
      <c r="O113" s="381">
        <f t="shared" si="4"/>
        <v>2548.3050847457625</v>
      </c>
      <c r="P113" s="381">
        <f t="shared" si="5"/>
        <v>458.69491525423723</v>
      </c>
      <c r="Q113" s="224"/>
    </row>
    <row r="114" spans="1:17">
      <c r="A114" s="518" t="s">
        <v>1235</v>
      </c>
      <c r="B114" s="223"/>
      <c r="C114" s="223"/>
      <c r="D114" s="223"/>
      <c r="E114" s="253"/>
      <c r="F114" s="376"/>
      <c r="G114" s="376"/>
      <c r="H114" s="259" t="s">
        <v>241</v>
      </c>
      <c r="I114" s="239" t="s">
        <v>242</v>
      </c>
      <c r="J114" s="259"/>
      <c r="K114" s="383" t="s">
        <v>1229</v>
      </c>
      <c r="L114" s="261"/>
      <c r="M114" s="378"/>
      <c r="N114" s="380"/>
      <c r="O114" s="381"/>
      <c r="P114" s="381"/>
      <c r="Q114" s="224"/>
    </row>
    <row r="115" spans="1:17">
      <c r="A115" s="519"/>
      <c r="B115" s="321" t="s">
        <v>1460</v>
      </c>
      <c r="C115" s="267" t="s">
        <v>1375</v>
      </c>
      <c r="D115" s="267" t="s">
        <v>1372</v>
      </c>
      <c r="E115" s="228"/>
      <c r="F115" s="225">
        <v>0.18</v>
      </c>
      <c r="G115" s="229"/>
      <c r="H115" s="262" t="s">
        <v>243</v>
      </c>
      <c r="I115" s="239" t="s">
        <v>1099</v>
      </c>
      <c r="J115" s="259" t="s">
        <v>743</v>
      </c>
      <c r="K115" s="383">
        <v>12</v>
      </c>
      <c r="L115" s="261">
        <v>131.85</v>
      </c>
      <c r="M115" s="378">
        <v>0.18</v>
      </c>
      <c r="N115" s="380">
        <f t="shared" si="6"/>
        <v>111.73728813559322</v>
      </c>
      <c r="O115" s="381">
        <f t="shared" si="4"/>
        <v>1340.8474576271187</v>
      </c>
      <c r="P115" s="381">
        <f t="shared" si="5"/>
        <v>241.35254237288137</v>
      </c>
      <c r="Q115" s="224"/>
    </row>
    <row r="116" spans="1:17" ht="76.5">
      <c r="A116" s="518">
        <v>51</v>
      </c>
      <c r="B116" s="223"/>
      <c r="C116" s="223"/>
      <c r="D116" s="223"/>
      <c r="E116" s="253"/>
      <c r="F116" s="376"/>
      <c r="G116" s="376"/>
      <c r="H116" s="232">
        <v>12.43</v>
      </c>
      <c r="I116" s="239" t="s">
        <v>246</v>
      </c>
      <c r="J116" s="230"/>
      <c r="K116" s="383" t="s">
        <v>1229</v>
      </c>
      <c r="L116" s="261"/>
      <c r="M116" s="378"/>
      <c r="N116" s="380"/>
      <c r="O116" s="381"/>
      <c r="P116" s="381"/>
      <c r="Q116" s="224"/>
    </row>
    <row r="117" spans="1:17">
      <c r="A117" s="519"/>
      <c r="B117" s="321" t="s">
        <v>1460</v>
      </c>
      <c r="C117" s="267" t="s">
        <v>1376</v>
      </c>
      <c r="D117" s="267" t="s">
        <v>1372</v>
      </c>
      <c r="E117" s="228"/>
      <c r="F117" s="225">
        <v>0.18</v>
      </c>
      <c r="G117" s="229"/>
      <c r="H117" s="232" t="s">
        <v>247</v>
      </c>
      <c r="I117" s="239" t="s">
        <v>232</v>
      </c>
      <c r="J117" s="230" t="s">
        <v>743</v>
      </c>
      <c r="K117" s="383">
        <v>75</v>
      </c>
      <c r="L117" s="261">
        <v>371.3</v>
      </c>
      <c r="M117" s="378">
        <v>0.18</v>
      </c>
      <c r="N117" s="380">
        <f t="shared" si="6"/>
        <v>314.66101694915255</v>
      </c>
      <c r="O117" s="381">
        <f t="shared" si="4"/>
        <v>23599.576271186441</v>
      </c>
      <c r="P117" s="381">
        <f t="shared" si="5"/>
        <v>4247.9237288135591</v>
      </c>
      <c r="Q117" s="224"/>
    </row>
    <row r="118" spans="1:17" ht="25.5">
      <c r="A118" s="263">
        <v>52</v>
      </c>
      <c r="B118" s="321" t="s">
        <v>1460</v>
      </c>
      <c r="C118" s="267" t="s">
        <v>1377</v>
      </c>
      <c r="D118" s="267" t="s">
        <v>1372</v>
      </c>
      <c r="E118" s="228"/>
      <c r="F118" s="225">
        <v>0.18</v>
      </c>
      <c r="G118" s="229"/>
      <c r="H118" s="259">
        <v>12.44</v>
      </c>
      <c r="I118" s="231" t="s">
        <v>1100</v>
      </c>
      <c r="J118" s="264" t="s">
        <v>743</v>
      </c>
      <c r="K118" s="383">
        <v>15</v>
      </c>
      <c r="L118" s="261">
        <v>54.7</v>
      </c>
      <c r="M118" s="378">
        <v>0.18</v>
      </c>
      <c r="N118" s="380">
        <f t="shared" si="6"/>
        <v>46.355932203389834</v>
      </c>
      <c r="O118" s="381">
        <f t="shared" si="4"/>
        <v>695.33898305084756</v>
      </c>
      <c r="P118" s="381">
        <f t="shared" si="5"/>
        <v>125.16101694915255</v>
      </c>
      <c r="Q118" s="224"/>
    </row>
    <row r="119" spans="1:17" ht="357">
      <c r="A119" s="516">
        <v>53</v>
      </c>
      <c r="B119" s="223"/>
      <c r="C119" s="223"/>
      <c r="D119" s="223"/>
      <c r="E119" s="253"/>
      <c r="F119" s="376"/>
      <c r="G119" s="376"/>
      <c r="H119" s="251">
        <v>12.45</v>
      </c>
      <c r="I119" s="265" t="s">
        <v>1101</v>
      </c>
      <c r="J119" s="230"/>
      <c r="K119" s="251"/>
      <c r="L119" s="234"/>
      <c r="M119" s="378"/>
      <c r="N119" s="380"/>
      <c r="O119" s="381"/>
      <c r="P119" s="381"/>
      <c r="Q119" s="224"/>
    </row>
    <row r="120" spans="1:17" ht="25.5">
      <c r="A120" s="517"/>
      <c r="B120" s="321" t="s">
        <v>1460</v>
      </c>
      <c r="C120" s="267" t="s">
        <v>1378</v>
      </c>
      <c r="D120" s="267" t="s">
        <v>1372</v>
      </c>
      <c r="E120" s="228"/>
      <c r="F120" s="225">
        <v>0.18</v>
      </c>
      <c r="G120" s="229"/>
      <c r="H120" s="251" t="s">
        <v>1102</v>
      </c>
      <c r="I120" s="265" t="s">
        <v>1103</v>
      </c>
      <c r="J120" s="230" t="s">
        <v>1232</v>
      </c>
      <c r="K120" s="251">
        <v>100</v>
      </c>
      <c r="L120" s="234">
        <v>1355.8</v>
      </c>
      <c r="M120" s="378">
        <v>0.18</v>
      </c>
      <c r="N120" s="380">
        <f t="shared" si="6"/>
        <v>1148.9830508474577</v>
      </c>
      <c r="O120" s="381">
        <f t="shared" si="4"/>
        <v>114898.30508474576</v>
      </c>
      <c r="P120" s="381">
        <f t="shared" si="5"/>
        <v>20681.694915254237</v>
      </c>
      <c r="Q120" s="224"/>
    </row>
    <row r="121" spans="1:17" ht="293.25">
      <c r="A121" s="516">
        <v>54</v>
      </c>
      <c r="B121" s="223"/>
      <c r="C121" s="223"/>
      <c r="D121" s="223"/>
      <c r="E121" s="253"/>
      <c r="F121" s="376"/>
      <c r="G121" s="376"/>
      <c r="H121" s="251">
        <v>12.52</v>
      </c>
      <c r="I121" s="265" t="s">
        <v>1104</v>
      </c>
      <c r="J121" s="230"/>
      <c r="K121" s="251"/>
      <c r="L121" s="234"/>
      <c r="M121" s="378"/>
      <c r="N121" s="380"/>
      <c r="O121" s="381"/>
      <c r="P121" s="381">
        <f t="shared" si="5"/>
        <v>0</v>
      </c>
      <c r="Q121" s="224"/>
    </row>
    <row r="122" spans="1:17" ht="63.75">
      <c r="A122" s="517"/>
      <c r="B122" s="321" t="s">
        <v>1460</v>
      </c>
      <c r="C122" s="267" t="s">
        <v>1379</v>
      </c>
      <c r="D122" s="267" t="s">
        <v>1372</v>
      </c>
      <c r="E122" s="228"/>
      <c r="F122" s="225">
        <v>0.18</v>
      </c>
      <c r="G122" s="229"/>
      <c r="H122" s="251" t="s">
        <v>1105</v>
      </c>
      <c r="I122" s="265" t="s">
        <v>1106</v>
      </c>
      <c r="J122" s="230" t="s">
        <v>702</v>
      </c>
      <c r="K122" s="251">
        <v>79</v>
      </c>
      <c r="L122" s="234">
        <v>1902.95</v>
      </c>
      <c r="M122" s="378">
        <v>0.18</v>
      </c>
      <c r="N122" s="380">
        <f t="shared" si="6"/>
        <v>1612.6694915254238</v>
      </c>
      <c r="O122" s="381">
        <f t="shared" si="4"/>
        <v>127400.88983050849</v>
      </c>
      <c r="P122" s="381">
        <f t="shared" si="5"/>
        <v>22932.160169491526</v>
      </c>
      <c r="Q122" s="224"/>
    </row>
    <row r="123" spans="1:17" ht="114.75">
      <c r="A123" s="238">
        <v>55</v>
      </c>
      <c r="B123" s="321" t="s">
        <v>1460</v>
      </c>
      <c r="C123" s="267" t="s">
        <v>1380</v>
      </c>
      <c r="D123" s="267" t="s">
        <v>1372</v>
      </c>
      <c r="E123" s="228"/>
      <c r="F123" s="225">
        <v>0.18</v>
      </c>
      <c r="G123" s="229"/>
      <c r="H123" s="251">
        <v>12.55</v>
      </c>
      <c r="I123" s="265" t="s">
        <v>1107</v>
      </c>
      <c r="J123" s="230" t="s">
        <v>1232</v>
      </c>
      <c r="K123" s="251">
        <v>325</v>
      </c>
      <c r="L123" s="234">
        <v>1703.95</v>
      </c>
      <c r="M123" s="378">
        <v>0.18</v>
      </c>
      <c r="N123" s="380">
        <f t="shared" si="6"/>
        <v>1444.0254237288136</v>
      </c>
      <c r="O123" s="381">
        <f t="shared" si="4"/>
        <v>469308.26271186443</v>
      </c>
      <c r="P123" s="381">
        <f t="shared" si="5"/>
        <v>84475.487288135599</v>
      </c>
      <c r="Q123" s="224"/>
    </row>
    <row r="124" spans="1:17" ht="25.5">
      <c r="A124" s="516">
        <v>56</v>
      </c>
      <c r="B124" s="223"/>
      <c r="C124" s="223"/>
      <c r="D124" s="223"/>
      <c r="E124" s="253"/>
      <c r="F124" s="376"/>
      <c r="G124" s="376"/>
      <c r="H124" s="266">
        <v>13.8</v>
      </c>
      <c r="I124" s="265" t="s">
        <v>1108</v>
      </c>
      <c r="J124" s="230"/>
      <c r="K124" s="251"/>
      <c r="L124" s="234"/>
      <c r="M124" s="378"/>
      <c r="N124" s="380"/>
      <c r="O124" s="381"/>
      <c r="P124" s="381"/>
      <c r="Q124" s="224"/>
    </row>
    <row r="125" spans="1:17">
      <c r="A125" s="517"/>
      <c r="B125" s="321" t="s">
        <v>1460</v>
      </c>
      <c r="C125" s="267" t="s">
        <v>1381</v>
      </c>
      <c r="D125" s="267" t="s">
        <v>1382</v>
      </c>
      <c r="E125" s="228"/>
      <c r="F125" s="225">
        <v>0.18</v>
      </c>
      <c r="G125" s="229"/>
      <c r="H125" s="250" t="s">
        <v>1109</v>
      </c>
      <c r="I125" s="249" t="s">
        <v>1110</v>
      </c>
      <c r="J125" s="230" t="s">
        <v>72</v>
      </c>
      <c r="K125" s="251">
        <v>922</v>
      </c>
      <c r="L125" s="234">
        <v>477.9</v>
      </c>
      <c r="M125" s="384">
        <v>0.18</v>
      </c>
      <c r="N125" s="380">
        <f t="shared" si="6"/>
        <v>405</v>
      </c>
      <c r="O125" s="381">
        <f t="shared" si="4"/>
        <v>373410</v>
      </c>
      <c r="P125" s="381">
        <f t="shared" si="5"/>
        <v>67213.8</v>
      </c>
      <c r="Q125" s="224"/>
    </row>
    <row r="126" spans="1:17" ht="51">
      <c r="A126" s="238">
        <v>57</v>
      </c>
      <c r="B126" s="321" t="s">
        <v>1460</v>
      </c>
      <c r="C126" s="267" t="s">
        <v>1385</v>
      </c>
      <c r="D126" s="267" t="s">
        <v>1382</v>
      </c>
      <c r="E126" s="228"/>
      <c r="F126" s="225">
        <v>0.18</v>
      </c>
      <c r="G126" s="229"/>
      <c r="H126" s="250">
        <v>13.12</v>
      </c>
      <c r="I126" s="249" t="s">
        <v>1111</v>
      </c>
      <c r="J126" s="230" t="s">
        <v>72</v>
      </c>
      <c r="K126" s="251">
        <v>605</v>
      </c>
      <c r="L126" s="234">
        <v>537.45000000000005</v>
      </c>
      <c r="M126" s="378">
        <v>0.18</v>
      </c>
      <c r="N126" s="380">
        <f t="shared" si="6"/>
        <v>455.46610169491532</v>
      </c>
      <c r="O126" s="381">
        <f t="shared" si="4"/>
        <v>275556.99152542377</v>
      </c>
      <c r="P126" s="381">
        <f t="shared" si="5"/>
        <v>49600.25847457628</v>
      </c>
      <c r="Q126" s="224"/>
    </row>
    <row r="127" spans="1:17" ht="25.5">
      <c r="A127" s="516">
        <v>58</v>
      </c>
      <c r="B127" s="223"/>
      <c r="C127" s="223"/>
      <c r="D127" s="223"/>
      <c r="E127" s="253"/>
      <c r="F127" s="376"/>
      <c r="G127" s="376"/>
      <c r="H127" s="250">
        <v>13.46</v>
      </c>
      <c r="I127" s="249" t="s">
        <v>1112</v>
      </c>
      <c r="J127" s="230"/>
      <c r="K127" s="251"/>
      <c r="L127" s="234"/>
      <c r="M127" s="378"/>
      <c r="N127" s="380"/>
      <c r="O127" s="381"/>
      <c r="P127" s="381"/>
      <c r="Q127" s="224"/>
    </row>
    <row r="128" spans="1:17" ht="38.25">
      <c r="A128" s="517"/>
      <c r="B128" s="321" t="s">
        <v>1460</v>
      </c>
      <c r="C128" s="267" t="s">
        <v>1383</v>
      </c>
      <c r="D128" s="267" t="s">
        <v>1384</v>
      </c>
      <c r="E128" s="228"/>
      <c r="F128" s="225">
        <v>0.18</v>
      </c>
      <c r="G128" s="229"/>
      <c r="H128" s="268" t="s">
        <v>1113</v>
      </c>
      <c r="I128" s="249" t="s">
        <v>1114</v>
      </c>
      <c r="J128" s="230" t="s">
        <v>702</v>
      </c>
      <c r="K128" s="251">
        <v>605</v>
      </c>
      <c r="L128" s="234">
        <v>160.6</v>
      </c>
      <c r="M128" s="378">
        <v>0.18</v>
      </c>
      <c r="N128" s="380">
        <f t="shared" si="6"/>
        <v>136.10169491525423</v>
      </c>
      <c r="O128" s="381">
        <f t="shared" si="4"/>
        <v>82341.525423728803</v>
      </c>
      <c r="P128" s="381">
        <f t="shared" si="5"/>
        <v>14821.474576271185</v>
      </c>
      <c r="Q128" s="224"/>
    </row>
    <row r="129" spans="1:17" ht="25.5">
      <c r="A129" s="516">
        <v>59</v>
      </c>
      <c r="B129" s="223"/>
      <c r="C129" s="223"/>
      <c r="D129" s="223"/>
      <c r="E129" s="253"/>
      <c r="F129" s="376"/>
      <c r="G129" s="376"/>
      <c r="H129" s="230">
        <v>13.62</v>
      </c>
      <c r="I129" s="239" t="s">
        <v>1115</v>
      </c>
      <c r="J129" s="230"/>
      <c r="K129" s="251" t="s">
        <v>1229</v>
      </c>
      <c r="L129" s="234"/>
      <c r="M129" s="378"/>
      <c r="N129" s="380"/>
      <c r="O129" s="381"/>
      <c r="P129" s="381"/>
      <c r="Q129" s="224"/>
    </row>
    <row r="130" spans="1:17" ht="25.5">
      <c r="A130" s="517"/>
      <c r="B130" s="321" t="s">
        <v>1460</v>
      </c>
      <c r="C130" s="267" t="s">
        <v>1386</v>
      </c>
      <c r="D130" s="267" t="s">
        <v>1384</v>
      </c>
      <c r="E130" s="228"/>
      <c r="F130" s="225">
        <v>0.18</v>
      </c>
      <c r="G130" s="229"/>
      <c r="H130" s="241" t="s">
        <v>285</v>
      </c>
      <c r="I130" s="239" t="s">
        <v>1116</v>
      </c>
      <c r="J130" s="230" t="s">
        <v>702</v>
      </c>
      <c r="K130" s="251">
        <v>59</v>
      </c>
      <c r="L130" s="234">
        <v>226.25</v>
      </c>
      <c r="M130" s="378">
        <v>0.18</v>
      </c>
      <c r="N130" s="380">
        <f t="shared" si="6"/>
        <v>191.73728813559322</v>
      </c>
      <c r="O130" s="381">
        <f t="shared" si="4"/>
        <v>11312.5</v>
      </c>
      <c r="P130" s="381">
        <f t="shared" si="5"/>
        <v>2036.25</v>
      </c>
      <c r="Q130" s="224"/>
    </row>
    <row r="131" spans="1:17" ht="51">
      <c r="A131" s="238">
        <v>60</v>
      </c>
      <c r="B131" s="321" t="s">
        <v>1460</v>
      </c>
      <c r="C131" s="267" t="s">
        <v>1387</v>
      </c>
      <c r="D131" s="267" t="s">
        <v>1382</v>
      </c>
      <c r="E131" s="228"/>
      <c r="F131" s="225">
        <v>0.18</v>
      </c>
      <c r="G131" s="229"/>
      <c r="H131" s="232">
        <v>13.8</v>
      </c>
      <c r="I131" s="239" t="s">
        <v>1117</v>
      </c>
      <c r="J131" s="230" t="s">
        <v>702</v>
      </c>
      <c r="K131" s="251">
        <v>922</v>
      </c>
      <c r="L131" s="234">
        <v>156.05000000000001</v>
      </c>
      <c r="M131" s="378">
        <v>0.18</v>
      </c>
      <c r="N131" s="380">
        <f t="shared" si="6"/>
        <v>132.24576271186442</v>
      </c>
      <c r="O131" s="381">
        <f t="shared" si="4"/>
        <v>121930.593220339</v>
      </c>
      <c r="P131" s="381">
        <f t="shared" si="5"/>
        <v>21947.50677966102</v>
      </c>
      <c r="Q131" s="224"/>
    </row>
    <row r="132" spans="1:17" ht="51">
      <c r="A132" s="516">
        <v>61</v>
      </c>
      <c r="B132" s="223"/>
      <c r="C132" s="223"/>
      <c r="D132" s="223"/>
      <c r="E132" s="253"/>
      <c r="F132" s="376"/>
      <c r="G132" s="376"/>
      <c r="H132" s="230">
        <v>13.83</v>
      </c>
      <c r="I132" s="239" t="s">
        <v>1118</v>
      </c>
      <c r="J132" s="230"/>
      <c r="K132" s="251" t="s">
        <v>1229</v>
      </c>
      <c r="L132" s="234"/>
      <c r="M132" s="378"/>
      <c r="N132" s="380"/>
      <c r="O132" s="381"/>
      <c r="P132" s="381"/>
      <c r="Q132" s="224"/>
    </row>
    <row r="133" spans="1:17">
      <c r="A133" s="517"/>
      <c r="B133" s="321" t="s">
        <v>1460</v>
      </c>
      <c r="C133" s="267" t="s">
        <v>1388</v>
      </c>
      <c r="D133" s="267" t="s">
        <v>1384</v>
      </c>
      <c r="E133" s="228"/>
      <c r="F133" s="225">
        <v>0.18</v>
      </c>
      <c r="G133" s="229"/>
      <c r="H133" s="241" t="s">
        <v>278</v>
      </c>
      <c r="I133" s="239" t="s">
        <v>279</v>
      </c>
      <c r="J133" s="230" t="s">
        <v>702</v>
      </c>
      <c r="K133" s="251">
        <v>922</v>
      </c>
      <c r="L133" s="234">
        <v>142.80000000000001</v>
      </c>
      <c r="M133" s="378">
        <v>0.18</v>
      </c>
      <c r="N133" s="380">
        <f t="shared" si="6"/>
        <v>121.0169491525424</v>
      </c>
      <c r="O133" s="381">
        <f t="shared" si="4"/>
        <v>111577.62711864409</v>
      </c>
      <c r="P133" s="381">
        <f t="shared" si="5"/>
        <v>20083.972881355934</v>
      </c>
      <c r="Q133" s="224"/>
    </row>
    <row r="134" spans="1:17" ht="38.25">
      <c r="A134" s="516">
        <v>62</v>
      </c>
      <c r="B134" s="223"/>
      <c r="C134" s="223"/>
      <c r="D134" s="223"/>
      <c r="E134" s="253"/>
      <c r="F134" s="376"/>
      <c r="G134" s="376"/>
      <c r="H134" s="230">
        <v>13.85</v>
      </c>
      <c r="I134" s="239" t="s">
        <v>281</v>
      </c>
      <c r="J134" s="230"/>
      <c r="K134" s="251"/>
      <c r="L134" s="234"/>
      <c r="M134" s="378"/>
      <c r="N134" s="380"/>
      <c r="O134" s="381"/>
      <c r="P134" s="381"/>
      <c r="Q134" s="224"/>
    </row>
    <row r="135" spans="1:17" ht="25.5">
      <c r="A135" s="517"/>
      <c r="B135" s="321" t="s">
        <v>1460</v>
      </c>
      <c r="C135" s="267" t="s">
        <v>1389</v>
      </c>
      <c r="D135" s="267" t="s">
        <v>1384</v>
      </c>
      <c r="E135" s="228"/>
      <c r="F135" s="225">
        <v>0.18</v>
      </c>
      <c r="G135" s="229"/>
      <c r="H135" s="241" t="s">
        <v>282</v>
      </c>
      <c r="I135" s="239" t="s">
        <v>283</v>
      </c>
      <c r="J135" s="230" t="s">
        <v>702</v>
      </c>
      <c r="K135" s="251">
        <v>922</v>
      </c>
      <c r="L135" s="234">
        <v>73.95</v>
      </c>
      <c r="M135" s="378">
        <v>0.18</v>
      </c>
      <c r="N135" s="380">
        <f t="shared" si="6"/>
        <v>62.669491525423737</v>
      </c>
      <c r="O135" s="381">
        <f t="shared" si="4"/>
        <v>57781.271186440688</v>
      </c>
      <c r="P135" s="381">
        <f t="shared" si="5"/>
        <v>10400.628813559324</v>
      </c>
      <c r="Q135" s="224"/>
    </row>
    <row r="136" spans="1:17" ht="76.5">
      <c r="A136" s="516">
        <v>63</v>
      </c>
      <c r="B136" s="223"/>
      <c r="C136" s="223"/>
      <c r="D136" s="223"/>
      <c r="E136" s="253"/>
      <c r="F136" s="376"/>
      <c r="G136" s="376"/>
      <c r="H136" s="259">
        <v>17.100000000000001</v>
      </c>
      <c r="I136" s="239" t="s">
        <v>1119</v>
      </c>
      <c r="J136" s="259"/>
      <c r="K136" s="383"/>
      <c r="L136" s="261"/>
      <c r="M136" s="378"/>
      <c r="N136" s="380"/>
      <c r="O136" s="381"/>
      <c r="P136" s="381"/>
      <c r="Q136" s="224"/>
    </row>
    <row r="137" spans="1:17" ht="25.5">
      <c r="A137" s="517"/>
      <c r="B137" s="321" t="s">
        <v>1460</v>
      </c>
      <c r="C137" s="267" t="s">
        <v>1390</v>
      </c>
      <c r="D137" s="267" t="s">
        <v>1331</v>
      </c>
      <c r="E137" s="228"/>
      <c r="F137" s="225">
        <v>0.18</v>
      </c>
      <c r="G137" s="229"/>
      <c r="H137" s="259" t="s">
        <v>291</v>
      </c>
      <c r="I137" s="239" t="s">
        <v>1120</v>
      </c>
      <c r="J137" s="259" t="s">
        <v>743</v>
      </c>
      <c r="K137" s="383">
        <v>1</v>
      </c>
      <c r="L137" s="261">
        <v>6767.4</v>
      </c>
      <c r="M137" s="378">
        <v>0.18</v>
      </c>
      <c r="N137" s="380">
        <f t="shared" si="6"/>
        <v>5735.0847457627115</v>
      </c>
      <c r="O137" s="381">
        <f t="shared" si="4"/>
        <v>5735.0847457627115</v>
      </c>
      <c r="P137" s="381">
        <f t="shared" si="5"/>
        <v>1032.3152542372879</v>
      </c>
      <c r="Q137" s="224"/>
    </row>
    <row r="138" spans="1:17" ht="51">
      <c r="A138" s="518">
        <v>64</v>
      </c>
      <c r="B138" s="223"/>
      <c r="C138" s="223"/>
      <c r="D138" s="223"/>
      <c r="E138" s="253"/>
      <c r="F138" s="376"/>
      <c r="G138" s="376"/>
      <c r="H138" s="230">
        <v>17.7</v>
      </c>
      <c r="I138" s="239" t="s">
        <v>1121</v>
      </c>
      <c r="J138" s="264"/>
      <c r="K138" s="383"/>
      <c r="L138" s="261"/>
      <c r="M138" s="378"/>
      <c r="N138" s="380"/>
      <c r="O138" s="381"/>
      <c r="P138" s="381"/>
      <c r="Q138" s="224"/>
    </row>
    <row r="139" spans="1:17" ht="25.5">
      <c r="A139" s="519"/>
      <c r="B139" s="321" t="s">
        <v>1460</v>
      </c>
      <c r="C139" s="267" t="s">
        <v>1391</v>
      </c>
      <c r="D139" s="267" t="s">
        <v>1331</v>
      </c>
      <c r="E139" s="228"/>
      <c r="F139" s="225">
        <v>0.18</v>
      </c>
      <c r="G139" s="229"/>
      <c r="H139" s="259" t="s">
        <v>294</v>
      </c>
      <c r="I139" s="269" t="s">
        <v>295</v>
      </c>
      <c r="J139" s="259" t="s">
        <v>743</v>
      </c>
      <c r="K139" s="383">
        <v>7</v>
      </c>
      <c r="L139" s="261">
        <v>2648.85</v>
      </c>
      <c r="M139" s="378">
        <v>0.18</v>
      </c>
      <c r="N139" s="380">
        <f t="shared" si="6"/>
        <v>2244.7881355932204</v>
      </c>
      <c r="O139" s="381">
        <f t="shared" si="4"/>
        <v>15713.516949152543</v>
      </c>
      <c r="P139" s="381">
        <f t="shared" si="5"/>
        <v>2828.4330508474577</v>
      </c>
      <c r="Q139" s="224"/>
    </row>
    <row r="140" spans="1:17" ht="51">
      <c r="A140" s="518">
        <v>65</v>
      </c>
      <c r="B140" s="223"/>
      <c r="C140" s="223"/>
      <c r="D140" s="223"/>
      <c r="E140" s="253"/>
      <c r="F140" s="376"/>
      <c r="G140" s="376"/>
      <c r="H140" s="260">
        <v>17.100000000000001</v>
      </c>
      <c r="I140" s="239" t="s">
        <v>1122</v>
      </c>
      <c r="J140" s="259"/>
      <c r="K140" s="383" t="s">
        <v>1229</v>
      </c>
      <c r="L140" s="261"/>
      <c r="M140" s="378"/>
      <c r="N140" s="380"/>
      <c r="O140" s="381"/>
      <c r="P140" s="381"/>
      <c r="Q140" s="224"/>
    </row>
    <row r="141" spans="1:17">
      <c r="A141" s="524"/>
      <c r="B141" s="223"/>
      <c r="C141" s="223"/>
      <c r="D141" s="223"/>
      <c r="E141" s="253"/>
      <c r="F141" s="376"/>
      <c r="G141" s="376"/>
      <c r="H141" s="260" t="s">
        <v>304</v>
      </c>
      <c r="I141" s="239" t="s">
        <v>1123</v>
      </c>
      <c r="J141" s="259"/>
      <c r="K141" s="383"/>
      <c r="L141" s="261"/>
      <c r="M141" s="378"/>
      <c r="N141" s="380"/>
      <c r="O141" s="381"/>
      <c r="P141" s="381"/>
      <c r="Q141" s="224"/>
    </row>
    <row r="142" spans="1:17">
      <c r="A142" s="519"/>
      <c r="B142" s="321" t="s">
        <v>1460</v>
      </c>
      <c r="C142" s="267" t="s">
        <v>1392</v>
      </c>
      <c r="D142" s="267" t="s">
        <v>1331</v>
      </c>
      <c r="E142" s="228"/>
      <c r="F142" s="225">
        <v>0.18</v>
      </c>
      <c r="G142" s="229"/>
      <c r="H142" s="262" t="s">
        <v>1124</v>
      </c>
      <c r="I142" s="239" t="s">
        <v>1125</v>
      </c>
      <c r="J142" s="259" t="s">
        <v>171</v>
      </c>
      <c r="K142" s="383">
        <v>3</v>
      </c>
      <c r="L142" s="261">
        <v>6945.6</v>
      </c>
      <c r="M142" s="378">
        <v>0.18</v>
      </c>
      <c r="N142" s="380">
        <f t="shared" si="6"/>
        <v>5886.1016949152545</v>
      </c>
      <c r="O142" s="381">
        <f t="shared" si="4"/>
        <v>17658.305084745763</v>
      </c>
      <c r="P142" s="381">
        <f t="shared" si="5"/>
        <v>3178.4949152542372</v>
      </c>
      <c r="Q142" s="224"/>
    </row>
    <row r="143" spans="1:17" ht="25.5">
      <c r="A143" s="263">
        <v>66</v>
      </c>
      <c r="B143" s="321" t="s">
        <v>1460</v>
      </c>
      <c r="C143" s="267" t="s">
        <v>1393</v>
      </c>
      <c r="D143" s="267" t="s">
        <v>1331</v>
      </c>
      <c r="E143" s="228"/>
      <c r="F143" s="225">
        <v>0.18</v>
      </c>
      <c r="G143" s="229"/>
      <c r="H143" s="262" t="s">
        <v>1126</v>
      </c>
      <c r="I143" s="239" t="s">
        <v>1127</v>
      </c>
      <c r="J143" s="259" t="s">
        <v>171</v>
      </c>
      <c r="K143" s="383">
        <v>10</v>
      </c>
      <c r="L143" s="261">
        <v>1034.8</v>
      </c>
      <c r="M143" s="378">
        <v>0.18</v>
      </c>
      <c r="N143" s="380">
        <f t="shared" si="6"/>
        <v>876.94915254237287</v>
      </c>
      <c r="O143" s="381">
        <f t="shared" si="4"/>
        <v>8769.4915254237294</v>
      </c>
      <c r="P143" s="381">
        <f t="shared" si="5"/>
        <v>1578.5084745762713</v>
      </c>
      <c r="Q143" s="224"/>
    </row>
    <row r="144" spans="1:17" ht="25.5">
      <c r="A144" s="518">
        <v>67</v>
      </c>
      <c r="B144" s="223"/>
      <c r="C144" s="223"/>
      <c r="D144" s="223"/>
      <c r="E144" s="253"/>
      <c r="F144" s="376"/>
      <c r="G144" s="376"/>
      <c r="H144" s="262" t="s">
        <v>1128</v>
      </c>
      <c r="I144" s="239" t="s">
        <v>1129</v>
      </c>
      <c r="J144" s="259"/>
      <c r="K144" s="383"/>
      <c r="L144" s="261"/>
      <c r="M144" s="378"/>
      <c r="N144" s="380"/>
      <c r="O144" s="381"/>
      <c r="P144" s="381"/>
      <c r="Q144" s="224"/>
    </row>
    <row r="145" spans="1:17">
      <c r="A145" s="519"/>
      <c r="B145" s="321" t="s">
        <v>1460</v>
      </c>
      <c r="C145" s="267" t="s">
        <v>1394</v>
      </c>
      <c r="D145" s="267" t="s">
        <v>1331</v>
      </c>
      <c r="E145" s="228"/>
      <c r="F145" s="225">
        <v>0.18</v>
      </c>
      <c r="G145" s="229"/>
      <c r="H145" s="262" t="s">
        <v>1130</v>
      </c>
      <c r="I145" s="239" t="s">
        <v>1131</v>
      </c>
      <c r="J145" s="259" t="s">
        <v>171</v>
      </c>
      <c r="K145" s="383">
        <v>10</v>
      </c>
      <c r="L145" s="261">
        <v>6940.75</v>
      </c>
      <c r="M145" s="378">
        <v>0.18</v>
      </c>
      <c r="N145" s="380">
        <f t="shared" si="6"/>
        <v>5881.9915254237294</v>
      </c>
      <c r="O145" s="381">
        <f t="shared" si="4"/>
        <v>58819.91525423729</v>
      </c>
      <c r="P145" s="381">
        <f t="shared" si="5"/>
        <v>10587.584745762711</v>
      </c>
      <c r="Q145" s="224"/>
    </row>
    <row r="146" spans="1:17" ht="25.5">
      <c r="A146" s="518">
        <v>68</v>
      </c>
      <c r="B146" s="223"/>
      <c r="C146" s="223"/>
      <c r="D146" s="223"/>
      <c r="E146" s="253"/>
      <c r="F146" s="376"/>
      <c r="G146" s="376"/>
      <c r="H146" s="262">
        <v>17.28</v>
      </c>
      <c r="I146" s="239" t="s">
        <v>310</v>
      </c>
      <c r="J146" s="259"/>
      <c r="K146" s="383"/>
      <c r="L146" s="261"/>
      <c r="M146" s="378"/>
      <c r="N146" s="380"/>
      <c r="O146" s="381"/>
      <c r="P146" s="381"/>
      <c r="Q146" s="224"/>
    </row>
    <row r="147" spans="1:17">
      <c r="A147" s="524"/>
      <c r="B147" s="223"/>
      <c r="C147" s="223"/>
      <c r="D147" s="223"/>
      <c r="E147" s="253"/>
      <c r="F147" s="376"/>
      <c r="G147" s="376"/>
      <c r="H147" s="262" t="s">
        <v>311</v>
      </c>
      <c r="I147" s="239" t="s">
        <v>1132</v>
      </c>
      <c r="J147" s="259"/>
      <c r="K147" s="383"/>
      <c r="L147" s="261"/>
      <c r="M147" s="378"/>
      <c r="N147" s="380"/>
      <c r="O147" s="381"/>
      <c r="P147" s="381"/>
      <c r="Q147" s="224"/>
    </row>
    <row r="148" spans="1:17">
      <c r="A148" s="519"/>
      <c r="B148" s="321" t="s">
        <v>1460</v>
      </c>
      <c r="C148" s="267" t="s">
        <v>1395</v>
      </c>
      <c r="D148" s="267" t="s">
        <v>1331</v>
      </c>
      <c r="E148" s="228"/>
      <c r="F148" s="225">
        <v>0.18</v>
      </c>
      <c r="G148" s="229"/>
      <c r="H148" s="257" t="s">
        <v>312</v>
      </c>
      <c r="I148" s="239" t="s">
        <v>1133</v>
      </c>
      <c r="J148" s="230" t="s">
        <v>171</v>
      </c>
      <c r="K148" s="383">
        <v>10</v>
      </c>
      <c r="L148" s="261">
        <v>116.7</v>
      </c>
      <c r="M148" s="378">
        <v>0.18</v>
      </c>
      <c r="N148" s="380">
        <f t="shared" si="6"/>
        <v>98.898305084745772</v>
      </c>
      <c r="O148" s="381">
        <f t="shared" si="4"/>
        <v>988.98305084745766</v>
      </c>
      <c r="P148" s="381">
        <f t="shared" si="5"/>
        <v>178.01694915254237</v>
      </c>
      <c r="Q148" s="224"/>
    </row>
    <row r="149" spans="1:17" ht="25.5">
      <c r="A149" s="263">
        <v>69</v>
      </c>
      <c r="B149" s="321" t="s">
        <v>1460</v>
      </c>
      <c r="C149" s="267" t="s">
        <v>1396</v>
      </c>
      <c r="D149" s="267" t="s">
        <v>1331</v>
      </c>
      <c r="E149" s="228"/>
      <c r="F149" s="225">
        <v>0.18</v>
      </c>
      <c r="G149" s="229"/>
      <c r="H149" s="257">
        <v>17.29</v>
      </c>
      <c r="I149" s="270" t="s">
        <v>1134</v>
      </c>
      <c r="J149" s="230" t="s">
        <v>171</v>
      </c>
      <c r="K149" s="383">
        <v>20</v>
      </c>
      <c r="L149" s="261">
        <v>53.25</v>
      </c>
      <c r="M149" s="378">
        <v>0.18</v>
      </c>
      <c r="N149" s="380">
        <f t="shared" si="6"/>
        <v>45.127118644067799</v>
      </c>
      <c r="O149" s="381">
        <f t="shared" si="4"/>
        <v>902.54237288135596</v>
      </c>
      <c r="P149" s="381">
        <f t="shared" si="5"/>
        <v>162.45762711864407</v>
      </c>
      <c r="Q149" s="224"/>
    </row>
    <row r="150" spans="1:17" ht="25.5">
      <c r="A150" s="263">
        <v>70</v>
      </c>
      <c r="B150" s="321" t="s">
        <v>1460</v>
      </c>
      <c r="C150" s="267" t="s">
        <v>1397</v>
      </c>
      <c r="D150" s="267" t="s">
        <v>1331</v>
      </c>
      <c r="E150" s="228"/>
      <c r="F150" s="225">
        <v>0.18</v>
      </c>
      <c r="G150" s="229"/>
      <c r="H150" s="271">
        <v>17.3</v>
      </c>
      <c r="I150" s="239" t="s">
        <v>314</v>
      </c>
      <c r="J150" s="230" t="s">
        <v>171</v>
      </c>
      <c r="K150" s="383">
        <v>20</v>
      </c>
      <c r="L150" s="261">
        <v>55.65</v>
      </c>
      <c r="M150" s="378">
        <v>0.18</v>
      </c>
      <c r="N150" s="380">
        <f t="shared" si="6"/>
        <v>47.161016949152547</v>
      </c>
      <c r="O150" s="381">
        <f t="shared" si="4"/>
        <v>943.22033898305096</v>
      </c>
      <c r="P150" s="381">
        <f t="shared" ref="P150:P211" si="7">IF(ISBLANK(G150),F150*O150,G150*O150)</f>
        <v>169.77966101694918</v>
      </c>
      <c r="Q150" s="224"/>
    </row>
    <row r="151" spans="1:17" ht="51">
      <c r="A151" s="263">
        <v>71</v>
      </c>
      <c r="B151" s="321" t="s">
        <v>1460</v>
      </c>
      <c r="C151" s="267" t="s">
        <v>1398</v>
      </c>
      <c r="D151" s="267" t="s">
        <v>1331</v>
      </c>
      <c r="E151" s="228"/>
      <c r="F151" s="225">
        <v>0.18</v>
      </c>
      <c r="G151" s="229"/>
      <c r="H151" s="272" t="s">
        <v>321</v>
      </c>
      <c r="I151" s="239" t="s">
        <v>322</v>
      </c>
      <c r="J151" s="230" t="s">
        <v>171</v>
      </c>
      <c r="K151" s="383">
        <v>10</v>
      </c>
      <c r="L151" s="261">
        <v>1607.95</v>
      </c>
      <c r="M151" s="378">
        <v>0.18</v>
      </c>
      <c r="N151" s="380">
        <f t="shared" si="6"/>
        <v>1362.6694915254238</v>
      </c>
      <c r="O151" s="381">
        <f t="shared" si="4"/>
        <v>13626.694915254238</v>
      </c>
      <c r="P151" s="381">
        <f t="shared" si="7"/>
        <v>2452.805084745763</v>
      </c>
      <c r="Q151" s="224"/>
    </row>
    <row r="152" spans="1:17" ht="38.25">
      <c r="A152" s="518">
        <v>72</v>
      </c>
      <c r="B152" s="223"/>
      <c r="C152" s="223"/>
      <c r="D152" s="223"/>
      <c r="E152" s="253"/>
      <c r="F152" s="376"/>
      <c r="G152" s="376"/>
      <c r="H152" s="272" t="s">
        <v>1135</v>
      </c>
      <c r="I152" s="239" t="s">
        <v>1136</v>
      </c>
      <c r="J152" s="230"/>
      <c r="K152" s="383"/>
      <c r="L152" s="261"/>
      <c r="M152" s="378"/>
      <c r="N152" s="380"/>
      <c r="O152" s="381"/>
      <c r="P152" s="381"/>
      <c r="Q152" s="224"/>
    </row>
    <row r="153" spans="1:17">
      <c r="A153" s="519"/>
      <c r="B153" s="321" t="s">
        <v>1460</v>
      </c>
      <c r="C153" s="267" t="s">
        <v>1399</v>
      </c>
      <c r="D153" s="267" t="s">
        <v>1331</v>
      </c>
      <c r="E153" s="228"/>
      <c r="F153" s="225">
        <v>0.18</v>
      </c>
      <c r="G153" s="229"/>
      <c r="H153" s="241" t="s">
        <v>1137</v>
      </c>
      <c r="I153" s="239" t="s">
        <v>1138</v>
      </c>
      <c r="J153" s="230" t="s">
        <v>171</v>
      </c>
      <c r="K153" s="383">
        <v>5</v>
      </c>
      <c r="L153" s="261">
        <v>2093</v>
      </c>
      <c r="M153" s="378">
        <v>0.18</v>
      </c>
      <c r="N153" s="380">
        <f t="shared" si="6"/>
        <v>1773.7288135593221</v>
      </c>
      <c r="O153" s="381">
        <f t="shared" ref="O153:O214" si="8">N153*K153</f>
        <v>8868.6440677966111</v>
      </c>
      <c r="P153" s="381">
        <f t="shared" si="7"/>
        <v>1596.35593220339</v>
      </c>
      <c r="Q153" s="224"/>
    </row>
    <row r="154" spans="1:17">
      <c r="A154" s="518">
        <v>73</v>
      </c>
      <c r="B154" s="223"/>
      <c r="C154" s="223"/>
      <c r="D154" s="223"/>
      <c r="E154" s="253"/>
      <c r="F154" s="376"/>
      <c r="G154" s="376"/>
      <c r="H154" s="241" t="s">
        <v>336</v>
      </c>
      <c r="I154" s="239" t="s">
        <v>337</v>
      </c>
      <c r="J154" s="230"/>
      <c r="K154" s="383"/>
      <c r="L154" s="261"/>
      <c r="M154" s="378"/>
      <c r="N154" s="380"/>
      <c r="O154" s="381"/>
      <c r="P154" s="381"/>
      <c r="Q154" s="224"/>
    </row>
    <row r="155" spans="1:17">
      <c r="A155" s="519"/>
      <c r="B155" s="321" t="s">
        <v>1460</v>
      </c>
      <c r="C155" s="267" t="s">
        <v>1400</v>
      </c>
      <c r="D155" s="267" t="s">
        <v>1331</v>
      </c>
      <c r="E155" s="228"/>
      <c r="F155" s="225">
        <v>0.18</v>
      </c>
      <c r="G155" s="229"/>
      <c r="H155" s="241" t="s">
        <v>338</v>
      </c>
      <c r="I155" s="239" t="s">
        <v>339</v>
      </c>
      <c r="J155" s="230" t="s">
        <v>171</v>
      </c>
      <c r="K155" s="383">
        <v>6</v>
      </c>
      <c r="L155" s="261">
        <v>803.7</v>
      </c>
      <c r="M155" s="378">
        <v>0.18</v>
      </c>
      <c r="N155" s="380">
        <f t="shared" si="6"/>
        <v>681.10169491525426</v>
      </c>
      <c r="O155" s="381">
        <f t="shared" si="8"/>
        <v>4086.6101694915255</v>
      </c>
      <c r="P155" s="381">
        <f t="shared" si="7"/>
        <v>735.58983050847462</v>
      </c>
      <c r="Q155" s="224"/>
    </row>
    <row r="156" spans="1:17" ht="25.5">
      <c r="A156" s="518">
        <v>74</v>
      </c>
      <c r="B156" s="223"/>
      <c r="C156" s="223"/>
      <c r="D156" s="223"/>
      <c r="E156" s="253"/>
      <c r="F156" s="376"/>
      <c r="G156" s="376"/>
      <c r="H156" s="241" t="s">
        <v>341</v>
      </c>
      <c r="I156" s="239" t="s">
        <v>1139</v>
      </c>
      <c r="J156" s="230"/>
      <c r="K156" s="383"/>
      <c r="L156" s="261"/>
      <c r="M156" s="378"/>
      <c r="N156" s="380"/>
      <c r="O156" s="381"/>
      <c r="P156" s="381"/>
      <c r="Q156" s="224"/>
    </row>
    <row r="157" spans="1:17" ht="25.5">
      <c r="A157" s="519"/>
      <c r="B157" s="321" t="s">
        <v>1460</v>
      </c>
      <c r="C157" s="267" t="s">
        <v>1401</v>
      </c>
      <c r="D157" s="267" t="s">
        <v>1331</v>
      </c>
      <c r="E157" s="228"/>
      <c r="F157" s="225">
        <v>0.18</v>
      </c>
      <c r="G157" s="229"/>
      <c r="H157" s="241" t="s">
        <v>343</v>
      </c>
      <c r="I157" s="239" t="s">
        <v>344</v>
      </c>
      <c r="J157" s="230" t="s">
        <v>171</v>
      </c>
      <c r="K157" s="383">
        <v>6</v>
      </c>
      <c r="L157" s="234">
        <v>122.4</v>
      </c>
      <c r="M157" s="378">
        <v>0.18</v>
      </c>
      <c r="N157" s="380">
        <f t="shared" si="6"/>
        <v>103.72881355932205</v>
      </c>
      <c r="O157" s="381">
        <f t="shared" si="8"/>
        <v>622.37288135593235</v>
      </c>
      <c r="P157" s="381">
        <f t="shared" si="7"/>
        <v>112.02711864406781</v>
      </c>
      <c r="Q157" s="224"/>
    </row>
    <row r="158" spans="1:17">
      <c r="A158" s="518">
        <v>75</v>
      </c>
      <c r="B158" s="223"/>
      <c r="C158" s="223"/>
      <c r="D158" s="223"/>
      <c r="E158" s="253"/>
      <c r="F158" s="376"/>
      <c r="G158" s="376"/>
      <c r="H158" s="241" t="s">
        <v>317</v>
      </c>
      <c r="I158" s="239" t="s">
        <v>1140</v>
      </c>
      <c r="J158" s="230"/>
      <c r="K158" s="383"/>
      <c r="L158" s="234"/>
      <c r="M158" s="378"/>
      <c r="N158" s="380"/>
      <c r="O158" s="381"/>
      <c r="P158" s="381"/>
      <c r="Q158" s="224"/>
    </row>
    <row r="159" spans="1:17" ht="51">
      <c r="A159" s="519"/>
      <c r="B159" s="321" t="s">
        <v>1460</v>
      </c>
      <c r="C159" s="267" t="s">
        <v>1402</v>
      </c>
      <c r="D159" s="267" t="s">
        <v>1331</v>
      </c>
      <c r="E159" s="228"/>
      <c r="F159" s="225">
        <v>0.18</v>
      </c>
      <c r="G159" s="229"/>
      <c r="H159" s="241" t="s">
        <v>1141</v>
      </c>
      <c r="I159" s="239" t="s">
        <v>1142</v>
      </c>
      <c r="J159" s="230" t="s">
        <v>171</v>
      </c>
      <c r="K159" s="383">
        <v>6</v>
      </c>
      <c r="L159" s="234">
        <v>367.1</v>
      </c>
      <c r="M159" s="378">
        <v>0.18</v>
      </c>
      <c r="N159" s="380">
        <f t="shared" si="6"/>
        <v>311.10169491525426</v>
      </c>
      <c r="O159" s="381">
        <f t="shared" si="8"/>
        <v>1866.6101694915255</v>
      </c>
      <c r="P159" s="381">
        <f t="shared" si="7"/>
        <v>335.9898305084746</v>
      </c>
      <c r="Q159" s="224"/>
    </row>
    <row r="160" spans="1:17" ht="51">
      <c r="A160" s="263">
        <v>76</v>
      </c>
      <c r="B160" s="321" t="s">
        <v>1460</v>
      </c>
      <c r="C160" s="267" t="s">
        <v>1403</v>
      </c>
      <c r="D160" s="267" t="s">
        <v>1331</v>
      </c>
      <c r="E160" s="228"/>
      <c r="F160" s="225">
        <v>0.18</v>
      </c>
      <c r="G160" s="229"/>
      <c r="H160" s="259">
        <v>17.71</v>
      </c>
      <c r="I160" s="239" t="s">
        <v>1143</v>
      </c>
      <c r="J160" s="259" t="s">
        <v>743</v>
      </c>
      <c r="K160" s="383">
        <v>7</v>
      </c>
      <c r="L160" s="261">
        <v>168.35</v>
      </c>
      <c r="M160" s="378">
        <v>0.18</v>
      </c>
      <c r="N160" s="380">
        <f t="shared" si="6"/>
        <v>142.66949152542372</v>
      </c>
      <c r="O160" s="381">
        <f t="shared" si="8"/>
        <v>998.68644067796606</v>
      </c>
      <c r="P160" s="381">
        <f t="shared" si="7"/>
        <v>179.76355932203387</v>
      </c>
      <c r="Q160" s="224"/>
    </row>
    <row r="161" spans="1:17" ht="51">
      <c r="A161" s="263">
        <v>77</v>
      </c>
      <c r="B161" s="321" t="s">
        <v>1460</v>
      </c>
      <c r="C161" s="267" t="s">
        <v>1404</v>
      </c>
      <c r="D161" s="267" t="s">
        <v>1331</v>
      </c>
      <c r="E161" s="228"/>
      <c r="F161" s="225">
        <v>0.18</v>
      </c>
      <c r="G161" s="229"/>
      <c r="H161" s="230">
        <v>17.72</v>
      </c>
      <c r="I161" s="239" t="s">
        <v>1144</v>
      </c>
      <c r="J161" s="230" t="s">
        <v>743</v>
      </c>
      <c r="K161" s="383">
        <v>7</v>
      </c>
      <c r="L161" s="261">
        <v>231.95</v>
      </c>
      <c r="M161" s="378">
        <v>0.18</v>
      </c>
      <c r="N161" s="380">
        <f t="shared" si="6"/>
        <v>196.56779661016949</v>
      </c>
      <c r="O161" s="381">
        <f t="shared" si="8"/>
        <v>1375.9745762711864</v>
      </c>
      <c r="P161" s="381">
        <f t="shared" si="7"/>
        <v>247.67542372881354</v>
      </c>
      <c r="Q161" s="224"/>
    </row>
    <row r="162" spans="1:17" ht="38.25">
      <c r="A162" s="518">
        <v>78</v>
      </c>
      <c r="B162" s="223"/>
      <c r="C162" s="223"/>
      <c r="D162" s="223"/>
      <c r="E162" s="253"/>
      <c r="F162" s="376"/>
      <c r="G162" s="376"/>
      <c r="H162" s="230">
        <v>17.73</v>
      </c>
      <c r="I162" s="239" t="s">
        <v>1145</v>
      </c>
      <c r="J162" s="230"/>
      <c r="K162" s="383"/>
      <c r="L162" s="261"/>
      <c r="M162" s="378"/>
      <c r="N162" s="380"/>
      <c r="O162" s="381"/>
      <c r="P162" s="381"/>
      <c r="Q162" s="224"/>
    </row>
    <row r="163" spans="1:17" ht="25.5">
      <c r="A163" s="519"/>
      <c r="B163" s="321" t="s">
        <v>1460</v>
      </c>
      <c r="C163" s="267" t="s">
        <v>1405</v>
      </c>
      <c r="D163" s="267" t="s">
        <v>1331</v>
      </c>
      <c r="E163" s="228"/>
      <c r="F163" s="225">
        <v>0.18</v>
      </c>
      <c r="G163" s="229"/>
      <c r="H163" s="230" t="s">
        <v>327</v>
      </c>
      <c r="I163" s="239" t="s">
        <v>1146</v>
      </c>
      <c r="J163" s="230" t="s">
        <v>743</v>
      </c>
      <c r="K163" s="383">
        <v>10</v>
      </c>
      <c r="L163" s="261">
        <v>708.95</v>
      </c>
      <c r="M163" s="378">
        <v>0.18</v>
      </c>
      <c r="N163" s="380">
        <f t="shared" si="6"/>
        <v>600.80508474576277</v>
      </c>
      <c r="O163" s="381">
        <f t="shared" si="8"/>
        <v>6008.0508474576272</v>
      </c>
      <c r="P163" s="381">
        <f t="shared" si="7"/>
        <v>1081.4491525423728</v>
      </c>
      <c r="Q163" s="224"/>
    </row>
    <row r="164" spans="1:17" ht="38.25">
      <c r="A164" s="263">
        <v>79</v>
      </c>
      <c r="B164" s="321" t="s">
        <v>1460</v>
      </c>
      <c r="C164" s="267" t="s">
        <v>1406</v>
      </c>
      <c r="D164" s="267" t="s">
        <v>1331</v>
      </c>
      <c r="E164" s="228"/>
      <c r="F164" s="225">
        <v>0.18</v>
      </c>
      <c r="G164" s="229"/>
      <c r="H164" s="230">
        <v>17.739999999999998</v>
      </c>
      <c r="I164" s="239" t="s">
        <v>331</v>
      </c>
      <c r="J164" s="230" t="s">
        <v>171</v>
      </c>
      <c r="K164" s="383">
        <v>7</v>
      </c>
      <c r="L164" s="261">
        <v>713.2</v>
      </c>
      <c r="M164" s="378">
        <v>0.18</v>
      </c>
      <c r="N164" s="380">
        <f t="shared" si="6"/>
        <v>604.40677966101703</v>
      </c>
      <c r="O164" s="381">
        <f t="shared" si="8"/>
        <v>4230.8474576271192</v>
      </c>
      <c r="P164" s="381">
        <f t="shared" si="7"/>
        <v>761.55254237288148</v>
      </c>
      <c r="Q164" s="224"/>
    </row>
    <row r="165" spans="1:17" ht="76.5">
      <c r="A165" s="263">
        <v>80</v>
      </c>
      <c r="B165" s="321" t="s">
        <v>1460</v>
      </c>
      <c r="C165" s="267" t="s">
        <v>1407</v>
      </c>
      <c r="D165" s="267" t="s">
        <v>1331</v>
      </c>
      <c r="E165" s="228"/>
      <c r="F165" s="225">
        <v>0.18</v>
      </c>
      <c r="G165" s="229"/>
      <c r="H165" s="230">
        <v>17.78</v>
      </c>
      <c r="I165" s="239" t="s">
        <v>1147</v>
      </c>
      <c r="J165" s="264" t="s">
        <v>171</v>
      </c>
      <c r="K165" s="383">
        <v>6</v>
      </c>
      <c r="L165" s="261">
        <v>14999.15</v>
      </c>
      <c r="M165" s="378">
        <v>0.18</v>
      </c>
      <c r="N165" s="380">
        <f t="shared" si="6"/>
        <v>12711.144067796611</v>
      </c>
      <c r="O165" s="381">
        <f t="shared" si="8"/>
        <v>76266.86440677967</v>
      </c>
      <c r="P165" s="381">
        <f t="shared" si="7"/>
        <v>13728.03559322034</v>
      </c>
      <c r="Q165" s="224"/>
    </row>
    <row r="166" spans="1:17" ht="89.25">
      <c r="A166" s="263">
        <v>81</v>
      </c>
      <c r="B166" s="223"/>
      <c r="C166" s="223"/>
      <c r="D166" s="223"/>
      <c r="E166" s="253"/>
      <c r="F166" s="376"/>
      <c r="G166" s="376"/>
      <c r="H166" s="250">
        <v>18.7</v>
      </c>
      <c r="I166" s="239" t="s">
        <v>1148</v>
      </c>
      <c r="J166" s="230"/>
      <c r="K166" s="250" t="s">
        <v>1229</v>
      </c>
      <c r="L166" s="234"/>
      <c r="M166" s="378"/>
      <c r="N166" s="380"/>
      <c r="O166" s="381"/>
      <c r="P166" s="381"/>
      <c r="Q166" s="224"/>
    </row>
    <row r="167" spans="1:17">
      <c r="A167" s="238" t="s">
        <v>1233</v>
      </c>
      <c r="B167" s="321" t="s">
        <v>1460</v>
      </c>
      <c r="C167" s="267" t="s">
        <v>1408</v>
      </c>
      <c r="D167" s="267" t="s">
        <v>1409</v>
      </c>
      <c r="E167" s="228"/>
      <c r="F167" s="225">
        <v>0.18</v>
      </c>
      <c r="G167" s="229"/>
      <c r="H167" s="230" t="s">
        <v>1149</v>
      </c>
      <c r="I167" s="239" t="s">
        <v>1150</v>
      </c>
      <c r="J167" s="230" t="s">
        <v>650</v>
      </c>
      <c r="K167" s="251">
        <v>120</v>
      </c>
      <c r="L167" s="234">
        <v>401.55</v>
      </c>
      <c r="M167" s="378">
        <v>0.18</v>
      </c>
      <c r="N167" s="380">
        <f t="shared" si="6"/>
        <v>340.29661016949154</v>
      </c>
      <c r="O167" s="381">
        <f t="shared" si="8"/>
        <v>40835.593220338982</v>
      </c>
      <c r="P167" s="381">
        <f t="shared" si="7"/>
        <v>7350.4067796610161</v>
      </c>
      <c r="Q167" s="224"/>
    </row>
    <row r="168" spans="1:17">
      <c r="A168" s="238" t="s">
        <v>1234</v>
      </c>
      <c r="B168" s="321" t="s">
        <v>1460</v>
      </c>
      <c r="C168" s="267" t="s">
        <v>1410</v>
      </c>
      <c r="D168" s="267" t="s">
        <v>1409</v>
      </c>
      <c r="E168" s="228"/>
      <c r="F168" s="225">
        <v>0.18</v>
      </c>
      <c r="G168" s="229"/>
      <c r="H168" s="230" t="s">
        <v>355</v>
      </c>
      <c r="I168" s="239" t="s">
        <v>356</v>
      </c>
      <c r="J168" s="230" t="s">
        <v>650</v>
      </c>
      <c r="K168" s="251">
        <v>80</v>
      </c>
      <c r="L168" s="234">
        <v>702.95</v>
      </c>
      <c r="M168" s="378">
        <v>0.18</v>
      </c>
      <c r="N168" s="380">
        <f t="shared" si="6"/>
        <v>595.72033898305096</v>
      </c>
      <c r="O168" s="381">
        <f t="shared" si="8"/>
        <v>47657.627118644079</v>
      </c>
      <c r="P168" s="381">
        <f t="shared" si="7"/>
        <v>8578.3728813559337</v>
      </c>
      <c r="Q168" s="224"/>
    </row>
    <row r="169" spans="1:17">
      <c r="A169" s="238" t="s">
        <v>1235</v>
      </c>
      <c r="B169" s="321" t="s">
        <v>1460</v>
      </c>
      <c r="C169" s="267" t="s">
        <v>1411</v>
      </c>
      <c r="D169" s="267" t="s">
        <v>1409</v>
      </c>
      <c r="E169" s="228"/>
      <c r="F169" s="225">
        <v>0.18</v>
      </c>
      <c r="G169" s="229"/>
      <c r="H169" s="230" t="s">
        <v>1151</v>
      </c>
      <c r="I169" s="239" t="s">
        <v>1152</v>
      </c>
      <c r="J169" s="230" t="s">
        <v>650</v>
      </c>
      <c r="K169" s="251">
        <v>70</v>
      </c>
      <c r="L169" s="234">
        <v>934.15</v>
      </c>
      <c r="M169" s="378">
        <v>0.18</v>
      </c>
      <c r="N169" s="380">
        <f t="shared" si="6"/>
        <v>791.65254237288138</v>
      </c>
      <c r="O169" s="381">
        <f t="shared" si="8"/>
        <v>55415.677966101699</v>
      </c>
      <c r="P169" s="381">
        <f t="shared" si="7"/>
        <v>9974.8220338983047</v>
      </c>
      <c r="Q169" s="224"/>
    </row>
    <row r="170" spans="1:17" ht="102">
      <c r="A170" s="238">
        <v>82</v>
      </c>
      <c r="B170" s="223"/>
      <c r="C170" s="223"/>
      <c r="D170" s="223"/>
      <c r="E170" s="253"/>
      <c r="F170" s="376"/>
      <c r="G170" s="376"/>
      <c r="H170" s="230">
        <v>18.8</v>
      </c>
      <c r="I170" s="239" t="s">
        <v>1153</v>
      </c>
      <c r="J170" s="230"/>
      <c r="K170" s="250" t="s">
        <v>1229</v>
      </c>
      <c r="L170" s="234"/>
      <c r="M170" s="378"/>
      <c r="N170" s="380"/>
      <c r="O170" s="381"/>
      <c r="P170" s="381"/>
      <c r="Q170" s="224"/>
    </row>
    <row r="171" spans="1:17">
      <c r="A171" s="238" t="s">
        <v>1233</v>
      </c>
      <c r="B171" s="321" t="s">
        <v>1460</v>
      </c>
      <c r="C171" s="267" t="s">
        <v>1414</v>
      </c>
      <c r="D171" s="267" t="s">
        <v>1409</v>
      </c>
      <c r="E171" s="228"/>
      <c r="F171" s="225">
        <v>0.18</v>
      </c>
      <c r="G171" s="229"/>
      <c r="H171" s="230" t="s">
        <v>359</v>
      </c>
      <c r="I171" s="239" t="s">
        <v>360</v>
      </c>
      <c r="J171" s="230" t="s">
        <v>650</v>
      </c>
      <c r="K171" s="385">
        <v>100</v>
      </c>
      <c r="L171" s="234">
        <v>497.8</v>
      </c>
      <c r="M171" s="378">
        <v>0.18</v>
      </c>
      <c r="N171" s="380">
        <f t="shared" si="6"/>
        <v>421.86440677966107</v>
      </c>
      <c r="O171" s="381">
        <f t="shared" si="8"/>
        <v>42186.440677966108</v>
      </c>
      <c r="P171" s="381">
        <f t="shared" si="7"/>
        <v>7593.5593220338988</v>
      </c>
      <c r="Q171" s="224"/>
    </row>
    <row r="172" spans="1:17">
      <c r="A172" s="238" t="s">
        <v>1234</v>
      </c>
      <c r="B172" s="321" t="s">
        <v>1460</v>
      </c>
      <c r="C172" s="267" t="s">
        <v>1412</v>
      </c>
      <c r="D172" s="267" t="s">
        <v>1409</v>
      </c>
      <c r="E172" s="228"/>
      <c r="F172" s="225">
        <v>0.18</v>
      </c>
      <c r="G172" s="229"/>
      <c r="H172" s="230" t="s">
        <v>361</v>
      </c>
      <c r="I172" s="239" t="s">
        <v>350</v>
      </c>
      <c r="J172" s="230" t="s">
        <v>650</v>
      </c>
      <c r="K172" s="385">
        <v>100</v>
      </c>
      <c r="L172" s="234">
        <v>537.6</v>
      </c>
      <c r="M172" s="378">
        <v>0.18</v>
      </c>
      <c r="N172" s="380">
        <f t="shared" si="6"/>
        <v>455.59322033898309</v>
      </c>
      <c r="O172" s="381">
        <f t="shared" si="8"/>
        <v>45559.322033898308</v>
      </c>
      <c r="P172" s="381">
        <f t="shared" si="7"/>
        <v>8200.6779661016953</v>
      </c>
      <c r="Q172" s="224"/>
    </row>
    <row r="173" spans="1:17">
      <c r="A173" s="238" t="s">
        <v>1235</v>
      </c>
      <c r="B173" s="321" t="s">
        <v>1460</v>
      </c>
      <c r="C173" s="267" t="s">
        <v>1413</v>
      </c>
      <c r="D173" s="267" t="s">
        <v>1409</v>
      </c>
      <c r="E173" s="228"/>
      <c r="F173" s="225">
        <v>0.18</v>
      </c>
      <c r="G173" s="229"/>
      <c r="H173" s="230" t="s">
        <v>1154</v>
      </c>
      <c r="I173" s="239" t="s">
        <v>1155</v>
      </c>
      <c r="J173" s="230" t="s">
        <v>650</v>
      </c>
      <c r="K173" s="385">
        <v>100</v>
      </c>
      <c r="L173" s="234">
        <v>627.25</v>
      </c>
      <c r="M173" s="378">
        <v>0.18</v>
      </c>
      <c r="N173" s="380">
        <f t="shared" si="6"/>
        <v>531.56779661016947</v>
      </c>
      <c r="O173" s="381">
        <f t="shared" si="8"/>
        <v>53156.779661016946</v>
      </c>
      <c r="P173" s="381">
        <f t="shared" si="7"/>
        <v>9568.2203389830502</v>
      </c>
      <c r="Q173" s="224"/>
    </row>
    <row r="174" spans="1:17" ht="38.25">
      <c r="A174" s="516">
        <v>83</v>
      </c>
      <c r="B174" s="223"/>
      <c r="C174" s="223"/>
      <c r="D174" s="223"/>
      <c r="E174" s="253"/>
      <c r="F174" s="376"/>
      <c r="G174" s="376"/>
      <c r="H174" s="232">
        <v>18.100000000000001</v>
      </c>
      <c r="I174" s="239" t="s">
        <v>1156</v>
      </c>
      <c r="J174" s="230"/>
      <c r="K174" s="250" t="s">
        <v>1229</v>
      </c>
      <c r="L174" s="234"/>
      <c r="M174" s="378"/>
      <c r="N174" s="380"/>
      <c r="O174" s="381"/>
      <c r="P174" s="381"/>
      <c r="Q174" s="224"/>
    </row>
    <row r="175" spans="1:17">
      <c r="A175" s="517"/>
      <c r="B175" s="321" t="s">
        <v>1460</v>
      </c>
      <c r="C175" s="267" t="s">
        <v>1415</v>
      </c>
      <c r="D175" s="267" t="s">
        <v>1409</v>
      </c>
      <c r="E175" s="228"/>
      <c r="F175" s="225">
        <v>0.18</v>
      </c>
      <c r="G175" s="229"/>
      <c r="H175" s="230" t="s">
        <v>1157</v>
      </c>
      <c r="I175" s="239" t="s">
        <v>1158</v>
      </c>
      <c r="J175" s="230" t="s">
        <v>650</v>
      </c>
      <c r="K175" s="385">
        <v>150</v>
      </c>
      <c r="L175" s="234">
        <v>1048.3499999999999</v>
      </c>
      <c r="M175" s="378">
        <v>0.18</v>
      </c>
      <c r="N175" s="380">
        <f t="shared" ref="N175:N237" si="9">L175/1.18</f>
        <v>888.43220338983053</v>
      </c>
      <c r="O175" s="381">
        <f t="shared" si="8"/>
        <v>133264.83050847458</v>
      </c>
      <c r="P175" s="381">
        <f t="shared" si="7"/>
        <v>23987.669491525423</v>
      </c>
      <c r="Q175" s="224"/>
    </row>
    <row r="176" spans="1:17" ht="25.5">
      <c r="A176" s="263">
        <v>84</v>
      </c>
      <c r="B176" s="223"/>
      <c r="C176" s="223"/>
      <c r="D176" s="223"/>
      <c r="E176" s="253"/>
      <c r="F176" s="376"/>
      <c r="G176" s="376"/>
      <c r="H176" s="259">
        <v>18.170000000000002</v>
      </c>
      <c r="I176" s="269" t="s">
        <v>1159</v>
      </c>
      <c r="J176" s="259"/>
      <c r="K176" s="386"/>
      <c r="L176" s="261"/>
      <c r="M176" s="378"/>
      <c r="N176" s="380"/>
      <c r="O176" s="381"/>
      <c r="P176" s="381"/>
      <c r="Q176" s="224"/>
    </row>
    <row r="177" spans="1:17">
      <c r="A177" s="263" t="s">
        <v>1233</v>
      </c>
      <c r="B177" s="321" t="s">
        <v>1460</v>
      </c>
      <c r="C177" s="267" t="s">
        <v>1416</v>
      </c>
      <c r="D177" s="267" t="s">
        <v>1409</v>
      </c>
      <c r="E177" s="228"/>
      <c r="F177" s="225">
        <v>0.18</v>
      </c>
      <c r="G177" s="229"/>
      <c r="H177" s="259" t="s">
        <v>1160</v>
      </c>
      <c r="I177" s="269" t="s">
        <v>368</v>
      </c>
      <c r="J177" s="259" t="s">
        <v>743</v>
      </c>
      <c r="K177" s="383">
        <v>5</v>
      </c>
      <c r="L177" s="261">
        <v>689.6</v>
      </c>
      <c r="M177" s="378">
        <v>0.18</v>
      </c>
      <c r="N177" s="380">
        <f t="shared" si="9"/>
        <v>584.40677966101703</v>
      </c>
      <c r="O177" s="381">
        <f t="shared" si="8"/>
        <v>2922.0338983050851</v>
      </c>
      <c r="P177" s="381">
        <f t="shared" si="7"/>
        <v>525.96610169491532</v>
      </c>
      <c r="Q177" s="224"/>
    </row>
    <row r="178" spans="1:17">
      <c r="A178" s="263" t="s">
        <v>1234</v>
      </c>
      <c r="B178" s="321" t="s">
        <v>1460</v>
      </c>
      <c r="C178" s="267" t="s">
        <v>1417</v>
      </c>
      <c r="D178" s="267" t="s">
        <v>1409</v>
      </c>
      <c r="E178" s="228"/>
      <c r="F178" s="225">
        <v>0.18</v>
      </c>
      <c r="G178" s="229"/>
      <c r="H178" s="259" t="s">
        <v>1161</v>
      </c>
      <c r="I178" s="269" t="s">
        <v>1162</v>
      </c>
      <c r="J178" s="259" t="s">
        <v>743</v>
      </c>
      <c r="K178" s="383">
        <v>4</v>
      </c>
      <c r="L178" s="261">
        <v>826.1</v>
      </c>
      <c r="M178" s="378">
        <v>0.18</v>
      </c>
      <c r="N178" s="380">
        <f t="shared" si="9"/>
        <v>700.08474576271192</v>
      </c>
      <c r="O178" s="381">
        <f t="shared" si="8"/>
        <v>2800.3389830508477</v>
      </c>
      <c r="P178" s="381">
        <f t="shared" si="7"/>
        <v>504.06101694915259</v>
      </c>
      <c r="Q178" s="224"/>
    </row>
    <row r="179" spans="1:17" ht="25.5">
      <c r="A179" s="518">
        <v>85</v>
      </c>
      <c r="B179" s="223"/>
      <c r="C179" s="223"/>
      <c r="D179" s="223"/>
      <c r="E179" s="253"/>
      <c r="F179" s="376"/>
      <c r="G179" s="376"/>
      <c r="H179" s="259">
        <v>18.21</v>
      </c>
      <c r="I179" s="269" t="s">
        <v>1163</v>
      </c>
      <c r="J179" s="259"/>
      <c r="K179" s="386"/>
      <c r="L179" s="261"/>
      <c r="M179" s="378"/>
      <c r="N179" s="380"/>
      <c r="O179" s="381"/>
      <c r="P179" s="381"/>
      <c r="Q179" s="224"/>
    </row>
    <row r="180" spans="1:17">
      <c r="A180" s="519"/>
      <c r="B180" s="223"/>
      <c r="C180" s="223"/>
      <c r="D180" s="223"/>
      <c r="E180" s="253"/>
      <c r="F180" s="376"/>
      <c r="G180" s="376"/>
      <c r="H180" s="259" t="s">
        <v>383</v>
      </c>
      <c r="I180" s="269" t="s">
        <v>384</v>
      </c>
      <c r="J180" s="259"/>
      <c r="K180" s="386"/>
      <c r="L180" s="261"/>
      <c r="M180" s="378"/>
      <c r="N180" s="380"/>
      <c r="O180" s="381"/>
      <c r="P180" s="381"/>
      <c r="Q180" s="224"/>
    </row>
    <row r="181" spans="1:17">
      <c r="A181" s="263" t="s">
        <v>1233</v>
      </c>
      <c r="B181" s="321" t="s">
        <v>1460</v>
      </c>
      <c r="C181" s="267" t="s">
        <v>1418</v>
      </c>
      <c r="D181" s="267" t="s">
        <v>1409</v>
      </c>
      <c r="E181" s="228"/>
      <c r="F181" s="225">
        <v>0.18</v>
      </c>
      <c r="G181" s="229"/>
      <c r="H181" s="262" t="s">
        <v>385</v>
      </c>
      <c r="I181" s="269" t="s">
        <v>386</v>
      </c>
      <c r="J181" s="259" t="s">
        <v>743</v>
      </c>
      <c r="K181" s="383">
        <v>25</v>
      </c>
      <c r="L181" s="261">
        <v>97.95</v>
      </c>
      <c r="M181" s="378">
        <v>0.18</v>
      </c>
      <c r="N181" s="380">
        <f t="shared" si="9"/>
        <v>83.008474576271198</v>
      </c>
      <c r="O181" s="381">
        <f t="shared" si="8"/>
        <v>2075.21186440678</v>
      </c>
      <c r="P181" s="381">
        <f t="shared" si="7"/>
        <v>373.53813559322037</v>
      </c>
      <c r="Q181" s="224"/>
    </row>
    <row r="182" spans="1:17">
      <c r="A182" s="238" t="s">
        <v>1234</v>
      </c>
      <c r="B182" s="321" t="s">
        <v>1460</v>
      </c>
      <c r="C182" s="267" t="s">
        <v>1419</v>
      </c>
      <c r="D182" s="267" t="s">
        <v>1409</v>
      </c>
      <c r="E182" s="228"/>
      <c r="F182" s="225">
        <v>0.18</v>
      </c>
      <c r="G182" s="229"/>
      <c r="H182" s="262" t="s">
        <v>1164</v>
      </c>
      <c r="I182" s="269" t="s">
        <v>1165</v>
      </c>
      <c r="J182" s="259" t="s">
        <v>743</v>
      </c>
      <c r="K182" s="251">
        <v>15</v>
      </c>
      <c r="L182" s="234">
        <v>119.05</v>
      </c>
      <c r="M182" s="378">
        <v>0.18</v>
      </c>
      <c r="N182" s="380">
        <f t="shared" si="9"/>
        <v>100.88983050847457</v>
      </c>
      <c r="O182" s="381">
        <f t="shared" si="8"/>
        <v>1513.3474576271187</v>
      </c>
      <c r="P182" s="381">
        <f t="shared" si="7"/>
        <v>272.40254237288138</v>
      </c>
      <c r="Q182" s="224"/>
    </row>
    <row r="183" spans="1:17" ht="25.5">
      <c r="A183" s="516">
        <v>86</v>
      </c>
      <c r="B183" s="223"/>
      <c r="C183" s="223"/>
      <c r="D183" s="223"/>
      <c r="E183" s="253"/>
      <c r="F183" s="376"/>
      <c r="G183" s="376"/>
      <c r="H183" s="230">
        <v>18.22</v>
      </c>
      <c r="I183" s="239" t="s">
        <v>1166</v>
      </c>
      <c r="J183" s="224"/>
      <c r="K183" s="387"/>
      <c r="L183" s="242"/>
      <c r="M183" s="378"/>
      <c r="N183" s="380"/>
      <c r="O183" s="381"/>
      <c r="P183" s="381"/>
      <c r="Q183" s="224"/>
    </row>
    <row r="184" spans="1:17">
      <c r="A184" s="517"/>
      <c r="B184" s="321" t="s">
        <v>1460</v>
      </c>
      <c r="C184" s="267" t="s">
        <v>1420</v>
      </c>
      <c r="D184" s="267" t="s">
        <v>1409</v>
      </c>
      <c r="E184" s="228"/>
      <c r="F184" s="225">
        <v>0.18</v>
      </c>
      <c r="G184" s="229"/>
      <c r="H184" s="230" t="s">
        <v>1167</v>
      </c>
      <c r="I184" s="239" t="s">
        <v>1168</v>
      </c>
      <c r="J184" s="230" t="s">
        <v>743</v>
      </c>
      <c r="K184" s="251">
        <v>7</v>
      </c>
      <c r="L184" s="234">
        <v>222.35</v>
      </c>
      <c r="M184" s="378">
        <v>0.18</v>
      </c>
      <c r="N184" s="380">
        <f t="shared" si="9"/>
        <v>188.43220338983051</v>
      </c>
      <c r="O184" s="381">
        <f t="shared" si="8"/>
        <v>1319.0254237288136</v>
      </c>
      <c r="P184" s="381">
        <f t="shared" si="7"/>
        <v>237.42457627118645</v>
      </c>
      <c r="Q184" s="224"/>
    </row>
    <row r="185" spans="1:17" ht="38.25">
      <c r="A185" s="518">
        <v>87</v>
      </c>
      <c r="B185" s="223"/>
      <c r="C185" s="223"/>
      <c r="D185" s="223"/>
      <c r="E185" s="253"/>
      <c r="F185" s="376"/>
      <c r="G185" s="376"/>
      <c r="H185" s="259">
        <v>18.46</v>
      </c>
      <c r="I185" s="274" t="s">
        <v>1169</v>
      </c>
      <c r="J185" s="264"/>
      <c r="K185" s="388"/>
      <c r="L185" s="261"/>
      <c r="M185" s="378"/>
      <c r="N185" s="380"/>
      <c r="O185" s="381"/>
      <c r="P185" s="381"/>
      <c r="Q185" s="224"/>
    </row>
    <row r="186" spans="1:17">
      <c r="A186" s="519"/>
      <c r="B186" s="321" t="s">
        <v>1460</v>
      </c>
      <c r="C186" s="267" t="s">
        <v>1421</v>
      </c>
      <c r="D186" s="267" t="s">
        <v>1409</v>
      </c>
      <c r="E186" s="228"/>
      <c r="F186" s="225">
        <v>0.18</v>
      </c>
      <c r="G186" s="229"/>
      <c r="H186" s="259" t="s">
        <v>1170</v>
      </c>
      <c r="I186" s="274" t="s">
        <v>1171</v>
      </c>
      <c r="J186" s="264" t="s">
        <v>743</v>
      </c>
      <c r="K186" s="383">
        <v>10</v>
      </c>
      <c r="L186" s="261">
        <v>823.8</v>
      </c>
      <c r="M186" s="378">
        <v>0.18</v>
      </c>
      <c r="N186" s="380">
        <f t="shared" si="9"/>
        <v>698.13559322033893</v>
      </c>
      <c r="O186" s="381">
        <f t="shared" si="8"/>
        <v>6981.3559322033889</v>
      </c>
      <c r="P186" s="381">
        <f t="shared" si="7"/>
        <v>1256.64406779661</v>
      </c>
      <c r="Q186" s="224"/>
    </row>
    <row r="187" spans="1:17" ht="51">
      <c r="A187" s="238">
        <v>88</v>
      </c>
      <c r="B187" s="321" t="s">
        <v>1460</v>
      </c>
      <c r="C187" s="267" t="s">
        <v>1422</v>
      </c>
      <c r="D187" s="267" t="s">
        <v>1409</v>
      </c>
      <c r="E187" s="228"/>
      <c r="F187" s="225">
        <v>0.18</v>
      </c>
      <c r="G187" s="229"/>
      <c r="H187" s="230">
        <v>18.48</v>
      </c>
      <c r="I187" s="239" t="s">
        <v>1172</v>
      </c>
      <c r="J187" s="230" t="s">
        <v>394</v>
      </c>
      <c r="K187" s="251">
        <v>8000</v>
      </c>
      <c r="L187" s="234">
        <v>11</v>
      </c>
      <c r="M187" s="378">
        <v>0.18</v>
      </c>
      <c r="N187" s="380">
        <f t="shared" si="9"/>
        <v>9.3220338983050848</v>
      </c>
      <c r="O187" s="381">
        <f t="shared" si="8"/>
        <v>74576.271186440674</v>
      </c>
      <c r="P187" s="381">
        <f t="shared" si="7"/>
        <v>13423.728813559321</v>
      </c>
      <c r="Q187" s="224"/>
    </row>
    <row r="188" spans="1:17" ht="25.5">
      <c r="A188" s="518">
        <v>89</v>
      </c>
      <c r="B188" s="223"/>
      <c r="C188" s="223"/>
      <c r="D188" s="223"/>
      <c r="E188" s="253"/>
      <c r="F188" s="376"/>
      <c r="G188" s="376"/>
      <c r="H188" s="230">
        <v>18.489999999999998</v>
      </c>
      <c r="I188" s="239" t="s">
        <v>1173</v>
      </c>
      <c r="J188" s="230"/>
      <c r="K188" s="383"/>
      <c r="L188" s="261"/>
      <c r="M188" s="378"/>
      <c r="N188" s="380"/>
      <c r="O188" s="381"/>
      <c r="P188" s="381"/>
      <c r="Q188" s="224"/>
    </row>
    <row r="189" spans="1:17">
      <c r="A189" s="519"/>
      <c r="B189" s="321" t="s">
        <v>1460</v>
      </c>
      <c r="C189" s="267" t="s">
        <v>1423</v>
      </c>
      <c r="D189" s="267" t="s">
        <v>1409</v>
      </c>
      <c r="E189" s="228"/>
      <c r="F189" s="225">
        <v>0.18</v>
      </c>
      <c r="G189" s="229"/>
      <c r="H189" s="241" t="s">
        <v>395</v>
      </c>
      <c r="I189" s="239" t="s">
        <v>386</v>
      </c>
      <c r="J189" s="230" t="s">
        <v>743</v>
      </c>
      <c r="K189" s="383">
        <v>15</v>
      </c>
      <c r="L189" s="261">
        <v>506.8</v>
      </c>
      <c r="M189" s="378">
        <v>0.18</v>
      </c>
      <c r="N189" s="380">
        <f t="shared" si="9"/>
        <v>429.49152542372883</v>
      </c>
      <c r="O189" s="381">
        <f t="shared" si="8"/>
        <v>6442.3728813559328</v>
      </c>
      <c r="P189" s="381">
        <f t="shared" si="7"/>
        <v>1159.6271186440679</v>
      </c>
      <c r="Q189" s="224"/>
    </row>
    <row r="190" spans="1:17" ht="38.25">
      <c r="A190" s="516">
        <v>90</v>
      </c>
      <c r="B190" s="223"/>
      <c r="C190" s="223"/>
      <c r="D190" s="223"/>
      <c r="E190" s="253"/>
      <c r="F190" s="376"/>
      <c r="G190" s="376"/>
      <c r="H190" s="232">
        <v>18.5</v>
      </c>
      <c r="I190" s="239" t="s">
        <v>1174</v>
      </c>
      <c r="J190" s="224"/>
      <c r="K190" s="387"/>
      <c r="L190" s="234"/>
      <c r="M190" s="378"/>
      <c r="N190" s="380"/>
      <c r="O190" s="381"/>
      <c r="P190" s="381"/>
      <c r="Q190" s="224"/>
    </row>
    <row r="191" spans="1:17">
      <c r="A191" s="517"/>
      <c r="B191" s="321" t="s">
        <v>1460</v>
      </c>
      <c r="C191" s="267" t="s">
        <v>1424</v>
      </c>
      <c r="D191" s="267" t="s">
        <v>1409</v>
      </c>
      <c r="E191" s="228"/>
      <c r="F191" s="225">
        <v>0.18</v>
      </c>
      <c r="G191" s="229"/>
      <c r="H191" s="230" t="s">
        <v>1175</v>
      </c>
      <c r="I191" s="231" t="s">
        <v>386</v>
      </c>
      <c r="J191" s="230" t="s">
        <v>743</v>
      </c>
      <c r="K191" s="251">
        <v>10</v>
      </c>
      <c r="L191" s="234">
        <v>820.7</v>
      </c>
      <c r="M191" s="378">
        <v>0.18</v>
      </c>
      <c r="N191" s="380">
        <f t="shared" si="9"/>
        <v>695.50847457627128</v>
      </c>
      <c r="O191" s="381">
        <f t="shared" si="8"/>
        <v>6955.0847457627133</v>
      </c>
      <c r="P191" s="381">
        <f t="shared" si="7"/>
        <v>1251.9152542372883</v>
      </c>
      <c r="Q191" s="224"/>
    </row>
    <row r="192" spans="1:17" ht="25.5">
      <c r="A192" s="518">
        <v>91</v>
      </c>
      <c r="B192" s="223"/>
      <c r="C192" s="223"/>
      <c r="D192" s="223"/>
      <c r="E192" s="253"/>
      <c r="F192" s="376"/>
      <c r="G192" s="376"/>
      <c r="H192" s="230">
        <v>18.510000000000002</v>
      </c>
      <c r="I192" s="239" t="s">
        <v>1176</v>
      </c>
      <c r="J192" s="230"/>
      <c r="K192" s="383"/>
      <c r="L192" s="261"/>
      <c r="M192" s="378"/>
      <c r="N192" s="380"/>
      <c r="O192" s="381"/>
      <c r="P192" s="381"/>
      <c r="Q192" s="224"/>
    </row>
    <row r="193" spans="1:17">
      <c r="A193" s="519"/>
      <c r="B193" s="321" t="s">
        <v>1460</v>
      </c>
      <c r="C193" s="267" t="s">
        <v>1425</v>
      </c>
      <c r="D193" s="267" t="s">
        <v>1409</v>
      </c>
      <c r="E193" s="228"/>
      <c r="F193" s="225">
        <v>0.18</v>
      </c>
      <c r="G193" s="229"/>
      <c r="H193" s="241" t="s">
        <v>396</v>
      </c>
      <c r="I193" s="239" t="s">
        <v>386</v>
      </c>
      <c r="J193" s="230" t="s">
        <v>743</v>
      </c>
      <c r="K193" s="383">
        <v>10</v>
      </c>
      <c r="L193" s="261">
        <v>798.95</v>
      </c>
      <c r="M193" s="378">
        <v>0.18</v>
      </c>
      <c r="N193" s="380">
        <f t="shared" si="9"/>
        <v>677.07627118644075</v>
      </c>
      <c r="O193" s="381">
        <f t="shared" si="8"/>
        <v>6770.7627118644077</v>
      </c>
      <c r="P193" s="381">
        <f t="shared" si="7"/>
        <v>1218.7372881355934</v>
      </c>
      <c r="Q193" s="224"/>
    </row>
    <row r="194" spans="1:17" ht="25.5">
      <c r="A194" s="518">
        <v>92</v>
      </c>
      <c r="B194" s="223"/>
      <c r="C194" s="223"/>
      <c r="D194" s="223"/>
      <c r="E194" s="253"/>
      <c r="F194" s="376"/>
      <c r="G194" s="376"/>
      <c r="H194" s="230">
        <v>18.52</v>
      </c>
      <c r="I194" s="239" t="s">
        <v>1177</v>
      </c>
      <c r="J194" s="230"/>
      <c r="K194" s="383" t="s">
        <v>1229</v>
      </c>
      <c r="L194" s="261"/>
      <c r="M194" s="378"/>
      <c r="N194" s="380"/>
      <c r="O194" s="381"/>
      <c r="P194" s="381"/>
      <c r="Q194" s="224"/>
    </row>
    <row r="195" spans="1:17">
      <c r="A195" s="519"/>
      <c r="B195" s="321" t="s">
        <v>1460</v>
      </c>
      <c r="C195" s="267" t="s">
        <v>1426</v>
      </c>
      <c r="D195" s="267" t="s">
        <v>1409</v>
      </c>
      <c r="E195" s="228"/>
      <c r="F195" s="225">
        <v>0.18</v>
      </c>
      <c r="G195" s="229"/>
      <c r="H195" s="241" t="s">
        <v>397</v>
      </c>
      <c r="I195" s="239" t="s">
        <v>386</v>
      </c>
      <c r="J195" s="230" t="s">
        <v>743</v>
      </c>
      <c r="K195" s="383">
        <v>15</v>
      </c>
      <c r="L195" s="261">
        <v>670.45</v>
      </c>
      <c r="M195" s="378">
        <v>0.18</v>
      </c>
      <c r="N195" s="380">
        <f t="shared" si="9"/>
        <v>568.17796610169501</v>
      </c>
      <c r="O195" s="381">
        <f t="shared" si="8"/>
        <v>8522.6694915254247</v>
      </c>
      <c r="P195" s="381">
        <f t="shared" si="7"/>
        <v>1534.0805084745764</v>
      </c>
      <c r="Q195" s="224"/>
    </row>
    <row r="196" spans="1:17" ht="25.5">
      <c r="A196" s="518">
        <v>93</v>
      </c>
      <c r="B196" s="223"/>
      <c r="C196" s="223"/>
      <c r="D196" s="223"/>
      <c r="E196" s="253"/>
      <c r="F196" s="376"/>
      <c r="G196" s="376"/>
      <c r="H196" s="230">
        <v>18.53</v>
      </c>
      <c r="I196" s="239" t="s">
        <v>1178</v>
      </c>
      <c r="J196" s="230"/>
      <c r="K196" s="383"/>
      <c r="L196" s="261"/>
      <c r="M196" s="378"/>
      <c r="N196" s="380"/>
      <c r="O196" s="381"/>
      <c r="P196" s="381"/>
      <c r="Q196" s="224"/>
    </row>
    <row r="197" spans="1:17">
      <c r="A197" s="519"/>
      <c r="B197" s="321" t="s">
        <v>1460</v>
      </c>
      <c r="C197" s="267" t="s">
        <v>1427</v>
      </c>
      <c r="D197" s="267" t="s">
        <v>1409</v>
      </c>
      <c r="E197" s="228"/>
      <c r="F197" s="225">
        <v>0.18</v>
      </c>
      <c r="G197" s="229"/>
      <c r="H197" s="241" t="s">
        <v>398</v>
      </c>
      <c r="I197" s="239" t="s">
        <v>386</v>
      </c>
      <c r="J197" s="230" t="s">
        <v>743</v>
      </c>
      <c r="K197" s="383">
        <v>15</v>
      </c>
      <c r="L197" s="261">
        <v>574.29999999999995</v>
      </c>
      <c r="M197" s="378">
        <v>0.18</v>
      </c>
      <c r="N197" s="380">
        <f t="shared" si="9"/>
        <v>486.69491525423729</v>
      </c>
      <c r="O197" s="381">
        <f t="shared" si="8"/>
        <v>7300.4237288135591</v>
      </c>
      <c r="P197" s="381">
        <f t="shared" si="7"/>
        <v>1314.0762711864406</v>
      </c>
      <c r="Q197" s="224"/>
    </row>
    <row r="198" spans="1:17" ht="38.25">
      <c r="A198" s="238">
        <v>94</v>
      </c>
      <c r="B198" s="321" t="s">
        <v>1460</v>
      </c>
      <c r="C198" s="267" t="s">
        <v>1428</v>
      </c>
      <c r="D198" s="267" t="s">
        <v>1331</v>
      </c>
      <c r="E198" s="228"/>
      <c r="F198" s="225">
        <v>0.18</v>
      </c>
      <c r="G198" s="229"/>
      <c r="H198" s="230" t="s">
        <v>1179</v>
      </c>
      <c r="I198" s="239" t="s">
        <v>1180</v>
      </c>
      <c r="J198" s="230" t="s">
        <v>743</v>
      </c>
      <c r="K198" s="251">
        <v>25</v>
      </c>
      <c r="L198" s="234">
        <v>74.8</v>
      </c>
      <c r="M198" s="378">
        <v>0.18</v>
      </c>
      <c r="N198" s="380">
        <f t="shared" si="9"/>
        <v>63.389830508474574</v>
      </c>
      <c r="O198" s="381">
        <f t="shared" si="8"/>
        <v>1584.7457627118642</v>
      </c>
      <c r="P198" s="381">
        <f t="shared" si="7"/>
        <v>285.25423728813553</v>
      </c>
      <c r="Q198" s="224"/>
    </row>
    <row r="199" spans="1:17">
      <c r="A199" s="516">
        <v>95</v>
      </c>
      <c r="B199" s="223"/>
      <c r="C199" s="223"/>
      <c r="D199" s="223"/>
      <c r="E199" s="253"/>
      <c r="F199" s="376"/>
      <c r="G199" s="376"/>
      <c r="H199" s="250">
        <v>18.579999999999998</v>
      </c>
      <c r="I199" s="231" t="s">
        <v>1181</v>
      </c>
      <c r="J199" s="230"/>
      <c r="K199" s="251"/>
      <c r="L199" s="234"/>
      <c r="M199" s="378"/>
      <c r="N199" s="380"/>
      <c r="O199" s="381"/>
      <c r="P199" s="381"/>
      <c r="Q199" s="224"/>
    </row>
    <row r="200" spans="1:17">
      <c r="A200" s="520"/>
      <c r="B200" s="223"/>
      <c r="C200" s="223"/>
      <c r="D200" s="223"/>
      <c r="E200" s="253"/>
      <c r="F200" s="376"/>
      <c r="G200" s="376"/>
      <c r="H200" s="250" t="s">
        <v>401</v>
      </c>
      <c r="I200" s="231" t="s">
        <v>1182</v>
      </c>
      <c r="J200" s="230"/>
      <c r="K200" s="251"/>
      <c r="L200" s="234"/>
      <c r="M200" s="378"/>
      <c r="N200" s="380"/>
      <c r="O200" s="381"/>
      <c r="P200" s="381"/>
      <c r="Q200" s="224"/>
    </row>
    <row r="201" spans="1:17" ht="25.5">
      <c r="A201" s="517"/>
      <c r="B201" s="321" t="s">
        <v>1460</v>
      </c>
      <c r="C201" s="267" t="s">
        <v>1429</v>
      </c>
      <c r="D201" s="267" t="s">
        <v>1409</v>
      </c>
      <c r="E201" s="228"/>
      <c r="F201" s="225">
        <v>0.18</v>
      </c>
      <c r="G201" s="229"/>
      <c r="H201" s="257" t="s">
        <v>403</v>
      </c>
      <c r="I201" s="231" t="s">
        <v>1183</v>
      </c>
      <c r="J201" s="230" t="s">
        <v>743</v>
      </c>
      <c r="K201" s="251">
        <v>20</v>
      </c>
      <c r="L201" s="234">
        <v>196.95</v>
      </c>
      <c r="M201" s="378">
        <v>0.18</v>
      </c>
      <c r="N201" s="380">
        <f t="shared" si="9"/>
        <v>166.90677966101694</v>
      </c>
      <c r="O201" s="381">
        <f t="shared" si="8"/>
        <v>3338.1355932203387</v>
      </c>
      <c r="P201" s="381">
        <f t="shared" si="7"/>
        <v>600.86440677966095</v>
      </c>
      <c r="Q201" s="224"/>
    </row>
    <row r="202" spans="1:17" ht="38.25">
      <c r="A202" s="238">
        <v>96</v>
      </c>
      <c r="B202" s="223"/>
      <c r="C202" s="223"/>
      <c r="D202" s="223"/>
      <c r="E202" s="253"/>
      <c r="F202" s="376"/>
      <c r="G202" s="376"/>
      <c r="H202" s="275">
        <v>18.62</v>
      </c>
      <c r="I202" s="239" t="s">
        <v>1184</v>
      </c>
      <c r="J202" s="230"/>
      <c r="K202" s="251"/>
      <c r="L202" s="234"/>
      <c r="M202" s="378"/>
      <c r="N202" s="380"/>
      <c r="O202" s="381"/>
      <c r="P202" s="381"/>
      <c r="Q202" s="224"/>
    </row>
    <row r="203" spans="1:17">
      <c r="A203" s="263" t="s">
        <v>1233</v>
      </c>
      <c r="B203" s="321" t="s">
        <v>1460</v>
      </c>
      <c r="C203" s="267" t="s">
        <v>1430</v>
      </c>
      <c r="D203" s="267" t="s">
        <v>1409</v>
      </c>
      <c r="E203" s="228"/>
      <c r="F203" s="225">
        <v>0.18</v>
      </c>
      <c r="G203" s="229"/>
      <c r="H203" s="257" t="s">
        <v>1185</v>
      </c>
      <c r="I203" s="239" t="s">
        <v>1186</v>
      </c>
      <c r="J203" s="230" t="s">
        <v>743</v>
      </c>
      <c r="K203" s="251">
        <v>3</v>
      </c>
      <c r="L203" s="234">
        <v>737.2</v>
      </c>
      <c r="M203" s="378">
        <v>0.18</v>
      </c>
      <c r="N203" s="380">
        <f t="shared" si="9"/>
        <v>624.74576271186447</v>
      </c>
      <c r="O203" s="381">
        <f t="shared" si="8"/>
        <v>1874.2372881355934</v>
      </c>
      <c r="P203" s="381">
        <f t="shared" si="7"/>
        <v>337.36271186440678</v>
      </c>
      <c r="Q203" s="224"/>
    </row>
    <row r="204" spans="1:17">
      <c r="A204" s="238" t="s">
        <v>1234</v>
      </c>
      <c r="B204" s="321" t="s">
        <v>1460</v>
      </c>
      <c r="C204" s="267" t="s">
        <v>1431</v>
      </c>
      <c r="D204" s="267" t="s">
        <v>1409</v>
      </c>
      <c r="E204" s="228"/>
      <c r="F204" s="225">
        <v>0.18</v>
      </c>
      <c r="G204" s="229"/>
      <c r="H204" s="257" t="s">
        <v>1187</v>
      </c>
      <c r="I204" s="239" t="s">
        <v>1188</v>
      </c>
      <c r="J204" s="230" t="s">
        <v>171</v>
      </c>
      <c r="K204" s="251">
        <v>1</v>
      </c>
      <c r="L204" s="234">
        <v>1375.95</v>
      </c>
      <c r="M204" s="378">
        <v>0.18</v>
      </c>
      <c r="N204" s="380">
        <f t="shared" si="9"/>
        <v>1166.0593220338983</v>
      </c>
      <c r="O204" s="381">
        <f t="shared" si="8"/>
        <v>1166.0593220338983</v>
      </c>
      <c r="P204" s="381">
        <f t="shared" si="7"/>
        <v>209.89067796610169</v>
      </c>
      <c r="Q204" s="224"/>
    </row>
    <row r="205" spans="1:17" ht="38.25">
      <c r="A205" s="516">
        <v>97</v>
      </c>
      <c r="B205" s="223"/>
      <c r="C205" s="223"/>
      <c r="D205" s="223"/>
      <c r="E205" s="253"/>
      <c r="F205" s="376"/>
      <c r="G205" s="376"/>
      <c r="H205" s="230">
        <v>19.100000000000001</v>
      </c>
      <c r="I205" s="239" t="s">
        <v>1189</v>
      </c>
      <c r="J205" s="230"/>
      <c r="K205" s="250" t="s">
        <v>1229</v>
      </c>
      <c r="L205" s="234"/>
      <c r="M205" s="378"/>
      <c r="N205" s="380"/>
      <c r="O205" s="381"/>
      <c r="P205" s="381"/>
      <c r="Q205" s="224"/>
    </row>
    <row r="206" spans="1:17">
      <c r="A206" s="517"/>
      <c r="B206" s="321" t="s">
        <v>1460</v>
      </c>
      <c r="C206" s="267" t="s">
        <v>1432</v>
      </c>
      <c r="D206" s="267" t="s">
        <v>1409</v>
      </c>
      <c r="E206" s="228"/>
      <c r="F206" s="225">
        <v>0.18</v>
      </c>
      <c r="G206" s="229"/>
      <c r="H206" s="230" t="s">
        <v>1190</v>
      </c>
      <c r="I206" s="239" t="s">
        <v>1168</v>
      </c>
      <c r="J206" s="230" t="s">
        <v>650</v>
      </c>
      <c r="K206" s="385">
        <v>60</v>
      </c>
      <c r="L206" s="234">
        <v>695.8</v>
      </c>
      <c r="M206" s="378">
        <v>0.18</v>
      </c>
      <c r="N206" s="380">
        <f t="shared" si="9"/>
        <v>589.66101694915255</v>
      </c>
      <c r="O206" s="381">
        <f t="shared" si="8"/>
        <v>35379.661016949154</v>
      </c>
      <c r="P206" s="381">
        <f t="shared" si="7"/>
        <v>6368.3389830508477</v>
      </c>
      <c r="Q206" s="224"/>
    </row>
    <row r="207" spans="1:17" ht="63.75">
      <c r="A207" s="516">
        <v>98</v>
      </c>
      <c r="B207" s="223"/>
      <c r="C207" s="223"/>
      <c r="D207" s="223"/>
      <c r="E207" s="253"/>
      <c r="F207" s="376"/>
      <c r="G207" s="376"/>
      <c r="H207" s="230">
        <v>19.399999999999999</v>
      </c>
      <c r="I207" s="239" t="s">
        <v>408</v>
      </c>
      <c r="J207" s="230"/>
      <c r="K207" s="250" t="s">
        <v>1229</v>
      </c>
      <c r="L207" s="234"/>
      <c r="M207" s="378"/>
      <c r="N207" s="380"/>
      <c r="O207" s="381"/>
      <c r="P207" s="381"/>
      <c r="Q207" s="224"/>
    </row>
    <row r="208" spans="1:17">
      <c r="A208" s="520"/>
      <c r="B208" s="223"/>
      <c r="C208" s="223"/>
      <c r="D208" s="223"/>
      <c r="E208" s="253"/>
      <c r="F208" s="376"/>
      <c r="G208" s="376"/>
      <c r="H208" s="230" t="s">
        <v>1191</v>
      </c>
      <c r="I208" s="239" t="s">
        <v>1192</v>
      </c>
      <c r="J208" s="230"/>
      <c r="K208" s="250" t="s">
        <v>1229</v>
      </c>
      <c r="L208" s="234"/>
      <c r="M208" s="378"/>
      <c r="N208" s="380"/>
      <c r="O208" s="381"/>
      <c r="P208" s="381"/>
      <c r="Q208" s="224"/>
    </row>
    <row r="209" spans="1:17">
      <c r="A209" s="517"/>
      <c r="B209" s="321" t="s">
        <v>1460</v>
      </c>
      <c r="C209" s="267" t="s">
        <v>1433</v>
      </c>
      <c r="D209" s="267" t="s">
        <v>1409</v>
      </c>
      <c r="E209" s="228"/>
      <c r="F209" s="225">
        <v>0.18</v>
      </c>
      <c r="G209" s="229"/>
      <c r="H209" s="230" t="s">
        <v>1193</v>
      </c>
      <c r="I209" s="239" t="s">
        <v>1194</v>
      </c>
      <c r="J209" s="230" t="s">
        <v>743</v>
      </c>
      <c r="K209" s="385">
        <v>12</v>
      </c>
      <c r="L209" s="234">
        <v>2711.7</v>
      </c>
      <c r="M209" s="378">
        <v>0.18</v>
      </c>
      <c r="N209" s="380">
        <f t="shared" si="9"/>
        <v>2298.0508474576272</v>
      </c>
      <c r="O209" s="381">
        <f t="shared" si="8"/>
        <v>27576.610169491527</v>
      </c>
      <c r="P209" s="381">
        <f t="shared" si="7"/>
        <v>4963.7898305084746</v>
      </c>
      <c r="Q209" s="224"/>
    </row>
    <row r="210" spans="1:17" ht="51">
      <c r="A210" s="516">
        <v>99</v>
      </c>
      <c r="B210" s="223"/>
      <c r="C210" s="223"/>
      <c r="D210" s="223"/>
      <c r="E210" s="253"/>
      <c r="F210" s="376"/>
      <c r="G210" s="376"/>
      <c r="H210" s="230">
        <v>19.600000000000001</v>
      </c>
      <c r="I210" s="239" t="s">
        <v>1195</v>
      </c>
      <c r="J210" s="230"/>
      <c r="K210" s="250" t="s">
        <v>1229</v>
      </c>
      <c r="L210" s="234"/>
      <c r="M210" s="378"/>
      <c r="N210" s="380"/>
      <c r="O210" s="381"/>
      <c r="P210" s="381"/>
      <c r="Q210" s="224"/>
    </row>
    <row r="211" spans="1:17">
      <c r="A211" s="517"/>
      <c r="B211" s="321" t="s">
        <v>1460</v>
      </c>
      <c r="C211" s="267" t="s">
        <v>1434</v>
      </c>
      <c r="D211" s="267" t="s">
        <v>1409</v>
      </c>
      <c r="E211" s="228"/>
      <c r="F211" s="225">
        <v>0.18</v>
      </c>
      <c r="G211" s="229"/>
      <c r="H211" s="230" t="s">
        <v>1196</v>
      </c>
      <c r="I211" s="239" t="s">
        <v>1197</v>
      </c>
      <c r="J211" s="230" t="s">
        <v>650</v>
      </c>
      <c r="K211" s="251">
        <v>60</v>
      </c>
      <c r="L211" s="234">
        <v>994.3</v>
      </c>
      <c r="M211" s="378">
        <v>0.18</v>
      </c>
      <c r="N211" s="380">
        <f t="shared" si="9"/>
        <v>842.62711864406776</v>
      </c>
      <c r="O211" s="381">
        <f t="shared" si="8"/>
        <v>50557.627118644064</v>
      </c>
      <c r="P211" s="381">
        <f t="shared" si="7"/>
        <v>9100.3728813559319</v>
      </c>
      <c r="Q211" s="224"/>
    </row>
    <row r="212" spans="1:17" ht="140.25">
      <c r="A212" s="518">
        <v>100</v>
      </c>
      <c r="B212" s="223"/>
      <c r="C212" s="223"/>
      <c r="D212" s="223"/>
      <c r="E212" s="253"/>
      <c r="F212" s="376"/>
      <c r="G212" s="376"/>
      <c r="H212" s="259">
        <v>19.7</v>
      </c>
      <c r="I212" s="269" t="s">
        <v>1198</v>
      </c>
      <c r="J212" s="259"/>
      <c r="K212" s="386" t="s">
        <v>1229</v>
      </c>
      <c r="L212" s="261"/>
      <c r="M212" s="378"/>
      <c r="N212" s="380"/>
      <c r="O212" s="381"/>
      <c r="P212" s="381"/>
      <c r="Q212" s="224"/>
    </row>
    <row r="213" spans="1:17" ht="51">
      <c r="A213" s="524"/>
      <c r="B213" s="223"/>
      <c r="C213" s="223"/>
      <c r="D213" s="223"/>
      <c r="E213" s="253"/>
      <c r="F213" s="376"/>
      <c r="G213" s="376"/>
      <c r="H213" s="259" t="s">
        <v>412</v>
      </c>
      <c r="I213" s="269" t="s">
        <v>1199</v>
      </c>
      <c r="J213" s="259"/>
      <c r="K213" s="386" t="s">
        <v>1229</v>
      </c>
      <c r="L213" s="261"/>
      <c r="M213" s="378"/>
      <c r="N213" s="380"/>
      <c r="O213" s="381"/>
      <c r="P213" s="381"/>
      <c r="Q213" s="224"/>
    </row>
    <row r="214" spans="1:17">
      <c r="A214" s="519"/>
      <c r="B214" s="321" t="s">
        <v>1460</v>
      </c>
      <c r="C214" s="267" t="s">
        <v>1435</v>
      </c>
      <c r="D214" s="267" t="s">
        <v>1409</v>
      </c>
      <c r="E214" s="228"/>
      <c r="F214" s="225">
        <v>0.18</v>
      </c>
      <c r="G214" s="229"/>
      <c r="H214" s="259" t="s">
        <v>764</v>
      </c>
      <c r="I214" s="239" t="s">
        <v>1200</v>
      </c>
      <c r="J214" s="259" t="s">
        <v>743</v>
      </c>
      <c r="K214" s="388">
        <v>15</v>
      </c>
      <c r="L214" s="261">
        <v>12711.8</v>
      </c>
      <c r="M214" s="378">
        <v>0.18</v>
      </c>
      <c r="N214" s="380">
        <f t="shared" si="9"/>
        <v>10772.71186440678</v>
      </c>
      <c r="O214" s="381">
        <f t="shared" si="8"/>
        <v>161590.67796610171</v>
      </c>
      <c r="P214" s="381">
        <f t="shared" ref="P214:P237" si="10">IF(ISBLANK(G214),F214*O214,G214*O214)</f>
        <v>29086.322033898305</v>
      </c>
      <c r="Q214" s="224"/>
    </row>
    <row r="215" spans="1:17">
      <c r="A215" s="518">
        <v>101</v>
      </c>
      <c r="B215" s="223"/>
      <c r="C215" s="223"/>
      <c r="D215" s="223"/>
      <c r="E215" s="253"/>
      <c r="F215" s="376"/>
      <c r="G215" s="376"/>
      <c r="H215" s="230">
        <v>19.8</v>
      </c>
      <c r="I215" s="239" t="s">
        <v>1201</v>
      </c>
      <c r="J215" s="230"/>
      <c r="K215" s="383" t="s">
        <v>1229</v>
      </c>
      <c r="L215" s="261"/>
      <c r="M215" s="378"/>
      <c r="N215" s="380"/>
      <c r="O215" s="381"/>
      <c r="P215" s="381"/>
      <c r="Q215" s="224"/>
    </row>
    <row r="216" spans="1:17">
      <c r="A216" s="519"/>
      <c r="B216" s="321" t="s">
        <v>1460</v>
      </c>
      <c r="C216" s="267" t="s">
        <v>1436</v>
      </c>
      <c r="D216" s="267" t="s">
        <v>1409</v>
      </c>
      <c r="E216" s="228"/>
      <c r="F216" s="225">
        <v>0.18</v>
      </c>
      <c r="G216" s="229"/>
      <c r="H216" s="241" t="s">
        <v>1202</v>
      </c>
      <c r="I216" s="239" t="s">
        <v>1200</v>
      </c>
      <c r="J216" s="230" t="s">
        <v>650</v>
      </c>
      <c r="K216" s="383">
        <v>15</v>
      </c>
      <c r="L216" s="261">
        <v>8654.25</v>
      </c>
      <c r="M216" s="378">
        <v>0.18</v>
      </c>
      <c r="N216" s="380">
        <f t="shared" si="9"/>
        <v>7334.110169491526</v>
      </c>
      <c r="O216" s="381">
        <f t="shared" ref="O216:O237" si="11">N216*K216</f>
        <v>110011.65254237289</v>
      </c>
      <c r="P216" s="381">
        <f t="shared" si="10"/>
        <v>19802.097457627118</v>
      </c>
      <c r="Q216" s="224"/>
    </row>
    <row r="217" spans="1:17" ht="51">
      <c r="A217" s="516">
        <v>102</v>
      </c>
      <c r="B217" s="223"/>
      <c r="C217" s="223"/>
      <c r="D217" s="223"/>
      <c r="E217" s="253"/>
      <c r="F217" s="376"/>
      <c r="G217" s="376"/>
      <c r="H217" s="230">
        <v>19.27</v>
      </c>
      <c r="I217" s="239" t="s">
        <v>1203</v>
      </c>
      <c r="J217" s="230"/>
      <c r="K217" s="251"/>
      <c r="L217" s="234"/>
      <c r="M217" s="378"/>
      <c r="N217" s="380"/>
      <c r="O217" s="381"/>
      <c r="P217" s="381"/>
      <c r="Q217" s="224"/>
    </row>
    <row r="218" spans="1:17" ht="25.5">
      <c r="A218" s="517"/>
      <c r="B218" s="321" t="s">
        <v>1460</v>
      </c>
      <c r="C218" s="267" t="s">
        <v>1437</v>
      </c>
      <c r="D218" s="267" t="s">
        <v>1409</v>
      </c>
      <c r="E218" s="228"/>
      <c r="F218" s="225">
        <v>0.18</v>
      </c>
      <c r="G218" s="229"/>
      <c r="H218" s="230" t="s">
        <v>1204</v>
      </c>
      <c r="I218" s="239" t="s">
        <v>1205</v>
      </c>
      <c r="J218" s="230" t="s">
        <v>743</v>
      </c>
      <c r="K218" s="251">
        <v>5</v>
      </c>
      <c r="L218" s="234">
        <v>5957.9</v>
      </c>
      <c r="M218" s="378">
        <v>0.18</v>
      </c>
      <c r="N218" s="380">
        <f t="shared" si="9"/>
        <v>5049.0677966101694</v>
      </c>
      <c r="O218" s="381">
        <f t="shared" si="11"/>
        <v>25245.338983050846</v>
      </c>
      <c r="P218" s="381">
        <f t="shared" si="10"/>
        <v>4544.1610169491523</v>
      </c>
      <c r="Q218" s="224"/>
    </row>
    <row r="219" spans="1:17" ht="153">
      <c r="A219" s="516">
        <v>103</v>
      </c>
      <c r="B219" s="223"/>
      <c r="C219" s="223"/>
      <c r="D219" s="223"/>
      <c r="E219" s="253"/>
      <c r="F219" s="376"/>
      <c r="G219" s="376"/>
      <c r="H219" s="230">
        <v>21.1</v>
      </c>
      <c r="I219" s="239" t="s">
        <v>1206</v>
      </c>
      <c r="J219" s="276"/>
      <c r="K219" s="389"/>
      <c r="L219" s="277"/>
      <c r="M219" s="378"/>
      <c r="N219" s="380"/>
      <c r="O219" s="381"/>
      <c r="P219" s="381"/>
      <c r="Q219" s="224"/>
    </row>
    <row r="220" spans="1:17">
      <c r="A220" s="520"/>
      <c r="B220" s="223"/>
      <c r="C220" s="223"/>
      <c r="D220" s="223"/>
      <c r="E220" s="253"/>
      <c r="F220" s="376"/>
      <c r="G220" s="376"/>
      <c r="H220" s="230" t="s">
        <v>421</v>
      </c>
      <c r="I220" s="239" t="s">
        <v>422</v>
      </c>
      <c r="J220" s="230"/>
      <c r="K220" s="251"/>
      <c r="L220" s="234"/>
      <c r="M220" s="378"/>
      <c r="N220" s="380"/>
      <c r="O220" s="381"/>
      <c r="P220" s="381"/>
      <c r="Q220" s="224"/>
    </row>
    <row r="221" spans="1:17" ht="25.5">
      <c r="A221" s="517"/>
      <c r="B221" s="321" t="s">
        <v>1460</v>
      </c>
      <c r="C221" s="267" t="s">
        <v>1438</v>
      </c>
      <c r="D221" s="267" t="s">
        <v>1347</v>
      </c>
      <c r="E221" s="228"/>
      <c r="F221" s="225">
        <v>0.18</v>
      </c>
      <c r="G221" s="229"/>
      <c r="H221" s="230" t="s">
        <v>1207</v>
      </c>
      <c r="I221" s="239" t="s">
        <v>1208</v>
      </c>
      <c r="J221" s="230" t="s">
        <v>167</v>
      </c>
      <c r="K221" s="251">
        <v>75</v>
      </c>
      <c r="L221" s="234">
        <v>530.9</v>
      </c>
      <c r="M221" s="378">
        <v>0.18</v>
      </c>
      <c r="N221" s="380">
        <f t="shared" si="9"/>
        <v>449.91525423728814</v>
      </c>
      <c r="O221" s="381">
        <f t="shared" si="11"/>
        <v>33743.644067796609</v>
      </c>
      <c r="P221" s="381">
        <f t="shared" si="10"/>
        <v>6073.8559322033898</v>
      </c>
      <c r="Q221" s="224"/>
    </row>
    <row r="222" spans="1:17" ht="51">
      <c r="A222" s="516">
        <v>104</v>
      </c>
      <c r="B222" s="223"/>
      <c r="C222" s="223"/>
      <c r="D222" s="223"/>
      <c r="E222" s="253"/>
      <c r="F222" s="376"/>
      <c r="G222" s="376"/>
      <c r="H222" s="230" t="s">
        <v>424</v>
      </c>
      <c r="I222" s="239" t="s">
        <v>425</v>
      </c>
      <c r="J222" s="230"/>
      <c r="K222" s="251"/>
      <c r="L222" s="234"/>
      <c r="M222" s="378"/>
      <c r="N222" s="380"/>
      <c r="O222" s="381"/>
      <c r="P222" s="381"/>
      <c r="Q222" s="224"/>
    </row>
    <row r="223" spans="1:17" ht="25.5">
      <c r="A223" s="517"/>
      <c r="B223" s="321" t="s">
        <v>1460</v>
      </c>
      <c r="C223" s="267" t="s">
        <v>1439</v>
      </c>
      <c r="D223" s="267" t="s">
        <v>1347</v>
      </c>
      <c r="E223" s="228"/>
      <c r="F223" s="225">
        <v>0.18</v>
      </c>
      <c r="G223" s="229"/>
      <c r="H223" s="230" t="s">
        <v>1209</v>
      </c>
      <c r="I223" s="239" t="s">
        <v>1210</v>
      </c>
      <c r="J223" s="230" t="s">
        <v>167</v>
      </c>
      <c r="K223" s="251">
        <v>27</v>
      </c>
      <c r="L223" s="234">
        <v>634.45000000000005</v>
      </c>
      <c r="M223" s="378">
        <v>0.18</v>
      </c>
      <c r="N223" s="380">
        <f t="shared" si="9"/>
        <v>537.66949152542384</v>
      </c>
      <c r="O223" s="381">
        <f t="shared" si="11"/>
        <v>14517.076271186445</v>
      </c>
      <c r="P223" s="381">
        <f t="shared" si="10"/>
        <v>2613.0737288135601</v>
      </c>
      <c r="Q223" s="224"/>
    </row>
    <row r="224" spans="1:17" ht="63.75">
      <c r="A224" s="516">
        <v>105</v>
      </c>
      <c r="B224" s="223"/>
      <c r="C224" s="223"/>
      <c r="D224" s="223"/>
      <c r="E224" s="253"/>
      <c r="F224" s="376"/>
      <c r="G224" s="376"/>
      <c r="H224" s="278">
        <v>21.3</v>
      </c>
      <c r="I224" s="239" t="s">
        <v>428</v>
      </c>
      <c r="J224" s="230"/>
      <c r="K224" s="251"/>
      <c r="L224" s="234"/>
      <c r="M224" s="378"/>
      <c r="N224" s="380"/>
      <c r="O224" s="381"/>
      <c r="P224" s="381"/>
      <c r="Q224" s="224"/>
    </row>
    <row r="225" spans="1:17" ht="25.5">
      <c r="A225" s="517"/>
      <c r="B225" s="321" t="s">
        <v>1460</v>
      </c>
      <c r="C225" s="267" t="s">
        <v>1440</v>
      </c>
      <c r="D225" s="267" t="s">
        <v>1347</v>
      </c>
      <c r="E225" s="228"/>
      <c r="F225" s="225">
        <v>0.18</v>
      </c>
      <c r="G225" s="229"/>
      <c r="H225" s="241" t="s">
        <v>429</v>
      </c>
      <c r="I225" s="239" t="s">
        <v>1211</v>
      </c>
      <c r="J225" s="230" t="s">
        <v>702</v>
      </c>
      <c r="K225" s="251">
        <v>13</v>
      </c>
      <c r="L225" s="234">
        <v>1505.25</v>
      </c>
      <c r="M225" s="378">
        <v>0.18</v>
      </c>
      <c r="N225" s="380">
        <f t="shared" si="9"/>
        <v>1275.6355932203392</v>
      </c>
      <c r="O225" s="381">
        <f t="shared" si="11"/>
        <v>16583.262711864409</v>
      </c>
      <c r="P225" s="381">
        <f t="shared" si="10"/>
        <v>2984.9872881355936</v>
      </c>
      <c r="Q225" s="224"/>
    </row>
    <row r="226" spans="1:17" ht="51">
      <c r="A226" s="516">
        <v>106</v>
      </c>
      <c r="B226" s="223"/>
      <c r="C226" s="223"/>
      <c r="D226" s="223"/>
      <c r="E226" s="253"/>
      <c r="F226" s="376"/>
      <c r="G226" s="376"/>
      <c r="H226" s="230">
        <v>21.8</v>
      </c>
      <c r="I226" s="239" t="s">
        <v>431</v>
      </c>
      <c r="J226" s="230"/>
      <c r="K226" s="251"/>
      <c r="L226" s="255"/>
      <c r="M226" s="378"/>
      <c r="N226" s="380"/>
      <c r="O226" s="381"/>
      <c r="P226" s="381"/>
      <c r="Q226" s="224"/>
    </row>
    <row r="227" spans="1:17">
      <c r="A227" s="517"/>
      <c r="B227" s="321" t="s">
        <v>1460</v>
      </c>
      <c r="C227" s="267" t="s">
        <v>1441</v>
      </c>
      <c r="D227" s="267" t="s">
        <v>1347</v>
      </c>
      <c r="E227" s="228"/>
      <c r="F227" s="225">
        <v>0.18</v>
      </c>
      <c r="G227" s="229"/>
      <c r="H227" s="241" t="s">
        <v>432</v>
      </c>
      <c r="I227" s="239" t="s">
        <v>433</v>
      </c>
      <c r="J227" s="230" t="s">
        <v>741</v>
      </c>
      <c r="K227" s="251">
        <v>48</v>
      </c>
      <c r="L227" s="234">
        <v>96.75</v>
      </c>
      <c r="M227" s="378">
        <v>0.18</v>
      </c>
      <c r="N227" s="380">
        <f t="shared" si="9"/>
        <v>81.991525423728817</v>
      </c>
      <c r="O227" s="381">
        <f t="shared" si="11"/>
        <v>3935.593220338983</v>
      </c>
      <c r="P227" s="381">
        <f t="shared" si="10"/>
        <v>708.40677966101691</v>
      </c>
      <c r="Q227" s="224"/>
    </row>
    <row r="228" spans="1:17" ht="38.25">
      <c r="A228" s="516">
        <v>107</v>
      </c>
      <c r="B228" s="223"/>
      <c r="C228" s="223"/>
      <c r="D228" s="223"/>
      <c r="E228" s="253"/>
      <c r="F228" s="376"/>
      <c r="G228" s="376"/>
      <c r="H228" s="230">
        <v>21.12</v>
      </c>
      <c r="I228" s="239" t="s">
        <v>1212</v>
      </c>
      <c r="J228" s="230"/>
      <c r="K228" s="251"/>
      <c r="L228" s="234"/>
      <c r="M228" s="378"/>
      <c r="N228" s="380"/>
      <c r="O228" s="381"/>
      <c r="P228" s="381"/>
      <c r="Q228" s="224"/>
    </row>
    <row r="229" spans="1:17" ht="25.5">
      <c r="A229" s="517"/>
      <c r="B229" s="321" t="s">
        <v>1460</v>
      </c>
      <c r="C229" s="267" t="s">
        <v>1442</v>
      </c>
      <c r="D229" s="267" t="s">
        <v>1347</v>
      </c>
      <c r="E229" s="228"/>
      <c r="F229" s="225">
        <v>0.18</v>
      </c>
      <c r="G229" s="229"/>
      <c r="H229" s="241" t="s">
        <v>1213</v>
      </c>
      <c r="I229" s="239" t="s">
        <v>1214</v>
      </c>
      <c r="J229" s="230" t="s">
        <v>743</v>
      </c>
      <c r="K229" s="251">
        <v>6</v>
      </c>
      <c r="L229" s="234">
        <v>631.54999999999995</v>
      </c>
      <c r="M229" s="378">
        <v>0.18</v>
      </c>
      <c r="N229" s="380">
        <f t="shared" si="9"/>
        <v>535.21186440677968</v>
      </c>
      <c r="O229" s="381">
        <f t="shared" si="11"/>
        <v>3211.2711864406783</v>
      </c>
      <c r="P229" s="381">
        <f t="shared" si="10"/>
        <v>578.02881355932209</v>
      </c>
      <c r="Q229" s="224"/>
    </row>
    <row r="230" spans="1:17" ht="63.75">
      <c r="A230" s="238">
        <v>108</v>
      </c>
      <c r="B230" s="321" t="s">
        <v>1460</v>
      </c>
      <c r="C230" s="267" t="s">
        <v>1443</v>
      </c>
      <c r="D230" s="267" t="s">
        <v>1347</v>
      </c>
      <c r="E230" s="228"/>
      <c r="F230" s="225">
        <v>0.18</v>
      </c>
      <c r="G230" s="229"/>
      <c r="H230" s="241" t="s">
        <v>1215</v>
      </c>
      <c r="I230" s="239" t="s">
        <v>1216</v>
      </c>
      <c r="J230" s="230" t="s">
        <v>743</v>
      </c>
      <c r="K230" s="251">
        <v>4</v>
      </c>
      <c r="L230" s="234">
        <v>528.85</v>
      </c>
      <c r="M230" s="378">
        <v>0.18</v>
      </c>
      <c r="N230" s="380">
        <f t="shared" si="9"/>
        <v>448.17796610169495</v>
      </c>
      <c r="O230" s="381">
        <f t="shared" si="11"/>
        <v>1792.7118644067798</v>
      </c>
      <c r="P230" s="381">
        <f t="shared" si="10"/>
        <v>322.68813559322035</v>
      </c>
      <c r="Q230" s="224"/>
    </row>
    <row r="231" spans="1:17" ht="38.25">
      <c r="A231" s="516">
        <v>109</v>
      </c>
      <c r="B231" s="223"/>
      <c r="C231" s="223"/>
      <c r="D231" s="223"/>
      <c r="E231" s="253"/>
      <c r="F231" s="376"/>
      <c r="G231" s="376"/>
      <c r="H231" s="241" t="s">
        <v>434</v>
      </c>
      <c r="I231" s="239" t="s">
        <v>1217</v>
      </c>
      <c r="J231" s="230"/>
      <c r="K231" s="251"/>
      <c r="L231" s="234"/>
      <c r="M231" s="378"/>
      <c r="N231" s="380"/>
      <c r="O231" s="381"/>
      <c r="P231" s="381"/>
      <c r="Q231" s="224"/>
    </row>
    <row r="232" spans="1:17">
      <c r="A232" s="517"/>
      <c r="B232" s="321" t="s">
        <v>1460</v>
      </c>
      <c r="C232" s="267" t="s">
        <v>1444</v>
      </c>
      <c r="D232" s="267" t="s">
        <v>1347</v>
      </c>
      <c r="E232" s="228"/>
      <c r="F232" s="225">
        <v>0.18</v>
      </c>
      <c r="G232" s="229"/>
      <c r="H232" s="278" t="s">
        <v>1218</v>
      </c>
      <c r="I232" s="239" t="s">
        <v>1219</v>
      </c>
      <c r="J232" s="230" t="s">
        <v>743</v>
      </c>
      <c r="K232" s="251">
        <v>10</v>
      </c>
      <c r="L232" s="234">
        <v>97.95</v>
      </c>
      <c r="M232" s="378">
        <v>0.18</v>
      </c>
      <c r="N232" s="380">
        <f t="shared" si="9"/>
        <v>83.008474576271198</v>
      </c>
      <c r="O232" s="381">
        <f t="shared" si="11"/>
        <v>830.08474576271192</v>
      </c>
      <c r="P232" s="381">
        <f t="shared" si="10"/>
        <v>149.41525423728814</v>
      </c>
      <c r="Q232" s="224"/>
    </row>
    <row r="233" spans="1:17" ht="191.25">
      <c r="A233" s="238">
        <v>110</v>
      </c>
      <c r="B233" s="223"/>
      <c r="C233" s="223"/>
      <c r="D233" s="223"/>
      <c r="E233" s="253"/>
      <c r="F233" s="376"/>
      <c r="G233" s="376"/>
      <c r="H233" s="230">
        <v>26.86</v>
      </c>
      <c r="I233" s="239" t="s">
        <v>1220</v>
      </c>
      <c r="J233" s="230"/>
      <c r="K233" s="251"/>
      <c r="L233" s="245"/>
      <c r="M233" s="378"/>
      <c r="N233" s="380"/>
      <c r="O233" s="381"/>
      <c r="P233" s="381"/>
      <c r="Q233" s="224"/>
    </row>
    <row r="234" spans="1:17">
      <c r="A234" s="238" t="s">
        <v>1233</v>
      </c>
      <c r="B234" s="321" t="s">
        <v>1460</v>
      </c>
      <c r="C234" s="267" t="s">
        <v>1445</v>
      </c>
      <c r="D234" s="267" t="s">
        <v>1446</v>
      </c>
      <c r="E234" s="228"/>
      <c r="F234" s="225">
        <v>0.18</v>
      </c>
      <c r="G234" s="229"/>
      <c r="H234" s="230" t="s">
        <v>1221</v>
      </c>
      <c r="I234" s="239" t="s">
        <v>1222</v>
      </c>
      <c r="J234" s="230" t="s">
        <v>741</v>
      </c>
      <c r="K234" s="251">
        <v>37</v>
      </c>
      <c r="L234" s="245">
        <v>947.7</v>
      </c>
      <c r="M234" s="378">
        <v>0.18</v>
      </c>
      <c r="N234" s="380">
        <f t="shared" si="9"/>
        <v>803.13559322033905</v>
      </c>
      <c r="O234" s="381">
        <f t="shared" si="11"/>
        <v>29716.016949152545</v>
      </c>
      <c r="P234" s="381">
        <f t="shared" si="10"/>
        <v>5348.8830508474575</v>
      </c>
      <c r="Q234" s="224"/>
    </row>
    <row r="235" spans="1:17">
      <c r="A235" s="238" t="s">
        <v>1234</v>
      </c>
      <c r="B235" s="321" t="s">
        <v>1460</v>
      </c>
      <c r="C235" s="267">
        <v>120003505</v>
      </c>
      <c r="D235" s="267" t="s">
        <v>1446</v>
      </c>
      <c r="E235" s="228"/>
      <c r="F235" s="225">
        <v>0.18</v>
      </c>
      <c r="G235" s="229"/>
      <c r="H235" s="230" t="s">
        <v>1223</v>
      </c>
      <c r="I235" s="239" t="s">
        <v>1224</v>
      </c>
      <c r="J235" s="230" t="s">
        <v>741</v>
      </c>
      <c r="K235" s="251">
        <v>44</v>
      </c>
      <c r="L235" s="245">
        <v>1111.3</v>
      </c>
      <c r="M235" s="378">
        <v>0.18</v>
      </c>
      <c r="N235" s="380">
        <f t="shared" si="9"/>
        <v>941.77966101694915</v>
      </c>
      <c r="O235" s="381">
        <f t="shared" si="11"/>
        <v>41438.305084745763</v>
      </c>
      <c r="P235" s="381">
        <f t="shared" si="10"/>
        <v>7458.8949152542373</v>
      </c>
      <c r="Q235" s="224"/>
    </row>
    <row r="236" spans="1:17" ht="216.75">
      <c r="A236" s="516">
        <v>111</v>
      </c>
      <c r="B236" s="223"/>
      <c r="C236" s="223"/>
      <c r="D236" s="223"/>
      <c r="E236" s="253"/>
      <c r="F236" s="376"/>
      <c r="G236" s="376"/>
      <c r="H236" s="268" t="s">
        <v>1225</v>
      </c>
      <c r="I236" s="249" t="s">
        <v>1226</v>
      </c>
      <c r="J236" s="250"/>
      <c r="K236" s="251"/>
      <c r="L236" s="234"/>
      <c r="M236" s="378"/>
      <c r="N236" s="380"/>
      <c r="O236" s="381"/>
      <c r="P236" s="381"/>
      <c r="Q236" s="224"/>
    </row>
    <row r="237" spans="1:17">
      <c r="A237" s="517"/>
      <c r="B237" s="321" t="s">
        <v>1460</v>
      </c>
      <c r="C237" s="267" t="s">
        <v>1458</v>
      </c>
      <c r="D237" s="267" t="s">
        <v>1333</v>
      </c>
      <c r="E237" s="228"/>
      <c r="F237" s="225">
        <v>0.18</v>
      </c>
      <c r="G237" s="229"/>
      <c r="H237" s="250" t="s">
        <v>1227</v>
      </c>
      <c r="I237" s="249" t="s">
        <v>1228</v>
      </c>
      <c r="J237" s="250" t="s">
        <v>702</v>
      </c>
      <c r="K237" s="232">
        <v>31</v>
      </c>
      <c r="L237" s="245">
        <v>5432.85</v>
      </c>
      <c r="M237" s="226">
        <v>0.18</v>
      </c>
      <c r="N237" s="235">
        <f t="shared" si="9"/>
        <v>4604.110169491526</v>
      </c>
      <c r="O237" s="236">
        <f t="shared" si="11"/>
        <v>142727.4152542373</v>
      </c>
      <c r="P237" s="236">
        <f t="shared" si="10"/>
        <v>25690.934745762715</v>
      </c>
      <c r="Q237" s="224"/>
    </row>
    <row r="238" spans="1:17">
      <c r="A238" s="223"/>
      <c r="B238" s="223"/>
      <c r="C238" s="223"/>
      <c r="D238" s="223"/>
      <c r="E238" s="223"/>
      <c r="F238" s="279"/>
      <c r="G238" s="280"/>
      <c r="H238" s="224"/>
      <c r="I238" s="281"/>
      <c r="J238" s="281"/>
      <c r="K238" s="267"/>
      <c r="L238" s="282"/>
      <c r="M238" s="283"/>
      <c r="N238" s="284" t="s">
        <v>442</v>
      </c>
      <c r="O238" s="285">
        <f>SUM(O20:O237)</f>
        <v>11669513.474576265</v>
      </c>
      <c r="P238" s="285">
        <f>SUM(P20:P237)</f>
        <v>2100512.4254237278</v>
      </c>
      <c r="Q238" s="285" t="e">
        <f>SUM(#REF!)</f>
        <v>#REF!</v>
      </c>
    </row>
    <row r="239" spans="1:17">
      <c r="A239" s="209"/>
      <c r="B239" s="209"/>
      <c r="C239" s="209"/>
      <c r="D239" s="209"/>
      <c r="E239" s="209"/>
      <c r="F239" s="286"/>
      <c r="G239" s="287"/>
      <c r="H239" s="223"/>
      <c r="I239" s="227"/>
      <c r="J239" s="227"/>
      <c r="K239" s="267"/>
      <c r="L239" s="267"/>
      <c r="M239" s="267"/>
      <c r="N239" s="288" t="s">
        <v>443</v>
      </c>
      <c r="O239" s="494"/>
      <c r="P239" s="495">
        <f>+O239</f>
        <v>0</v>
      </c>
    </row>
    <row r="240" spans="1:17">
      <c r="A240" s="267"/>
      <c r="B240" s="267"/>
      <c r="C240" s="267"/>
      <c r="D240" s="267"/>
      <c r="E240" s="267"/>
      <c r="F240" s="290"/>
      <c r="G240" s="291"/>
      <c r="H240" s="267"/>
      <c r="I240" s="267"/>
      <c r="J240" s="267"/>
      <c r="K240" s="267"/>
      <c r="L240" s="267"/>
      <c r="M240" s="267"/>
      <c r="N240" s="288" t="s">
        <v>444</v>
      </c>
      <c r="O240" s="292">
        <f>+O238*O239</f>
        <v>0</v>
      </c>
      <c r="P240" s="292">
        <f>+P238*P239</f>
        <v>0</v>
      </c>
    </row>
    <row r="241" spans="1:17">
      <c r="A241" s="267"/>
      <c r="B241" s="267"/>
      <c r="C241" s="267"/>
      <c r="D241" s="267"/>
      <c r="E241" s="267"/>
      <c r="F241" s="290"/>
      <c r="G241" s="291"/>
      <c r="H241" s="267"/>
      <c r="J241" s="267"/>
      <c r="K241" s="267"/>
      <c r="L241" s="267"/>
      <c r="M241" s="267"/>
      <c r="N241" s="288" t="s">
        <v>445</v>
      </c>
      <c r="O241" s="285">
        <f>+O240+O238</f>
        <v>11669513.474576265</v>
      </c>
      <c r="P241" s="293"/>
    </row>
    <row r="242" spans="1:17">
      <c r="A242" s="267"/>
      <c r="B242" s="267"/>
      <c r="C242" s="267"/>
      <c r="D242" s="267"/>
      <c r="E242" s="267"/>
      <c r="F242" s="290"/>
      <c r="G242" s="291"/>
      <c r="H242" s="267"/>
      <c r="I242" s="267"/>
      <c r="J242" s="267"/>
      <c r="K242" s="267"/>
      <c r="L242" s="267"/>
      <c r="M242" s="267"/>
      <c r="N242" s="294" t="s">
        <v>446</v>
      </c>
      <c r="O242" s="210"/>
      <c r="P242" s="285">
        <f>+P238+P240</f>
        <v>2100512.4254237278</v>
      </c>
    </row>
    <row r="243" spans="1:17">
      <c r="F243" s="295"/>
    </row>
    <row r="244" spans="1:17" hidden="1">
      <c r="F244" s="295"/>
    </row>
    <row r="245" spans="1:17" hidden="1">
      <c r="A245" s="275" t="s">
        <v>447</v>
      </c>
      <c r="B245" s="299" t="e">
        <v>#REF!</v>
      </c>
      <c r="F245" s="295"/>
      <c r="L245" s="300" t="s">
        <v>448</v>
      </c>
      <c r="M245" s="301" t="e">
        <v>#REF!</v>
      </c>
    </row>
    <row r="246" spans="1:17" hidden="1">
      <c r="A246" s="275" t="s">
        <v>449</v>
      </c>
      <c r="B246" s="208" t="e">
        <v>#REF!</v>
      </c>
      <c r="F246" s="295"/>
      <c r="L246" s="300" t="s">
        <v>450</v>
      </c>
      <c r="M246" s="301" t="e">
        <v>#REF!</v>
      </c>
    </row>
    <row r="247" spans="1:17">
      <c r="F247" s="295"/>
      <c r="O247" s="302"/>
    </row>
    <row r="248" spans="1:17">
      <c r="F248" s="295"/>
    </row>
    <row r="249" spans="1:17">
      <c r="A249" s="303"/>
      <c r="B249" s="303"/>
      <c r="C249" s="303"/>
      <c r="D249" s="303"/>
      <c r="E249" s="275"/>
      <c r="F249" s="304"/>
      <c r="G249" s="305"/>
      <c r="H249" s="275"/>
      <c r="I249" s="306"/>
      <c r="J249" s="306"/>
      <c r="K249" s="307"/>
      <c r="L249" s="306"/>
      <c r="M249" s="306"/>
      <c r="N249" s="308"/>
      <c r="O249" s="275"/>
      <c r="P249" s="275"/>
      <c r="Q249" s="275"/>
    </row>
    <row r="250" spans="1:17">
      <c r="O250" s="302"/>
    </row>
    <row r="370" ht="15" customHeight="1"/>
    <row r="373" ht="100.5" customHeight="1"/>
    <row r="378" ht="71.25" customHeight="1"/>
    <row r="391" ht="86.25" customHeight="1"/>
    <row r="394" ht="86.25" customHeight="1"/>
    <row r="401" ht="128.25" customHeight="1"/>
  </sheetData>
  <sheetProtection password="DC2B" sheet="1" objects="1" scenarios="1"/>
  <mergeCells count="112">
    <mergeCell ref="A1:Q1"/>
    <mergeCell ref="A2:Q2"/>
    <mergeCell ref="A3:Q3"/>
    <mergeCell ref="A4:Q4"/>
    <mergeCell ref="A5:Q5"/>
    <mergeCell ref="A6:D6"/>
    <mergeCell ref="E6:L6"/>
    <mergeCell ref="M6:P6"/>
    <mergeCell ref="A13:P13"/>
    <mergeCell ref="E10:L10"/>
    <mergeCell ref="M10:P10"/>
    <mergeCell ref="E11:L11"/>
    <mergeCell ref="M11:P11"/>
    <mergeCell ref="A12:L12"/>
    <mergeCell ref="M12:P12"/>
    <mergeCell ref="E7:L7"/>
    <mergeCell ref="M7:P7"/>
    <mergeCell ref="A8:D8"/>
    <mergeCell ref="E8:L8"/>
    <mergeCell ref="M8:P8"/>
    <mergeCell ref="A9:D9"/>
    <mergeCell ref="E9:L9"/>
    <mergeCell ref="M9:P9"/>
    <mergeCell ref="A28:A29"/>
    <mergeCell ref="A26:A27"/>
    <mergeCell ref="A22:A24"/>
    <mergeCell ref="H19:I19"/>
    <mergeCell ref="M16:M17"/>
    <mergeCell ref="N16:N17"/>
    <mergeCell ref="O16:O17"/>
    <mergeCell ref="P16:P17"/>
    <mergeCell ref="Q16:Q17"/>
    <mergeCell ref="H18:I18"/>
    <mergeCell ref="A20:A21"/>
    <mergeCell ref="A16:A17"/>
    <mergeCell ref="B16:B17"/>
    <mergeCell ref="C16:C17"/>
    <mergeCell ref="E16:E17"/>
    <mergeCell ref="F16:G17"/>
    <mergeCell ref="H16:I17"/>
    <mergeCell ref="J16:J17"/>
    <mergeCell ref="K16:K17"/>
    <mergeCell ref="L16:L17"/>
    <mergeCell ref="A236:A237"/>
    <mergeCell ref="A224:A225"/>
    <mergeCell ref="A226:A227"/>
    <mergeCell ref="A228:A229"/>
    <mergeCell ref="A212:A214"/>
    <mergeCell ref="A205:A206"/>
    <mergeCell ref="A190:A191"/>
    <mergeCell ref="A154:A155"/>
    <mergeCell ref="A152:A153"/>
    <mergeCell ref="A174:A175"/>
    <mergeCell ref="A162:A163"/>
    <mergeCell ref="A144:A145"/>
    <mergeCell ref="A146:A148"/>
    <mergeCell ref="A121:A122"/>
    <mergeCell ref="A78:A79"/>
    <mergeCell ref="A80:A81"/>
    <mergeCell ref="A86:A88"/>
    <mergeCell ref="A90:A91"/>
    <mergeCell ref="A98:A100"/>
    <mergeCell ref="A103:A104"/>
    <mergeCell ref="A136:A137"/>
    <mergeCell ref="A138:A139"/>
    <mergeCell ref="A140:A142"/>
    <mergeCell ref="A110:A111"/>
    <mergeCell ref="A112:A113"/>
    <mergeCell ref="A114:A115"/>
    <mergeCell ref="A116:A117"/>
    <mergeCell ref="A105:A106"/>
    <mergeCell ref="A107:A108"/>
    <mergeCell ref="A38:A39"/>
    <mergeCell ref="A40:A41"/>
    <mergeCell ref="A42:A43"/>
    <mergeCell ref="A46:A47"/>
    <mergeCell ref="A48:A49"/>
    <mergeCell ref="A69:A70"/>
    <mergeCell ref="A71:A72"/>
    <mergeCell ref="A74:A75"/>
    <mergeCell ref="A76:A77"/>
    <mergeCell ref="A51:A52"/>
    <mergeCell ref="A53:A54"/>
    <mergeCell ref="A55:A56"/>
    <mergeCell ref="A57:A59"/>
    <mergeCell ref="A64:A65"/>
    <mergeCell ref="A66:A67"/>
    <mergeCell ref="A60:A61"/>
    <mergeCell ref="A30:A31"/>
    <mergeCell ref="A231:A232"/>
    <mergeCell ref="A179:A180"/>
    <mergeCell ref="A183:A184"/>
    <mergeCell ref="A185:A186"/>
    <mergeCell ref="A188:A189"/>
    <mergeCell ref="A192:A193"/>
    <mergeCell ref="A194:A195"/>
    <mergeCell ref="A119:A120"/>
    <mergeCell ref="A124:A125"/>
    <mergeCell ref="A127:A128"/>
    <mergeCell ref="A129:A130"/>
    <mergeCell ref="A132:A133"/>
    <mergeCell ref="A134:A135"/>
    <mergeCell ref="A215:A216"/>
    <mergeCell ref="A217:A218"/>
    <mergeCell ref="A219:A221"/>
    <mergeCell ref="A222:A223"/>
    <mergeCell ref="A196:A197"/>
    <mergeCell ref="A199:A201"/>
    <mergeCell ref="A207:A209"/>
    <mergeCell ref="A210:A211"/>
    <mergeCell ref="A156:A157"/>
    <mergeCell ref="A158:A159"/>
  </mergeCells>
  <dataValidations count="1">
    <dataValidation allowBlank="1" showInputMessage="1" showErrorMessage="1" error="ENTER PERCENTAGE " prompt="Please Enter Percentage" sqref="O239" xr:uid="{2B859287-4F37-4564-B414-41871FC5648E}"/>
  </dataValidations>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9"/>
  <sheetViews>
    <sheetView topLeftCell="A16" zoomScaleNormal="100" workbookViewId="0">
      <selection activeCell="L29" sqref="L29"/>
    </sheetView>
  </sheetViews>
  <sheetFormatPr defaultRowHeight="12.75"/>
  <cols>
    <col min="1" max="1" width="11.28515625" style="333" customWidth="1"/>
    <col min="2" max="2" width="13.28515625" style="333" customWidth="1"/>
    <col min="3" max="3" width="18.140625" style="333" customWidth="1"/>
    <col min="4" max="5" width="13.42578125" style="333" customWidth="1"/>
    <col min="6" max="6" width="5.7109375" style="333" customWidth="1"/>
    <col min="7" max="7" width="6" style="333" customWidth="1"/>
    <col min="8" max="8" width="9.85546875" style="333" customWidth="1"/>
    <col min="9" max="9" width="75.5703125" style="333" customWidth="1"/>
    <col min="10" max="10" width="7.7109375" style="392" customWidth="1"/>
    <col min="11" max="11" width="12" style="333" customWidth="1"/>
    <col min="12" max="12" width="18.28515625" style="333" customWidth="1"/>
    <col min="13" max="13" width="18.85546875" style="333" customWidth="1"/>
    <col min="14" max="14" width="18" style="333" customWidth="1"/>
    <col min="15" max="15" width="19.140625" style="333" customWidth="1"/>
    <col min="16" max="16384" width="9.140625" style="333"/>
  </cols>
  <sheetData>
    <row r="1" spans="1:14" s="208" customFormat="1">
      <c r="A1" s="541" t="s">
        <v>0</v>
      </c>
      <c r="B1" s="541"/>
      <c r="C1" s="541"/>
      <c r="D1" s="541"/>
      <c r="E1" s="541"/>
      <c r="F1" s="541"/>
      <c r="G1" s="541"/>
      <c r="H1" s="541"/>
      <c r="I1" s="541"/>
      <c r="J1" s="541"/>
      <c r="K1" s="541"/>
      <c r="L1" s="541"/>
      <c r="M1" s="541"/>
      <c r="N1" s="541"/>
    </row>
    <row r="2" spans="1:14" s="208" customFormat="1">
      <c r="A2" s="542" t="s">
        <v>1</v>
      </c>
      <c r="B2" s="542"/>
      <c r="C2" s="542"/>
      <c r="D2" s="542"/>
      <c r="E2" s="542"/>
      <c r="F2" s="542"/>
      <c r="G2" s="542"/>
      <c r="H2" s="542"/>
      <c r="I2" s="542"/>
      <c r="J2" s="542"/>
      <c r="K2" s="542"/>
      <c r="L2" s="542"/>
      <c r="M2" s="542"/>
      <c r="N2" s="542"/>
    </row>
    <row r="3" spans="1:14" s="208" customFormat="1">
      <c r="A3" s="542" t="s">
        <v>2</v>
      </c>
      <c r="B3" s="542"/>
      <c r="C3" s="542"/>
      <c r="D3" s="542"/>
      <c r="E3" s="542"/>
      <c r="F3" s="542"/>
      <c r="G3" s="542"/>
      <c r="H3" s="542"/>
      <c r="I3" s="542"/>
      <c r="J3" s="542"/>
      <c r="K3" s="542"/>
      <c r="L3" s="542"/>
      <c r="M3" s="542"/>
      <c r="N3" s="542"/>
    </row>
    <row r="4" spans="1:14" s="208" customFormat="1">
      <c r="A4" s="543" t="s">
        <v>996</v>
      </c>
      <c r="B4" s="543"/>
      <c r="C4" s="543"/>
      <c r="D4" s="543"/>
      <c r="E4" s="543"/>
      <c r="F4" s="543"/>
      <c r="G4" s="543"/>
      <c r="H4" s="543"/>
      <c r="I4" s="543"/>
      <c r="J4" s="543"/>
      <c r="K4" s="543"/>
      <c r="L4" s="543"/>
      <c r="M4" s="543"/>
      <c r="N4" s="543"/>
    </row>
    <row r="5" spans="1:14" s="208" customFormat="1">
      <c r="A5" s="544" t="s">
        <v>1447</v>
      </c>
      <c r="B5" s="544"/>
      <c r="C5" s="544"/>
      <c r="D5" s="544"/>
      <c r="E5" s="544"/>
      <c r="F5" s="544"/>
      <c r="G5" s="544"/>
      <c r="H5" s="544"/>
      <c r="I5" s="544"/>
      <c r="J5" s="544"/>
      <c r="K5" s="544"/>
      <c r="L5" s="544"/>
      <c r="M5" s="544"/>
      <c r="N5" s="544"/>
    </row>
    <row r="6" spans="1:14" s="208" customFormat="1">
      <c r="A6" s="544" t="s">
        <v>3</v>
      </c>
      <c r="B6" s="544"/>
      <c r="C6" s="544"/>
      <c r="D6" s="544"/>
      <c r="E6" s="544"/>
      <c r="F6" s="544"/>
      <c r="G6" s="544"/>
      <c r="H6" s="544"/>
      <c r="I6" s="544"/>
      <c r="J6" s="544"/>
      <c r="K6" s="544"/>
      <c r="L6" s="544"/>
      <c r="M6" s="544"/>
      <c r="N6" s="544"/>
    </row>
    <row r="7" spans="1:14" s="316" customFormat="1">
      <c r="A7" s="311" t="s">
        <v>4</v>
      </c>
      <c r="B7" s="311"/>
      <c r="C7" s="311"/>
      <c r="D7" s="311"/>
      <c r="E7" s="328"/>
      <c r="F7" s="547"/>
      <c r="G7" s="548"/>
      <c r="H7" s="548"/>
      <c r="I7" s="548"/>
      <c r="J7" s="548"/>
      <c r="K7" s="549"/>
      <c r="L7" s="561" t="s">
        <v>5</v>
      </c>
      <c r="M7" s="562"/>
      <c r="N7" s="563"/>
    </row>
    <row r="8" spans="1:14" s="316" customFormat="1">
      <c r="A8" s="550" t="s">
        <v>6</v>
      </c>
      <c r="B8" s="550"/>
      <c r="C8" s="550"/>
      <c r="D8" s="550"/>
      <c r="E8" s="328"/>
      <c r="F8" s="547"/>
      <c r="G8" s="548"/>
      <c r="H8" s="548"/>
      <c r="I8" s="548"/>
      <c r="J8" s="548"/>
      <c r="K8" s="549"/>
      <c r="L8" s="561" t="s">
        <v>7</v>
      </c>
      <c r="M8" s="562"/>
      <c r="N8" s="563"/>
    </row>
    <row r="9" spans="1:14" s="316" customFormat="1">
      <c r="A9" s="550" t="s">
        <v>8</v>
      </c>
      <c r="B9" s="555"/>
      <c r="C9" s="555"/>
      <c r="D9" s="555"/>
      <c r="E9" s="318"/>
      <c r="F9" s="547"/>
      <c r="G9" s="548"/>
      <c r="H9" s="548"/>
      <c r="I9" s="548"/>
      <c r="J9" s="548"/>
      <c r="K9" s="549"/>
      <c r="L9" s="561" t="s">
        <v>9</v>
      </c>
      <c r="M9" s="562"/>
      <c r="N9" s="563"/>
    </row>
    <row r="10" spans="1:14" s="316" customFormat="1">
      <c r="A10" s="215"/>
      <c r="B10" s="215"/>
      <c r="C10" s="215"/>
      <c r="D10" s="312"/>
      <c r="E10" s="329"/>
      <c r="F10" s="547"/>
      <c r="G10" s="548"/>
      <c r="H10" s="548"/>
      <c r="I10" s="548"/>
      <c r="J10" s="548"/>
      <c r="K10" s="549"/>
      <c r="L10" s="561" t="s">
        <v>10</v>
      </c>
      <c r="M10" s="562"/>
      <c r="N10" s="563"/>
    </row>
    <row r="11" spans="1:14" s="316" customFormat="1">
      <c r="A11" s="215"/>
      <c r="B11" s="215"/>
      <c r="C11" s="215"/>
      <c r="D11" s="312"/>
      <c r="E11" s="329"/>
      <c r="F11" s="547"/>
      <c r="G11" s="548"/>
      <c r="H11" s="548"/>
      <c r="I11" s="548"/>
      <c r="J11" s="548"/>
      <c r="K11" s="549"/>
      <c r="L11" s="561" t="s">
        <v>11</v>
      </c>
      <c r="M11" s="562"/>
      <c r="N11" s="563"/>
    </row>
    <row r="12" spans="1:14" s="316" customFormat="1">
      <c r="A12" s="498"/>
      <c r="B12" s="499"/>
      <c r="C12" s="499"/>
      <c r="D12" s="499"/>
      <c r="E12" s="499"/>
      <c r="F12" s="499"/>
      <c r="G12" s="499"/>
      <c r="H12" s="499"/>
      <c r="I12" s="499"/>
      <c r="J12" s="499"/>
      <c r="K12" s="500"/>
      <c r="L12" s="561" t="s">
        <v>12</v>
      </c>
      <c r="M12" s="562"/>
      <c r="N12" s="563"/>
    </row>
    <row r="13" spans="1:14" s="316" customFormat="1">
      <c r="A13" s="531" t="s">
        <v>1449</v>
      </c>
      <c r="B13" s="546"/>
      <c r="C13" s="546"/>
      <c r="D13" s="546"/>
      <c r="E13" s="546"/>
      <c r="F13" s="546"/>
      <c r="G13" s="546"/>
      <c r="H13" s="546"/>
      <c r="I13" s="546"/>
      <c r="J13" s="546"/>
      <c r="K13" s="546"/>
      <c r="L13" s="546"/>
      <c r="M13" s="546"/>
      <c r="N13" s="532"/>
    </row>
    <row r="14" spans="1:14">
      <c r="A14" s="312"/>
      <c r="B14" s="558"/>
      <c r="C14" s="558"/>
      <c r="D14" s="312"/>
      <c r="E14" s="329"/>
      <c r="F14" s="498"/>
      <c r="G14" s="500"/>
      <c r="H14" s="313"/>
      <c r="I14" s="312"/>
      <c r="J14" s="330"/>
      <c r="K14" s="559"/>
      <c r="L14" s="559"/>
      <c r="M14" s="559"/>
      <c r="N14" s="330"/>
    </row>
    <row r="15" spans="1:14" s="390" customFormat="1">
      <c r="A15" s="560" t="s">
        <v>13</v>
      </c>
      <c r="B15" s="560" t="s">
        <v>14</v>
      </c>
      <c r="C15" s="560" t="s">
        <v>451</v>
      </c>
      <c r="D15" s="220" t="s">
        <v>16</v>
      </c>
      <c r="E15" s="527" t="s">
        <v>17</v>
      </c>
      <c r="F15" s="533" t="s">
        <v>452</v>
      </c>
      <c r="G15" s="564"/>
      <c r="H15" s="534"/>
      <c r="I15" s="560" t="s">
        <v>453</v>
      </c>
      <c r="J15" s="560" t="s">
        <v>19</v>
      </c>
      <c r="K15" s="529" t="s">
        <v>20</v>
      </c>
      <c r="L15" s="560" t="s">
        <v>21</v>
      </c>
      <c r="M15" s="560" t="s">
        <v>454</v>
      </c>
      <c r="N15" s="560" t="s">
        <v>455</v>
      </c>
    </row>
    <row r="16" spans="1:14" s="390" customFormat="1" ht="38.25">
      <c r="A16" s="560"/>
      <c r="B16" s="560"/>
      <c r="C16" s="560"/>
      <c r="D16" s="220" t="s">
        <v>27</v>
      </c>
      <c r="E16" s="528"/>
      <c r="F16" s="535"/>
      <c r="G16" s="565"/>
      <c r="H16" s="536"/>
      <c r="I16" s="560"/>
      <c r="J16" s="560"/>
      <c r="K16" s="530"/>
      <c r="L16" s="560"/>
      <c r="M16" s="560"/>
      <c r="N16" s="560"/>
    </row>
    <row r="17" spans="1:14" s="390" customFormat="1">
      <c r="A17" s="210">
        <v>1</v>
      </c>
      <c r="B17" s="210">
        <v>2</v>
      </c>
      <c r="C17" s="210">
        <v>3</v>
      </c>
      <c r="D17" s="319">
        <v>4</v>
      </c>
      <c r="E17" s="319">
        <v>5</v>
      </c>
      <c r="F17" s="557">
        <v>6</v>
      </c>
      <c r="G17" s="557"/>
      <c r="H17" s="319">
        <v>7</v>
      </c>
      <c r="I17" s="215">
        <v>8</v>
      </c>
      <c r="J17" s="215">
        <v>9</v>
      </c>
      <c r="K17" s="215">
        <v>10</v>
      </c>
      <c r="L17" s="215">
        <v>11</v>
      </c>
      <c r="M17" s="215">
        <v>12</v>
      </c>
      <c r="N17" s="215">
        <v>13</v>
      </c>
    </row>
    <row r="18" spans="1:14">
      <c r="A18" s="210"/>
      <c r="B18" s="210"/>
      <c r="C18" s="210"/>
      <c r="D18" s="220"/>
      <c r="E18" s="220"/>
      <c r="F18" s="568"/>
      <c r="G18" s="568"/>
      <c r="H18" s="220"/>
      <c r="I18" s="567" t="s">
        <v>456</v>
      </c>
      <c r="J18" s="567"/>
      <c r="K18" s="215"/>
      <c r="L18" s="215"/>
      <c r="M18" s="215"/>
      <c r="N18" s="215"/>
    </row>
    <row r="19" spans="1:14" s="316" customFormat="1" ht="89.25">
      <c r="A19" s="320" t="s">
        <v>1260</v>
      </c>
      <c r="B19" s="321" t="s">
        <v>1460</v>
      </c>
      <c r="C19" s="321" t="s">
        <v>457</v>
      </c>
      <c r="D19" s="321"/>
      <c r="E19" s="322"/>
      <c r="F19" s="556"/>
      <c r="G19" s="556"/>
      <c r="H19" s="323"/>
      <c r="I19" s="239" t="s">
        <v>1238</v>
      </c>
      <c r="J19" s="230"/>
      <c r="K19" s="324"/>
      <c r="L19" s="325"/>
      <c r="M19" s="326"/>
      <c r="N19" s="326"/>
    </row>
    <row r="20" spans="1:14" s="316" customFormat="1">
      <c r="A20" s="224" t="s">
        <v>1261</v>
      </c>
      <c r="B20" s="321" t="s">
        <v>1460</v>
      </c>
      <c r="C20" s="321" t="s">
        <v>457</v>
      </c>
      <c r="D20" s="267" t="s">
        <v>1459</v>
      </c>
      <c r="E20" s="322"/>
      <c r="F20" s="556">
        <v>0.18</v>
      </c>
      <c r="G20" s="556"/>
      <c r="H20" s="323"/>
      <c r="I20" s="239" t="s">
        <v>1239</v>
      </c>
      <c r="J20" s="230" t="s">
        <v>577</v>
      </c>
      <c r="K20" s="324">
        <v>120</v>
      </c>
      <c r="L20" s="630"/>
      <c r="M20" s="326">
        <f t="shared" ref="M20:M28" si="0">L20*K20</f>
        <v>0</v>
      </c>
      <c r="N20" s="326">
        <f t="shared" ref="N20:N41" si="1">IF(ISBLANK(H20),F20*M20,H20*M20)</f>
        <v>0</v>
      </c>
    </row>
    <row r="21" spans="1:14" s="316" customFormat="1">
      <c r="A21" s="224" t="s">
        <v>1262</v>
      </c>
      <c r="B21" s="321" t="s">
        <v>1460</v>
      </c>
      <c r="C21" s="321" t="s">
        <v>457</v>
      </c>
      <c r="D21" s="267" t="s">
        <v>1459</v>
      </c>
      <c r="E21" s="322"/>
      <c r="F21" s="556">
        <v>0.18</v>
      </c>
      <c r="G21" s="556"/>
      <c r="H21" s="323"/>
      <c r="I21" s="239" t="s">
        <v>1240</v>
      </c>
      <c r="J21" s="230" t="s">
        <v>577</v>
      </c>
      <c r="K21" s="324">
        <v>180</v>
      </c>
      <c r="L21" s="630"/>
      <c r="M21" s="326">
        <f t="shared" si="0"/>
        <v>0</v>
      </c>
      <c r="N21" s="326">
        <f t="shared" si="1"/>
        <v>0</v>
      </c>
    </row>
    <row r="22" spans="1:14" s="316" customFormat="1">
      <c r="A22" s="224" t="s">
        <v>1263</v>
      </c>
      <c r="B22" s="321" t="s">
        <v>1460</v>
      </c>
      <c r="C22" s="321" t="s">
        <v>457</v>
      </c>
      <c r="D22" s="267" t="s">
        <v>1459</v>
      </c>
      <c r="E22" s="322"/>
      <c r="F22" s="556">
        <v>0.18</v>
      </c>
      <c r="G22" s="556"/>
      <c r="H22" s="323"/>
      <c r="I22" s="239" t="s">
        <v>1241</v>
      </c>
      <c r="J22" s="230" t="s">
        <v>577</v>
      </c>
      <c r="K22" s="321">
        <v>144</v>
      </c>
      <c r="L22" s="630"/>
      <c r="M22" s="326">
        <f t="shared" si="0"/>
        <v>0</v>
      </c>
      <c r="N22" s="326">
        <f t="shared" si="1"/>
        <v>0</v>
      </c>
    </row>
    <row r="23" spans="1:14" s="316" customFormat="1">
      <c r="A23" s="224" t="s">
        <v>1264</v>
      </c>
      <c r="B23" s="321" t="s">
        <v>1460</v>
      </c>
      <c r="C23" s="321" t="s">
        <v>457</v>
      </c>
      <c r="D23" s="267" t="s">
        <v>1331</v>
      </c>
      <c r="E23" s="322"/>
      <c r="F23" s="556">
        <v>0.18</v>
      </c>
      <c r="G23" s="556"/>
      <c r="H23" s="323"/>
      <c r="I23" s="252" t="s">
        <v>1242</v>
      </c>
      <c r="J23" s="224" t="s">
        <v>171</v>
      </c>
      <c r="K23" s="324">
        <v>10</v>
      </c>
      <c r="L23" s="631"/>
      <c r="M23" s="326">
        <f t="shared" si="0"/>
        <v>0</v>
      </c>
      <c r="N23" s="326">
        <f t="shared" si="1"/>
        <v>0</v>
      </c>
    </row>
    <row r="24" spans="1:14" s="316" customFormat="1">
      <c r="A24" s="224" t="s">
        <v>1265</v>
      </c>
      <c r="B24" s="321" t="s">
        <v>1460</v>
      </c>
      <c r="C24" s="321" t="s">
        <v>457</v>
      </c>
      <c r="D24" s="267" t="s">
        <v>1331</v>
      </c>
      <c r="E24" s="322"/>
      <c r="F24" s="556">
        <v>0.18</v>
      </c>
      <c r="G24" s="556"/>
      <c r="H24" s="323"/>
      <c r="I24" s="252" t="s">
        <v>1243</v>
      </c>
      <c r="J24" s="224" t="s">
        <v>171</v>
      </c>
      <c r="K24" s="324">
        <v>12</v>
      </c>
      <c r="L24" s="631"/>
      <c r="M24" s="326">
        <f t="shared" si="0"/>
        <v>0</v>
      </c>
      <c r="N24" s="326">
        <f t="shared" si="1"/>
        <v>0</v>
      </c>
    </row>
    <row r="25" spans="1:14" s="316" customFormat="1">
      <c r="A25" s="224" t="s">
        <v>1266</v>
      </c>
      <c r="B25" s="321" t="s">
        <v>1460</v>
      </c>
      <c r="C25" s="321" t="s">
        <v>457</v>
      </c>
      <c r="D25" s="267" t="s">
        <v>1331</v>
      </c>
      <c r="E25" s="322"/>
      <c r="F25" s="556">
        <v>0.18</v>
      </c>
      <c r="G25" s="556"/>
      <c r="H25" s="323"/>
      <c r="I25" s="252" t="s">
        <v>1244</v>
      </c>
      <c r="J25" s="224" t="s">
        <v>171</v>
      </c>
      <c r="K25" s="324">
        <v>14</v>
      </c>
      <c r="L25" s="631"/>
      <c r="M25" s="326">
        <f t="shared" si="0"/>
        <v>0</v>
      </c>
      <c r="N25" s="326">
        <f t="shared" si="1"/>
        <v>0</v>
      </c>
    </row>
    <row r="26" spans="1:14" s="316" customFormat="1">
      <c r="A26" s="224" t="s">
        <v>1267</v>
      </c>
      <c r="B26" s="321" t="s">
        <v>1460</v>
      </c>
      <c r="C26" s="321" t="s">
        <v>457</v>
      </c>
      <c r="D26" s="267" t="s">
        <v>1331</v>
      </c>
      <c r="E26" s="322"/>
      <c r="F26" s="556">
        <v>0.18</v>
      </c>
      <c r="G26" s="556"/>
      <c r="H26" s="323"/>
      <c r="I26" s="252" t="s">
        <v>1245</v>
      </c>
      <c r="J26" s="224" t="s">
        <v>171</v>
      </c>
      <c r="K26" s="324">
        <v>30</v>
      </c>
      <c r="L26" s="631"/>
      <c r="M26" s="326">
        <f t="shared" si="0"/>
        <v>0</v>
      </c>
      <c r="N26" s="326">
        <f t="shared" si="1"/>
        <v>0</v>
      </c>
    </row>
    <row r="27" spans="1:14" s="316" customFormat="1">
      <c r="A27" s="224" t="s">
        <v>1268</v>
      </c>
      <c r="B27" s="321" t="s">
        <v>1460</v>
      </c>
      <c r="C27" s="321" t="s">
        <v>457</v>
      </c>
      <c r="D27" s="267" t="s">
        <v>1331</v>
      </c>
      <c r="E27" s="322"/>
      <c r="F27" s="556">
        <v>0.18</v>
      </c>
      <c r="G27" s="556"/>
      <c r="H27" s="323"/>
      <c r="I27" s="252" t="s">
        <v>1246</v>
      </c>
      <c r="J27" s="224" t="s">
        <v>171</v>
      </c>
      <c r="K27" s="324">
        <v>42</v>
      </c>
      <c r="L27" s="631"/>
      <c r="M27" s="326">
        <f t="shared" si="0"/>
        <v>0</v>
      </c>
      <c r="N27" s="326">
        <f t="shared" si="1"/>
        <v>0</v>
      </c>
    </row>
    <row r="28" spans="1:14" s="316" customFormat="1">
      <c r="A28" s="224" t="s">
        <v>1269</v>
      </c>
      <c r="B28" s="321" t="s">
        <v>1460</v>
      </c>
      <c r="C28" s="321" t="s">
        <v>457</v>
      </c>
      <c r="D28" s="267" t="s">
        <v>1331</v>
      </c>
      <c r="E28" s="322"/>
      <c r="F28" s="556">
        <v>0.18</v>
      </c>
      <c r="G28" s="556"/>
      <c r="H28" s="323"/>
      <c r="I28" s="252" t="s">
        <v>1247</v>
      </c>
      <c r="J28" s="224" t="s">
        <v>171</v>
      </c>
      <c r="K28" s="324">
        <v>36</v>
      </c>
      <c r="L28" s="631"/>
      <c r="M28" s="326">
        <f t="shared" si="0"/>
        <v>0</v>
      </c>
      <c r="N28" s="326">
        <f t="shared" si="1"/>
        <v>0</v>
      </c>
    </row>
    <row r="29" spans="1:14" s="316" customFormat="1">
      <c r="A29" s="224" t="s">
        <v>1270</v>
      </c>
      <c r="B29" s="321" t="s">
        <v>1460</v>
      </c>
      <c r="C29" s="321" t="s">
        <v>457</v>
      </c>
      <c r="D29" s="267" t="s">
        <v>1333</v>
      </c>
      <c r="E29" s="322"/>
      <c r="F29" s="556">
        <v>0.18</v>
      </c>
      <c r="G29" s="556"/>
      <c r="H29" s="323"/>
      <c r="I29" s="252" t="s">
        <v>1248</v>
      </c>
      <c r="J29" s="224" t="s">
        <v>171</v>
      </c>
      <c r="K29" s="324">
        <v>10</v>
      </c>
      <c r="L29" s="631"/>
      <c r="M29" s="326">
        <f t="shared" ref="M29:M41" si="2">L29*K29</f>
        <v>0</v>
      </c>
      <c r="N29" s="326">
        <f t="shared" si="1"/>
        <v>0</v>
      </c>
    </row>
    <row r="30" spans="1:14" s="316" customFormat="1">
      <c r="A30" s="224" t="s">
        <v>1271</v>
      </c>
      <c r="B30" s="321" t="s">
        <v>1460</v>
      </c>
      <c r="C30" s="321" t="s">
        <v>457</v>
      </c>
      <c r="D30" s="267" t="s">
        <v>1333</v>
      </c>
      <c r="E30" s="322"/>
      <c r="F30" s="556">
        <v>0.18</v>
      </c>
      <c r="G30" s="556"/>
      <c r="H30" s="323"/>
      <c r="I30" s="252" t="s">
        <v>1249</v>
      </c>
      <c r="J30" s="224" t="s">
        <v>171</v>
      </c>
      <c r="K30" s="324">
        <v>8</v>
      </c>
      <c r="L30" s="631"/>
      <c r="M30" s="326">
        <f t="shared" si="2"/>
        <v>0</v>
      </c>
      <c r="N30" s="326">
        <f t="shared" si="1"/>
        <v>0</v>
      </c>
    </row>
    <row r="31" spans="1:14" s="316" customFormat="1">
      <c r="A31" s="224" t="s">
        <v>1272</v>
      </c>
      <c r="B31" s="321" t="s">
        <v>1460</v>
      </c>
      <c r="C31" s="321" t="s">
        <v>457</v>
      </c>
      <c r="D31" s="267" t="s">
        <v>1333</v>
      </c>
      <c r="E31" s="322"/>
      <c r="F31" s="556">
        <v>0.18</v>
      </c>
      <c r="G31" s="556"/>
      <c r="H31" s="323"/>
      <c r="I31" s="252" t="s">
        <v>1250</v>
      </c>
      <c r="J31" s="224" t="s">
        <v>171</v>
      </c>
      <c r="K31" s="324">
        <v>10</v>
      </c>
      <c r="L31" s="631"/>
      <c r="M31" s="326">
        <f t="shared" si="2"/>
        <v>0</v>
      </c>
      <c r="N31" s="326">
        <f t="shared" si="1"/>
        <v>0</v>
      </c>
    </row>
    <row r="32" spans="1:14" s="316" customFormat="1">
      <c r="A32" s="224" t="s">
        <v>1273</v>
      </c>
      <c r="B32" s="321" t="s">
        <v>1460</v>
      </c>
      <c r="C32" s="321" t="s">
        <v>457</v>
      </c>
      <c r="D32" s="267" t="s">
        <v>1333</v>
      </c>
      <c r="E32" s="322"/>
      <c r="F32" s="556">
        <v>0.18</v>
      </c>
      <c r="G32" s="556"/>
      <c r="H32" s="323"/>
      <c r="I32" s="252" t="s">
        <v>1251</v>
      </c>
      <c r="J32" s="224" t="s">
        <v>171</v>
      </c>
      <c r="K32" s="324">
        <v>12</v>
      </c>
      <c r="L32" s="631"/>
      <c r="M32" s="326">
        <f t="shared" si="2"/>
        <v>0</v>
      </c>
      <c r="N32" s="326">
        <f t="shared" si="1"/>
        <v>0</v>
      </c>
    </row>
    <row r="33" spans="1:14" s="316" customFormat="1">
      <c r="A33" s="224" t="s">
        <v>1274</v>
      </c>
      <c r="B33" s="321" t="s">
        <v>1460</v>
      </c>
      <c r="C33" s="321" t="s">
        <v>457</v>
      </c>
      <c r="D33" s="267" t="s">
        <v>1333</v>
      </c>
      <c r="E33" s="322"/>
      <c r="F33" s="556">
        <v>0.18</v>
      </c>
      <c r="G33" s="556"/>
      <c r="H33" s="323"/>
      <c r="I33" s="252" t="s">
        <v>1252</v>
      </c>
      <c r="J33" s="224" t="s">
        <v>171</v>
      </c>
      <c r="K33" s="324">
        <v>16</v>
      </c>
      <c r="L33" s="631"/>
      <c r="M33" s="326">
        <f t="shared" si="2"/>
        <v>0</v>
      </c>
      <c r="N33" s="326">
        <f t="shared" si="1"/>
        <v>0</v>
      </c>
    </row>
    <row r="34" spans="1:14" s="316" customFormat="1">
      <c r="A34" s="224" t="s">
        <v>1275</v>
      </c>
      <c r="B34" s="321" t="s">
        <v>1460</v>
      </c>
      <c r="C34" s="321" t="s">
        <v>457</v>
      </c>
      <c r="D34" s="267" t="s">
        <v>1333</v>
      </c>
      <c r="E34" s="322"/>
      <c r="F34" s="556">
        <v>0.18</v>
      </c>
      <c r="G34" s="556"/>
      <c r="H34" s="323"/>
      <c r="I34" s="252" t="s">
        <v>1253</v>
      </c>
      <c r="J34" s="224" t="s">
        <v>171</v>
      </c>
      <c r="K34" s="324">
        <v>14</v>
      </c>
      <c r="L34" s="631"/>
      <c r="M34" s="326">
        <f t="shared" si="2"/>
        <v>0</v>
      </c>
      <c r="N34" s="326">
        <f t="shared" si="1"/>
        <v>0</v>
      </c>
    </row>
    <row r="35" spans="1:14" s="316" customFormat="1">
      <c r="A35" s="224" t="s">
        <v>1276</v>
      </c>
      <c r="B35" s="321" t="s">
        <v>1460</v>
      </c>
      <c r="C35" s="321" t="s">
        <v>457</v>
      </c>
      <c r="D35" s="267" t="s">
        <v>1333</v>
      </c>
      <c r="E35" s="322"/>
      <c r="F35" s="556">
        <v>0.18</v>
      </c>
      <c r="G35" s="556"/>
      <c r="H35" s="323"/>
      <c r="I35" s="252" t="s">
        <v>1254</v>
      </c>
      <c r="J35" s="224" t="s">
        <v>171</v>
      </c>
      <c r="K35" s="324">
        <v>21</v>
      </c>
      <c r="L35" s="631"/>
      <c r="M35" s="326">
        <f t="shared" si="2"/>
        <v>0</v>
      </c>
      <c r="N35" s="326">
        <f t="shared" si="1"/>
        <v>0</v>
      </c>
    </row>
    <row r="36" spans="1:14" s="316" customFormat="1">
      <c r="A36" s="224" t="s">
        <v>1277</v>
      </c>
      <c r="B36" s="321" t="s">
        <v>1460</v>
      </c>
      <c r="C36" s="321" t="s">
        <v>457</v>
      </c>
      <c r="D36" s="267" t="s">
        <v>1333</v>
      </c>
      <c r="E36" s="322"/>
      <c r="F36" s="556">
        <v>0.18</v>
      </c>
      <c r="G36" s="556"/>
      <c r="H36" s="323"/>
      <c r="I36" s="252" t="s">
        <v>1255</v>
      </c>
      <c r="J36" s="224" t="s">
        <v>171</v>
      </c>
      <c r="K36" s="324">
        <v>21</v>
      </c>
      <c r="L36" s="631"/>
      <c r="M36" s="326">
        <f t="shared" si="2"/>
        <v>0</v>
      </c>
      <c r="N36" s="326">
        <f t="shared" si="1"/>
        <v>0</v>
      </c>
    </row>
    <row r="37" spans="1:14" s="316" customFormat="1">
      <c r="A37" s="224" t="s">
        <v>1278</v>
      </c>
      <c r="B37" s="321" t="s">
        <v>1460</v>
      </c>
      <c r="C37" s="321" t="s">
        <v>457</v>
      </c>
      <c r="D37" s="267" t="s">
        <v>1333</v>
      </c>
      <c r="E37" s="322"/>
      <c r="F37" s="556">
        <v>0.18</v>
      </c>
      <c r="G37" s="556"/>
      <c r="H37" s="323"/>
      <c r="I37" s="252" t="s">
        <v>1256</v>
      </c>
      <c r="J37" s="224" t="s">
        <v>171</v>
      </c>
      <c r="K37" s="324">
        <v>21</v>
      </c>
      <c r="L37" s="631"/>
      <c r="M37" s="326">
        <f t="shared" si="2"/>
        <v>0</v>
      </c>
      <c r="N37" s="326">
        <f t="shared" si="1"/>
        <v>0</v>
      </c>
    </row>
    <row r="38" spans="1:14" s="316" customFormat="1">
      <c r="A38" s="224" t="s">
        <v>1279</v>
      </c>
      <c r="B38" s="321" t="s">
        <v>1460</v>
      </c>
      <c r="C38" s="321" t="s">
        <v>457</v>
      </c>
      <c r="D38" s="267" t="s">
        <v>1372</v>
      </c>
      <c r="E38" s="322"/>
      <c r="F38" s="556">
        <v>0.18</v>
      </c>
      <c r="G38" s="556"/>
      <c r="H38" s="323"/>
      <c r="I38" s="252" t="s">
        <v>1257</v>
      </c>
      <c r="J38" s="224" t="s">
        <v>171</v>
      </c>
      <c r="K38" s="324">
        <v>18</v>
      </c>
      <c r="L38" s="631"/>
      <c r="M38" s="326">
        <f t="shared" si="2"/>
        <v>0</v>
      </c>
      <c r="N38" s="326">
        <f t="shared" si="1"/>
        <v>0</v>
      </c>
    </row>
    <row r="39" spans="1:14" s="316" customFormat="1">
      <c r="A39" s="224" t="s">
        <v>1280</v>
      </c>
      <c r="B39" s="321" t="s">
        <v>1460</v>
      </c>
      <c r="C39" s="321" t="s">
        <v>457</v>
      </c>
      <c r="D39" s="267" t="s">
        <v>1372</v>
      </c>
      <c r="E39" s="322"/>
      <c r="F39" s="556">
        <v>0.18</v>
      </c>
      <c r="G39" s="556"/>
      <c r="H39" s="323"/>
      <c r="I39" s="252" t="s">
        <v>1258</v>
      </c>
      <c r="J39" s="224" t="s">
        <v>171</v>
      </c>
      <c r="K39" s="324">
        <v>18</v>
      </c>
      <c r="L39" s="631"/>
      <c r="M39" s="326">
        <f t="shared" si="2"/>
        <v>0</v>
      </c>
      <c r="N39" s="326">
        <f t="shared" si="1"/>
        <v>0</v>
      </c>
    </row>
    <row r="40" spans="1:14" s="316" customFormat="1">
      <c r="A40" s="224" t="s">
        <v>1281</v>
      </c>
      <c r="B40" s="321" t="s">
        <v>1460</v>
      </c>
      <c r="C40" s="321" t="s">
        <v>457</v>
      </c>
      <c r="D40" s="267" t="s">
        <v>1372</v>
      </c>
      <c r="E40" s="322"/>
      <c r="F40" s="556">
        <v>0.18</v>
      </c>
      <c r="G40" s="556"/>
      <c r="H40" s="323"/>
      <c r="I40" s="252" t="s">
        <v>1259</v>
      </c>
      <c r="J40" s="224" t="s">
        <v>171</v>
      </c>
      <c r="K40" s="324">
        <v>12</v>
      </c>
      <c r="L40" s="631"/>
      <c r="M40" s="326">
        <f t="shared" si="2"/>
        <v>0</v>
      </c>
      <c r="N40" s="326">
        <f t="shared" si="1"/>
        <v>0</v>
      </c>
    </row>
    <row r="41" spans="1:14" s="316" customFormat="1" ht="76.5">
      <c r="A41" s="250" t="s">
        <v>1282</v>
      </c>
      <c r="B41" s="321" t="s">
        <v>1460</v>
      </c>
      <c r="C41" s="321" t="s">
        <v>457</v>
      </c>
      <c r="D41" s="267" t="s">
        <v>1446</v>
      </c>
      <c r="E41" s="322"/>
      <c r="F41" s="556">
        <v>0.18</v>
      </c>
      <c r="G41" s="556"/>
      <c r="H41" s="323"/>
      <c r="I41" s="391" t="s">
        <v>819</v>
      </c>
      <c r="J41" s="250" t="s">
        <v>1283</v>
      </c>
      <c r="K41" s="324">
        <v>20</v>
      </c>
      <c r="L41" s="632"/>
      <c r="M41" s="326">
        <f t="shared" si="2"/>
        <v>0</v>
      </c>
      <c r="N41" s="326">
        <f t="shared" si="1"/>
        <v>0</v>
      </c>
    </row>
    <row r="42" spans="1:14">
      <c r="A42" s="330"/>
      <c r="B42" s="327"/>
      <c r="C42" s="327"/>
      <c r="D42" s="327" t="s">
        <v>471</v>
      </c>
      <c r="E42" s="327"/>
      <c r="F42" s="566"/>
      <c r="G42" s="566"/>
      <c r="H42" s="331"/>
      <c r="I42" s="211"/>
      <c r="J42" s="330"/>
      <c r="K42" s="332"/>
      <c r="L42" s="288" t="s">
        <v>472</v>
      </c>
      <c r="M42" s="285">
        <f>SUM(M19:M41)</f>
        <v>0</v>
      </c>
      <c r="N42" s="285">
        <f>SUM(N19:N41)</f>
        <v>0</v>
      </c>
    </row>
    <row r="44" spans="1:14">
      <c r="A44" s="334" t="s">
        <v>473</v>
      </c>
      <c r="M44" s="393"/>
    </row>
    <row r="45" spans="1:14">
      <c r="A45" s="334"/>
      <c r="M45" s="393"/>
    </row>
    <row r="46" spans="1:14">
      <c r="A46" s="334"/>
      <c r="M46" s="393"/>
    </row>
    <row r="47" spans="1:14">
      <c r="A47" s="394" t="s">
        <v>474</v>
      </c>
      <c r="B47" s="333" t="e">
        <v>#REF!</v>
      </c>
      <c r="C47" s="392"/>
      <c r="D47" s="392"/>
      <c r="E47" s="392"/>
      <c r="F47" s="392"/>
      <c r="G47" s="392"/>
      <c r="H47" s="392"/>
      <c r="I47" s="392"/>
      <c r="K47" s="394"/>
      <c r="L47" s="395" t="e">
        <v>#REF!</v>
      </c>
      <c r="M47" s="392"/>
      <c r="N47" s="392"/>
    </row>
    <row r="48" spans="1:14">
      <c r="A48" s="394" t="s">
        <v>476</v>
      </c>
      <c r="B48" s="333" t="e">
        <v>#REF!</v>
      </c>
      <c r="C48" s="392"/>
      <c r="D48" s="392"/>
      <c r="E48" s="392"/>
      <c r="F48" s="392"/>
      <c r="G48" s="392"/>
      <c r="H48" s="392"/>
      <c r="I48" s="392"/>
      <c r="K48" s="394"/>
      <c r="L48" s="395" t="e">
        <v>#REF!</v>
      </c>
      <c r="M48" s="392"/>
      <c r="N48" s="335"/>
    </row>
    <row r="49" spans="6:14">
      <c r="F49" s="208"/>
      <c r="G49" s="208"/>
      <c r="H49" s="208"/>
      <c r="I49" s="208"/>
      <c r="J49" s="208"/>
      <c r="K49" s="208"/>
      <c r="L49" s="208"/>
      <c r="M49" s="208"/>
      <c r="N49" s="208"/>
    </row>
    <row r="50" spans="6:14">
      <c r="F50" s="208"/>
      <c r="G50" s="208"/>
      <c r="H50" s="208"/>
      <c r="I50" s="208"/>
      <c r="J50" s="208"/>
      <c r="K50" s="208"/>
      <c r="L50" s="208"/>
      <c r="M50" s="208"/>
      <c r="N50" s="208"/>
    </row>
    <row r="51" spans="6:14">
      <c r="F51" s="208"/>
      <c r="G51" s="208"/>
      <c r="H51" s="208"/>
      <c r="I51" s="208"/>
      <c r="J51" s="208"/>
      <c r="K51" s="208"/>
      <c r="L51" s="208"/>
      <c r="M51" s="302"/>
      <c r="N51" s="208"/>
    </row>
    <row r="52" spans="6:14">
      <c r="F52" s="208"/>
      <c r="G52" s="208"/>
      <c r="H52" s="208"/>
      <c r="I52" s="208"/>
      <c r="J52" s="208"/>
      <c r="K52" s="208"/>
      <c r="L52" s="208"/>
      <c r="M52" s="302"/>
      <c r="N52" s="208"/>
    </row>
    <row r="53" spans="6:14">
      <c r="F53" s="208"/>
      <c r="G53" s="208"/>
      <c r="H53" s="208"/>
      <c r="I53" s="208"/>
      <c r="J53" s="208"/>
      <c r="K53" s="208"/>
      <c r="L53" s="208"/>
      <c r="M53" s="208"/>
      <c r="N53" s="208"/>
    </row>
    <row r="54" spans="6:14">
      <c r="F54" s="208"/>
      <c r="G54" s="208"/>
      <c r="H54" s="208"/>
      <c r="I54" s="208"/>
      <c r="J54" s="208"/>
      <c r="K54" s="208"/>
      <c r="L54" s="208"/>
      <c r="M54" s="208"/>
      <c r="N54" s="208"/>
    </row>
    <row r="55" spans="6:14">
      <c r="F55" s="208"/>
      <c r="G55" s="208"/>
      <c r="H55" s="208"/>
      <c r="I55" s="208"/>
      <c r="J55" s="208"/>
      <c r="K55" s="208"/>
      <c r="L55" s="208"/>
      <c r="M55" s="208"/>
      <c r="N55" s="208"/>
    </row>
    <row r="56" spans="6:14">
      <c r="F56" s="208"/>
      <c r="G56" s="208"/>
      <c r="H56" s="208"/>
      <c r="I56" s="208"/>
      <c r="J56" s="208"/>
      <c r="K56" s="208"/>
      <c r="L56" s="208"/>
      <c r="M56" s="208"/>
      <c r="N56" s="208"/>
    </row>
    <row r="57" spans="6:14">
      <c r="F57" s="208"/>
      <c r="G57" s="208"/>
      <c r="H57" s="208"/>
      <c r="I57" s="208"/>
      <c r="J57" s="208"/>
      <c r="K57" s="208"/>
      <c r="L57" s="208"/>
      <c r="M57" s="208"/>
      <c r="N57" s="208"/>
    </row>
    <row r="58" spans="6:14">
      <c r="F58" s="208"/>
      <c r="G58" s="208"/>
      <c r="H58" s="208"/>
      <c r="I58" s="208"/>
      <c r="J58" s="208"/>
      <c r="K58" s="208"/>
      <c r="L58" s="208"/>
      <c r="M58" s="208"/>
      <c r="N58" s="208"/>
    </row>
    <row r="59" spans="6:14">
      <c r="F59" s="208"/>
      <c r="G59" s="208"/>
      <c r="H59" s="208"/>
      <c r="I59" s="208"/>
      <c r="J59" s="208"/>
      <c r="K59" s="208"/>
      <c r="L59" s="208"/>
      <c r="M59" s="208"/>
      <c r="N59" s="208"/>
    </row>
  </sheetData>
  <sheetProtection password="DC2B" sheet="1" objects="1" scenarios="1"/>
  <mergeCells count="62">
    <mergeCell ref="E15:E16"/>
    <mergeCell ref="F28:G28"/>
    <mergeCell ref="F24:G24"/>
    <mergeCell ref="F25:G25"/>
    <mergeCell ref="F30:G30"/>
    <mergeCell ref="F26:G26"/>
    <mergeCell ref="F29:G29"/>
    <mergeCell ref="A4:N4"/>
    <mergeCell ref="A3:N3"/>
    <mergeCell ref="L7:N7"/>
    <mergeCell ref="A5:N5"/>
    <mergeCell ref="A12:K12"/>
    <mergeCell ref="A6:N6"/>
    <mergeCell ref="F7:K7"/>
    <mergeCell ref="L9:N9"/>
    <mergeCell ref="F8:K8"/>
    <mergeCell ref="F9:K9"/>
    <mergeCell ref="F10:K10"/>
    <mergeCell ref="F11:K11"/>
    <mergeCell ref="F42:G42"/>
    <mergeCell ref="F27:G27"/>
    <mergeCell ref="F34:G34"/>
    <mergeCell ref="A8:D8"/>
    <mergeCell ref="L8:N8"/>
    <mergeCell ref="A9:D9"/>
    <mergeCell ref="F23:G23"/>
    <mergeCell ref="I18:J18"/>
    <mergeCell ref="F18:G18"/>
    <mergeCell ref="I15:I16"/>
    <mergeCell ref="J15:J16"/>
    <mergeCell ref="F20:G20"/>
    <mergeCell ref="F35:G35"/>
    <mergeCell ref="F36:G36"/>
    <mergeCell ref="F37:G37"/>
    <mergeCell ref="L12:N12"/>
    <mergeCell ref="A1:N1"/>
    <mergeCell ref="B14:C14"/>
    <mergeCell ref="F14:G14"/>
    <mergeCell ref="K14:M14"/>
    <mergeCell ref="A15:A16"/>
    <mergeCell ref="L15:L16"/>
    <mergeCell ref="A13:N13"/>
    <mergeCell ref="K15:K16"/>
    <mergeCell ref="B15:B16"/>
    <mergeCell ref="L10:N10"/>
    <mergeCell ref="C15:C16"/>
    <mergeCell ref="N15:N16"/>
    <mergeCell ref="M15:M16"/>
    <mergeCell ref="F15:H16"/>
    <mergeCell ref="A2:N2"/>
    <mergeCell ref="L11:N11"/>
    <mergeCell ref="F41:G41"/>
    <mergeCell ref="F22:G22"/>
    <mergeCell ref="F21:G21"/>
    <mergeCell ref="F19:G19"/>
    <mergeCell ref="F17:G17"/>
    <mergeCell ref="F38:G38"/>
    <mergeCell ref="F39:G39"/>
    <mergeCell ref="F40:G40"/>
    <mergeCell ref="F31:G31"/>
    <mergeCell ref="F32:G32"/>
    <mergeCell ref="F33:G33"/>
  </mergeCells>
  <pageMargins left="0.25" right="0.25" top="0.75" bottom="0.75" header="0.3" footer="0.3"/>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S1021"/>
  <sheetViews>
    <sheetView topLeftCell="A488" workbookViewId="0">
      <selection activeCell="C537" sqref="C537:C594"/>
    </sheetView>
  </sheetViews>
  <sheetFormatPr defaultRowHeight="12.75"/>
  <cols>
    <col min="1" max="1" width="9.140625" style="7"/>
    <col min="2" max="2" width="10" style="7" customWidth="1"/>
    <col min="3" max="3" width="45.42578125" style="7" customWidth="1"/>
    <col min="4" max="5" width="9.140625" style="7"/>
    <col min="6" max="6" width="8.140625" style="7" customWidth="1"/>
    <col min="7" max="8" width="9.140625" style="7"/>
    <col min="9" max="9" width="10.42578125" style="7" bestFit="1" customWidth="1"/>
    <col min="10" max="10" width="10.5703125" style="7" bestFit="1" customWidth="1"/>
    <col min="11" max="11" width="9.140625" style="7"/>
    <col min="12" max="12" width="9.42578125" style="7" bestFit="1" customWidth="1"/>
    <col min="13" max="16384" width="9.140625" style="7"/>
  </cols>
  <sheetData>
    <row r="1" spans="1:15" ht="20.25" customHeight="1">
      <c r="A1" s="573" t="s">
        <v>1</v>
      </c>
      <c r="B1" s="573"/>
      <c r="C1" s="573"/>
      <c r="D1" s="573"/>
      <c r="E1" s="573"/>
      <c r="F1" s="573"/>
      <c r="G1" s="573"/>
      <c r="H1" s="573"/>
      <c r="I1" s="573"/>
      <c r="J1" s="573"/>
      <c r="K1" s="141"/>
      <c r="L1" s="141"/>
      <c r="M1" s="141"/>
      <c r="N1" s="141"/>
      <c r="O1" s="141"/>
    </row>
    <row r="2" spans="1:15" ht="20.25" customHeight="1">
      <c r="A2" s="573" t="s">
        <v>2</v>
      </c>
      <c r="B2" s="573"/>
      <c r="C2" s="573"/>
      <c r="D2" s="573"/>
      <c r="E2" s="573"/>
      <c r="F2" s="573"/>
      <c r="G2" s="573"/>
      <c r="H2" s="573"/>
      <c r="I2" s="573"/>
      <c r="J2" s="573"/>
      <c r="K2" s="141"/>
      <c r="L2" s="141"/>
      <c r="M2" s="141"/>
      <c r="N2" s="141"/>
      <c r="O2" s="141"/>
    </row>
    <row r="3" spans="1:15" ht="14.25" customHeight="1">
      <c r="A3" s="574" t="s">
        <v>478</v>
      </c>
      <c r="B3" s="574"/>
      <c r="C3" s="574"/>
      <c r="D3" s="574"/>
      <c r="E3" s="574"/>
      <c r="F3" s="574"/>
      <c r="G3" s="574"/>
      <c r="H3" s="574"/>
      <c r="I3" s="574"/>
      <c r="J3" s="574"/>
      <c r="K3" s="140"/>
      <c r="L3" s="140"/>
      <c r="M3" s="141"/>
      <c r="N3" s="141"/>
      <c r="O3" s="141"/>
    </row>
    <row r="4" spans="1:15" ht="38.25">
      <c r="A4" s="36" t="s">
        <v>479</v>
      </c>
      <c r="B4" s="36" t="s">
        <v>480</v>
      </c>
      <c r="C4" s="24" t="s">
        <v>481</v>
      </c>
      <c r="D4" s="24" t="s">
        <v>482</v>
      </c>
      <c r="E4" s="24"/>
      <c r="F4" s="24" t="s">
        <v>483</v>
      </c>
      <c r="G4" s="24" t="s">
        <v>484</v>
      </c>
      <c r="H4" s="24" t="s">
        <v>485</v>
      </c>
      <c r="I4" s="24" t="s">
        <v>486</v>
      </c>
      <c r="J4" s="24" t="s">
        <v>487</v>
      </c>
      <c r="K4" s="139" t="s">
        <v>471</v>
      </c>
      <c r="L4" s="139"/>
      <c r="M4" s="141"/>
      <c r="N4" s="141"/>
      <c r="O4" s="141"/>
    </row>
    <row r="5" spans="1:15" ht="14.25">
      <c r="A5" s="11"/>
      <c r="B5" s="11"/>
      <c r="C5" s="94"/>
      <c r="D5" s="117"/>
      <c r="E5" s="117"/>
      <c r="F5" s="117"/>
      <c r="G5" s="117"/>
      <c r="H5" s="117"/>
      <c r="I5" s="117"/>
      <c r="J5" s="117"/>
      <c r="K5" s="157"/>
      <c r="L5" s="157"/>
      <c r="M5" s="141"/>
      <c r="N5" s="141"/>
      <c r="O5" s="141"/>
    </row>
    <row r="6" spans="1:15" ht="14.25">
      <c r="A6" s="11"/>
      <c r="B6" s="11"/>
      <c r="C6" s="118" t="s">
        <v>488</v>
      </c>
      <c r="D6" s="117"/>
      <c r="E6" s="117"/>
      <c r="F6" s="117"/>
      <c r="G6" s="117"/>
      <c r="H6" s="117"/>
      <c r="I6" s="117"/>
      <c r="J6" s="117"/>
      <c r="K6" s="157"/>
      <c r="L6" s="157"/>
      <c r="M6" s="141"/>
      <c r="N6" s="141"/>
      <c r="O6" s="141"/>
    </row>
    <row r="7" spans="1:15" ht="14.25">
      <c r="A7" s="11"/>
      <c r="B7" s="11"/>
      <c r="C7" s="94"/>
      <c r="D7" s="117"/>
      <c r="E7" s="117"/>
      <c r="F7" s="117"/>
      <c r="G7" s="117"/>
      <c r="H7" s="117"/>
      <c r="I7" s="117"/>
      <c r="J7" s="117"/>
      <c r="K7" s="157"/>
      <c r="L7" s="157"/>
      <c r="M7" s="141"/>
      <c r="N7" s="141"/>
      <c r="O7" s="141"/>
    </row>
    <row r="8" spans="1:15" ht="25.5">
      <c r="A8" s="11" t="s">
        <v>30</v>
      </c>
      <c r="B8" s="10" t="s">
        <v>31</v>
      </c>
      <c r="C8" s="27" t="s">
        <v>32</v>
      </c>
      <c r="D8" s="8"/>
      <c r="E8" s="8"/>
      <c r="F8" s="8">
        <v>5</v>
      </c>
      <c r="G8" s="8">
        <v>14</v>
      </c>
      <c r="H8" s="8"/>
      <c r="I8" s="8"/>
      <c r="J8" s="8">
        <f>G8*F8</f>
        <v>70</v>
      </c>
      <c r="K8" s="157"/>
      <c r="L8" s="157"/>
      <c r="M8" s="141"/>
      <c r="N8" s="141"/>
      <c r="O8" s="141"/>
    </row>
    <row r="9" spans="1:15" ht="14.25">
      <c r="A9" s="10"/>
      <c r="B9" s="10" t="s">
        <v>34</v>
      </c>
      <c r="C9" s="27" t="s">
        <v>35</v>
      </c>
      <c r="D9" s="14" t="s">
        <v>469</v>
      </c>
      <c r="E9" s="14"/>
      <c r="F9" s="14"/>
      <c r="G9" s="575" t="s">
        <v>489</v>
      </c>
      <c r="H9" s="576"/>
      <c r="I9" s="14" t="s">
        <v>471</v>
      </c>
      <c r="J9" s="14"/>
      <c r="K9" s="157"/>
      <c r="L9" s="157"/>
      <c r="M9" s="141"/>
      <c r="N9" s="141"/>
      <c r="O9" s="141"/>
    </row>
    <row r="10" spans="1:15" ht="14.25">
      <c r="A10" s="10"/>
      <c r="B10" s="10"/>
      <c r="C10" s="9"/>
      <c r="D10" s="14"/>
      <c r="E10" s="14"/>
      <c r="F10" s="14"/>
      <c r="G10" s="575" t="s">
        <v>490</v>
      </c>
      <c r="H10" s="576"/>
      <c r="I10" s="14"/>
      <c r="J10" s="49"/>
      <c r="K10" s="157"/>
      <c r="L10" s="157"/>
      <c r="M10" s="141"/>
      <c r="N10" s="141"/>
      <c r="O10" s="141"/>
    </row>
    <row r="11" spans="1:15" ht="14.25">
      <c r="A11" s="10"/>
      <c r="B11" s="10"/>
      <c r="C11" s="9"/>
      <c r="D11" s="14"/>
      <c r="E11" s="14"/>
      <c r="F11" s="14"/>
      <c r="G11" s="14"/>
      <c r="H11" s="14"/>
      <c r="I11" s="23" t="s">
        <v>491</v>
      </c>
      <c r="J11" s="32"/>
      <c r="K11" s="157"/>
      <c r="L11" s="157"/>
      <c r="M11" s="141"/>
      <c r="N11" s="141"/>
      <c r="O11" s="141"/>
    </row>
    <row r="12" spans="1:15" ht="14.25">
      <c r="A12" s="10"/>
      <c r="B12" s="10"/>
      <c r="C12" s="9"/>
      <c r="D12" s="14"/>
      <c r="E12" s="14"/>
      <c r="F12" s="14"/>
      <c r="G12" s="14"/>
      <c r="H12" s="14"/>
      <c r="I12" s="23" t="s">
        <v>492</v>
      </c>
      <c r="J12" s="116">
        <f>J8</f>
        <v>70</v>
      </c>
      <c r="K12" s="157"/>
      <c r="L12" s="157"/>
      <c r="M12" s="141"/>
      <c r="N12" s="141"/>
      <c r="O12" s="141"/>
    </row>
    <row r="13" spans="1:15" ht="63.75">
      <c r="A13" s="10" t="s">
        <v>493</v>
      </c>
      <c r="B13" s="10" t="s">
        <v>37</v>
      </c>
      <c r="C13" s="27" t="s">
        <v>494</v>
      </c>
      <c r="D13" s="8"/>
      <c r="E13" s="8"/>
      <c r="F13" s="8"/>
      <c r="G13" s="8"/>
      <c r="H13" s="8"/>
      <c r="I13" s="8"/>
      <c r="J13" s="14"/>
      <c r="K13" s="157"/>
      <c r="L13" s="157"/>
      <c r="M13" s="141"/>
      <c r="N13" s="141"/>
      <c r="O13" s="141"/>
    </row>
    <row r="14" spans="1:15" ht="14.25">
      <c r="A14" s="10"/>
      <c r="B14" s="10" t="s">
        <v>38</v>
      </c>
      <c r="C14" s="27" t="s">
        <v>39</v>
      </c>
      <c r="D14" s="8" t="s">
        <v>495</v>
      </c>
      <c r="E14" s="8"/>
      <c r="F14" s="8"/>
      <c r="G14" s="8"/>
      <c r="H14" s="8"/>
      <c r="I14" s="8"/>
      <c r="J14" s="14"/>
      <c r="K14" s="157"/>
      <c r="L14" s="157"/>
      <c r="M14" s="141"/>
      <c r="N14" s="141"/>
      <c r="O14" s="141"/>
    </row>
    <row r="15" spans="1:15" ht="14.25">
      <c r="A15" s="10"/>
      <c r="B15" s="10"/>
      <c r="C15" s="26" t="s">
        <v>491</v>
      </c>
      <c r="D15" s="8" t="s">
        <v>495</v>
      </c>
      <c r="E15" s="8"/>
      <c r="F15" s="131">
        <v>32</v>
      </c>
      <c r="G15" s="131">
        <v>2.5</v>
      </c>
      <c r="H15" s="14">
        <v>2.5</v>
      </c>
      <c r="I15" s="14">
        <v>2.9</v>
      </c>
      <c r="J15" s="14">
        <f>F15*G15*H15*I15</f>
        <v>580</v>
      </c>
      <c r="K15" s="157"/>
      <c r="L15" s="157"/>
      <c r="M15" s="141"/>
      <c r="N15" s="141"/>
      <c r="O15" s="141"/>
    </row>
    <row r="16" spans="1:15" ht="14.25">
      <c r="A16" s="10"/>
      <c r="B16" s="10"/>
      <c r="C16" s="26"/>
      <c r="D16" s="8"/>
      <c r="E16" s="8"/>
      <c r="F16" s="120"/>
      <c r="G16" s="120"/>
      <c r="H16" s="14"/>
      <c r="I16" s="14"/>
      <c r="J16" s="14"/>
      <c r="K16" s="157"/>
      <c r="L16" s="157"/>
      <c r="M16" s="141"/>
      <c r="N16" s="141"/>
      <c r="O16" s="141"/>
    </row>
    <row r="17" spans="1:15" ht="89.25">
      <c r="A17" s="10" t="s">
        <v>496</v>
      </c>
      <c r="B17" s="10" t="s">
        <v>41</v>
      </c>
      <c r="C17" s="27" t="s">
        <v>497</v>
      </c>
      <c r="D17" s="8"/>
      <c r="E17" s="8"/>
      <c r="F17" s="120"/>
      <c r="G17" s="120"/>
      <c r="H17" s="14"/>
      <c r="I17" s="14"/>
      <c r="J17" s="14"/>
      <c r="K17" s="157"/>
      <c r="L17" s="157"/>
      <c r="M17" s="141"/>
      <c r="N17" s="141"/>
      <c r="O17" s="141"/>
    </row>
    <row r="18" spans="1:15" ht="14.25">
      <c r="A18" s="10"/>
      <c r="B18" s="10" t="s">
        <v>42</v>
      </c>
      <c r="C18" s="26" t="s">
        <v>498</v>
      </c>
      <c r="D18" s="8"/>
      <c r="E18" s="8"/>
      <c r="F18" s="120"/>
      <c r="G18" s="120"/>
      <c r="H18" s="14"/>
      <c r="I18" s="14"/>
      <c r="J18" s="14"/>
      <c r="K18" s="157"/>
      <c r="L18" s="157"/>
      <c r="M18" s="141"/>
      <c r="N18" s="141"/>
      <c r="O18" s="141"/>
    </row>
    <row r="19" spans="1:15" ht="14.25">
      <c r="A19" s="10"/>
      <c r="B19" s="10"/>
      <c r="C19" s="26"/>
      <c r="D19" s="8"/>
      <c r="E19" s="8"/>
      <c r="F19" s="120"/>
      <c r="G19" s="120"/>
      <c r="H19" s="14"/>
      <c r="I19" s="14"/>
      <c r="J19" s="14"/>
      <c r="K19" s="157"/>
      <c r="L19" s="157"/>
      <c r="M19" s="141"/>
      <c r="N19" s="141"/>
      <c r="O19" s="141"/>
    </row>
    <row r="20" spans="1:15" ht="14.25">
      <c r="A20" s="10"/>
      <c r="B20" s="10"/>
      <c r="C20" s="26"/>
      <c r="D20" s="8"/>
      <c r="E20" s="8"/>
      <c r="F20" s="120"/>
      <c r="G20" s="120"/>
      <c r="H20" s="14"/>
      <c r="I20" s="14">
        <v>270</v>
      </c>
      <c r="J20" s="14"/>
      <c r="K20" s="157"/>
      <c r="L20" s="157"/>
      <c r="M20" s="141"/>
      <c r="N20" s="141"/>
      <c r="O20" s="141"/>
    </row>
    <row r="21" spans="1:15" ht="14.25">
      <c r="A21" s="10"/>
      <c r="B21" s="10"/>
      <c r="C21" s="26"/>
      <c r="D21" s="8"/>
      <c r="E21" s="8"/>
      <c r="F21" s="120"/>
      <c r="G21" s="120"/>
      <c r="H21" s="14"/>
      <c r="I21" s="14"/>
      <c r="J21" s="14"/>
      <c r="K21" s="157"/>
      <c r="L21" s="157"/>
      <c r="M21" s="141"/>
      <c r="N21" s="141"/>
      <c r="O21" s="141"/>
    </row>
    <row r="22" spans="1:15" ht="14.25">
      <c r="A22" s="10"/>
      <c r="B22" s="10"/>
      <c r="C22" s="66" t="s">
        <v>499</v>
      </c>
      <c r="D22" s="8"/>
      <c r="E22" s="8"/>
      <c r="F22" s="8"/>
      <c r="G22" s="111"/>
      <c r="H22" s="111"/>
      <c r="I22" s="111"/>
      <c r="J22" s="14"/>
      <c r="K22" s="157"/>
      <c r="L22" s="157"/>
      <c r="M22" s="141"/>
      <c r="N22" s="141"/>
      <c r="O22" s="141"/>
    </row>
    <row r="23" spans="1:15" ht="14.25">
      <c r="A23" s="10"/>
      <c r="B23" s="10"/>
      <c r="C23" s="26"/>
      <c r="D23" s="8" t="s">
        <v>495</v>
      </c>
      <c r="E23" s="8"/>
      <c r="F23" s="119">
        <v>3</v>
      </c>
      <c r="G23" s="119">
        <v>27.37</v>
      </c>
      <c r="H23" s="14">
        <v>0.5</v>
      </c>
      <c r="I23" s="14">
        <v>0.1</v>
      </c>
      <c r="J23" s="14">
        <f t="shared" ref="J23:J39" si="0">F23*G23*H23*I23</f>
        <v>4.1055000000000001</v>
      </c>
      <c r="K23" s="157"/>
      <c r="L23" s="157"/>
      <c r="M23" s="141"/>
      <c r="N23" s="141"/>
      <c r="O23" s="141"/>
    </row>
    <row r="24" spans="1:15" ht="14.25">
      <c r="A24" s="10"/>
      <c r="B24" s="10"/>
      <c r="C24" s="26"/>
      <c r="D24" s="8" t="s">
        <v>495</v>
      </c>
      <c r="E24" s="8"/>
      <c r="F24" s="119">
        <v>6</v>
      </c>
      <c r="G24" s="119">
        <v>3.7</v>
      </c>
      <c r="H24" s="14">
        <v>0.5</v>
      </c>
      <c r="I24" s="14">
        <v>0.1</v>
      </c>
      <c r="J24" s="14">
        <f t="shared" si="0"/>
        <v>1.1100000000000001</v>
      </c>
      <c r="K24" s="157"/>
      <c r="L24" s="157"/>
      <c r="M24" s="141"/>
      <c r="N24" s="141"/>
      <c r="O24" s="141"/>
    </row>
    <row r="25" spans="1:15" ht="14.25">
      <c r="A25" s="10"/>
      <c r="B25" s="10"/>
      <c r="C25" s="26"/>
      <c r="D25" s="8" t="s">
        <v>495</v>
      </c>
      <c r="E25" s="8"/>
      <c r="F25" s="119">
        <v>2</v>
      </c>
      <c r="G25" s="119">
        <v>11.26</v>
      </c>
      <c r="H25" s="14">
        <v>0.5</v>
      </c>
      <c r="I25" s="14">
        <v>0.1</v>
      </c>
      <c r="J25" s="14">
        <f t="shared" si="0"/>
        <v>1.1260000000000001</v>
      </c>
      <c r="K25" s="157"/>
      <c r="L25" s="157"/>
      <c r="M25" s="141"/>
      <c r="N25" s="141"/>
      <c r="O25" s="141"/>
    </row>
    <row r="26" spans="1:15" ht="14.25">
      <c r="A26" s="10"/>
      <c r="B26" s="10"/>
      <c r="C26" s="26"/>
      <c r="D26" s="8" t="s">
        <v>495</v>
      </c>
      <c r="E26" s="8"/>
      <c r="F26" s="119">
        <v>2</v>
      </c>
      <c r="G26" s="119">
        <v>10.66</v>
      </c>
      <c r="H26" s="14">
        <v>0.5</v>
      </c>
      <c r="I26" s="14">
        <v>0.1</v>
      </c>
      <c r="J26" s="14">
        <f t="shared" si="0"/>
        <v>1.0660000000000001</v>
      </c>
      <c r="K26" s="157"/>
      <c r="L26" s="157"/>
      <c r="M26" s="141"/>
      <c r="N26" s="141"/>
      <c r="O26" s="141"/>
    </row>
    <row r="27" spans="1:15" ht="14.25">
      <c r="A27" s="10"/>
      <c r="B27" s="10"/>
      <c r="C27" s="26"/>
      <c r="D27" s="8" t="s">
        <v>495</v>
      </c>
      <c r="E27" s="8"/>
      <c r="F27" s="119">
        <v>2</v>
      </c>
      <c r="G27" s="119">
        <v>4.43</v>
      </c>
      <c r="H27" s="14">
        <v>0.5</v>
      </c>
      <c r="I27" s="14">
        <v>0.1</v>
      </c>
      <c r="J27" s="14">
        <f t="shared" si="0"/>
        <v>0.443</v>
      </c>
      <c r="K27" s="157"/>
      <c r="L27" s="157"/>
      <c r="M27" s="141"/>
      <c r="N27" s="141"/>
      <c r="O27" s="141"/>
    </row>
    <row r="28" spans="1:15" ht="14.25">
      <c r="A28" s="10"/>
      <c r="B28" s="10"/>
      <c r="C28" s="26"/>
      <c r="D28" s="8" t="s">
        <v>495</v>
      </c>
      <c r="E28" s="8"/>
      <c r="F28" s="119">
        <v>2</v>
      </c>
      <c r="G28" s="119">
        <v>3.83</v>
      </c>
      <c r="H28" s="14">
        <v>0.5</v>
      </c>
      <c r="I28" s="14">
        <v>0.1</v>
      </c>
      <c r="J28" s="14">
        <f t="shared" si="0"/>
        <v>0.38300000000000001</v>
      </c>
      <c r="K28" s="157"/>
      <c r="L28" s="157"/>
      <c r="M28" s="141"/>
      <c r="N28" s="141"/>
      <c r="O28" s="141"/>
    </row>
    <row r="29" spans="1:15" ht="14.25">
      <c r="A29" s="10"/>
      <c r="B29" s="10"/>
      <c r="C29" s="26"/>
      <c r="D29" s="8" t="s">
        <v>495</v>
      </c>
      <c r="E29" s="8"/>
      <c r="F29" s="119">
        <v>2</v>
      </c>
      <c r="G29" s="119">
        <v>1.2</v>
      </c>
      <c r="H29" s="14">
        <v>0.5</v>
      </c>
      <c r="I29" s="14">
        <v>0.1</v>
      </c>
      <c r="J29" s="14">
        <f t="shared" si="0"/>
        <v>0.12</v>
      </c>
      <c r="K29" s="157"/>
      <c r="L29" s="157"/>
      <c r="M29" s="141"/>
      <c r="N29" s="141"/>
      <c r="O29" s="141"/>
    </row>
    <row r="30" spans="1:15" ht="14.25">
      <c r="A30" s="10"/>
      <c r="B30" s="10"/>
      <c r="C30" s="26"/>
      <c r="D30" s="8" t="s">
        <v>495</v>
      </c>
      <c r="E30" s="8"/>
      <c r="F30" s="119">
        <v>2</v>
      </c>
      <c r="G30" s="119">
        <v>8.52</v>
      </c>
      <c r="H30" s="14">
        <v>0.5</v>
      </c>
      <c r="I30" s="14">
        <v>0.1</v>
      </c>
      <c r="J30" s="14">
        <f t="shared" si="0"/>
        <v>0.85199999999999998</v>
      </c>
      <c r="K30" s="157"/>
      <c r="L30" s="157"/>
      <c r="M30" s="141"/>
      <c r="N30" s="141"/>
      <c r="O30" s="141"/>
    </row>
    <row r="31" spans="1:15" ht="14.25">
      <c r="A31" s="10"/>
      <c r="B31" s="10"/>
      <c r="C31" s="26"/>
      <c r="D31" s="8" t="s">
        <v>495</v>
      </c>
      <c r="E31" s="8"/>
      <c r="F31" s="119"/>
      <c r="G31" s="119"/>
      <c r="H31" s="14">
        <v>0.5</v>
      </c>
      <c r="I31" s="14">
        <v>0.1</v>
      </c>
      <c r="J31" s="14">
        <f t="shared" si="0"/>
        <v>0</v>
      </c>
      <c r="K31" s="157"/>
      <c r="L31" s="157"/>
      <c r="M31" s="141"/>
      <c r="N31" s="141"/>
      <c r="O31" s="141"/>
    </row>
    <row r="32" spans="1:15" ht="14.25">
      <c r="A32" s="10"/>
      <c r="B32" s="10"/>
      <c r="C32" s="26"/>
      <c r="D32" s="8" t="s">
        <v>495</v>
      </c>
      <c r="E32" s="8"/>
      <c r="F32" s="119">
        <v>3</v>
      </c>
      <c r="G32" s="119">
        <v>26</v>
      </c>
      <c r="H32" s="14">
        <v>0.5</v>
      </c>
      <c r="I32" s="14">
        <v>0.1</v>
      </c>
      <c r="J32" s="14">
        <f t="shared" si="0"/>
        <v>3.9000000000000004</v>
      </c>
      <c r="K32" s="157"/>
      <c r="L32" s="157"/>
      <c r="M32" s="141"/>
      <c r="N32" s="141"/>
      <c r="O32" s="141"/>
    </row>
    <row r="33" spans="1:15" ht="14.25">
      <c r="A33" s="10"/>
      <c r="B33" s="10"/>
      <c r="C33" s="26"/>
      <c r="D33" s="8" t="s">
        <v>495</v>
      </c>
      <c r="E33" s="8"/>
      <c r="F33" s="119">
        <v>6</v>
      </c>
      <c r="G33" s="119">
        <v>3.7</v>
      </c>
      <c r="H33" s="14">
        <v>0.5</v>
      </c>
      <c r="I33" s="14">
        <v>0.1</v>
      </c>
      <c r="J33" s="14">
        <f t="shared" si="0"/>
        <v>1.1100000000000001</v>
      </c>
      <c r="K33" s="157"/>
      <c r="L33" s="157"/>
      <c r="M33" s="141"/>
      <c r="N33" s="141"/>
      <c r="O33" s="141"/>
    </row>
    <row r="34" spans="1:15" ht="14.25">
      <c r="A34" s="10"/>
      <c r="B34" s="10"/>
      <c r="C34" s="26"/>
      <c r="D34" s="8" t="s">
        <v>495</v>
      </c>
      <c r="E34" s="8"/>
      <c r="F34" s="119">
        <v>2</v>
      </c>
      <c r="G34" s="119">
        <v>11.26</v>
      </c>
      <c r="H34" s="14">
        <v>0.5</v>
      </c>
      <c r="I34" s="14">
        <v>0.1</v>
      </c>
      <c r="J34" s="14">
        <f t="shared" si="0"/>
        <v>1.1260000000000001</v>
      </c>
      <c r="K34" s="157"/>
      <c r="L34" s="157"/>
      <c r="M34" s="141"/>
      <c r="N34" s="141"/>
      <c r="O34" s="141"/>
    </row>
    <row r="35" spans="1:15" ht="14.25">
      <c r="A35" s="10"/>
      <c r="B35" s="10"/>
      <c r="C35" s="26"/>
      <c r="D35" s="8" t="s">
        <v>495</v>
      </c>
      <c r="E35" s="8"/>
      <c r="F35" s="119">
        <v>2</v>
      </c>
      <c r="G35" s="119">
        <v>10.66</v>
      </c>
      <c r="H35" s="14">
        <v>0.5</v>
      </c>
      <c r="I35" s="14">
        <v>0.1</v>
      </c>
      <c r="J35" s="14">
        <f t="shared" si="0"/>
        <v>1.0660000000000001</v>
      </c>
      <c r="K35" s="157"/>
      <c r="L35" s="157"/>
      <c r="M35" s="141"/>
      <c r="N35" s="141"/>
      <c r="O35" s="141"/>
    </row>
    <row r="36" spans="1:15" ht="14.25">
      <c r="A36" s="10"/>
      <c r="B36" s="10"/>
      <c r="C36" s="26"/>
      <c r="D36" s="8" t="s">
        <v>495</v>
      </c>
      <c r="E36" s="8"/>
      <c r="F36" s="119">
        <v>2</v>
      </c>
      <c r="G36" s="119">
        <v>4.43</v>
      </c>
      <c r="H36" s="14">
        <v>0.5</v>
      </c>
      <c r="I36" s="14">
        <v>0.1</v>
      </c>
      <c r="J36" s="14">
        <f t="shared" si="0"/>
        <v>0.443</v>
      </c>
      <c r="K36" s="157"/>
      <c r="L36" s="157"/>
      <c r="M36" s="141"/>
      <c r="N36" s="141"/>
      <c r="O36" s="141"/>
    </row>
    <row r="37" spans="1:15" ht="14.25">
      <c r="A37" s="10"/>
      <c r="B37" s="10"/>
      <c r="C37" s="26"/>
      <c r="D37" s="8" t="s">
        <v>495</v>
      </c>
      <c r="E37" s="8"/>
      <c r="F37" s="119">
        <v>2</v>
      </c>
      <c r="G37" s="119">
        <v>3.83</v>
      </c>
      <c r="H37" s="14">
        <v>0.5</v>
      </c>
      <c r="I37" s="14">
        <v>0.1</v>
      </c>
      <c r="J37" s="14">
        <f t="shared" si="0"/>
        <v>0.38300000000000001</v>
      </c>
      <c r="K37" s="157"/>
      <c r="L37" s="157"/>
      <c r="M37" s="141"/>
      <c r="N37" s="141"/>
      <c r="O37" s="141"/>
    </row>
    <row r="38" spans="1:15" ht="14.25">
      <c r="A38" s="10"/>
      <c r="B38" s="10"/>
      <c r="C38" s="26"/>
      <c r="D38" s="8" t="s">
        <v>495</v>
      </c>
      <c r="E38" s="8"/>
      <c r="F38" s="119">
        <v>2</v>
      </c>
      <c r="G38" s="119">
        <v>1.2</v>
      </c>
      <c r="H38" s="14">
        <v>0.5</v>
      </c>
      <c r="I38" s="14">
        <v>0.1</v>
      </c>
      <c r="J38" s="14">
        <f t="shared" si="0"/>
        <v>0.12</v>
      </c>
      <c r="K38" s="157"/>
      <c r="L38" s="157"/>
      <c r="M38" s="141"/>
      <c r="N38" s="141"/>
      <c r="O38" s="141"/>
    </row>
    <row r="39" spans="1:15" ht="14.25">
      <c r="A39" s="10"/>
      <c r="B39" s="10"/>
      <c r="C39" s="26"/>
      <c r="D39" s="8" t="s">
        <v>495</v>
      </c>
      <c r="E39" s="8"/>
      <c r="F39" s="119">
        <v>2</v>
      </c>
      <c r="G39" s="119">
        <v>8.52</v>
      </c>
      <c r="H39" s="14">
        <v>0.5</v>
      </c>
      <c r="I39" s="14">
        <v>0.1</v>
      </c>
      <c r="J39" s="14">
        <f t="shared" si="0"/>
        <v>0.85199999999999998</v>
      </c>
      <c r="K39" s="157"/>
      <c r="L39" s="157"/>
      <c r="M39" s="141"/>
      <c r="N39" s="141"/>
      <c r="O39" s="141"/>
    </row>
    <row r="40" spans="1:15" ht="14.25">
      <c r="A40" s="10"/>
      <c r="B40" s="10"/>
      <c r="C40" s="26"/>
      <c r="D40" s="8"/>
      <c r="E40" s="8"/>
      <c r="F40" s="120"/>
      <c r="G40" s="120"/>
      <c r="H40" s="14"/>
      <c r="I40" s="14"/>
      <c r="J40" s="14"/>
      <c r="K40" s="157"/>
      <c r="L40" s="157"/>
      <c r="M40" s="141"/>
      <c r="N40" s="141"/>
      <c r="O40" s="141"/>
    </row>
    <row r="41" spans="1:15" ht="14.25">
      <c r="A41" s="10" t="s">
        <v>471</v>
      </c>
      <c r="B41" s="10"/>
      <c r="C41" s="9"/>
      <c r="D41" s="8"/>
      <c r="E41" s="8"/>
      <c r="F41" s="8"/>
      <c r="G41" s="8"/>
      <c r="H41" s="8"/>
      <c r="I41" s="8" t="s">
        <v>491</v>
      </c>
      <c r="J41" s="32">
        <f>SUM(J23:J40)</f>
        <v>18.205500000000001</v>
      </c>
      <c r="K41" s="157"/>
      <c r="L41" s="157"/>
      <c r="M41" s="141"/>
      <c r="N41" s="141"/>
      <c r="O41" s="141"/>
    </row>
    <row r="42" spans="1:15" ht="14.25">
      <c r="A42" s="10"/>
      <c r="B42" s="10"/>
      <c r="C42" s="9"/>
      <c r="D42" s="8"/>
      <c r="E42" s="8"/>
      <c r="F42" s="8"/>
      <c r="G42" s="8"/>
      <c r="H42" s="8"/>
      <c r="I42" s="8" t="s">
        <v>492</v>
      </c>
      <c r="J42" s="32">
        <f>J41</f>
        <v>18.205500000000001</v>
      </c>
      <c r="K42" s="157"/>
      <c r="L42" s="157"/>
      <c r="M42" s="141"/>
      <c r="N42" s="141"/>
      <c r="O42" s="141"/>
    </row>
    <row r="43" spans="1:15" ht="14.25">
      <c r="A43" s="10"/>
      <c r="B43" s="10"/>
      <c r="C43" s="9"/>
      <c r="D43" s="8"/>
      <c r="E43" s="8"/>
      <c r="F43" s="8"/>
      <c r="G43" s="8"/>
      <c r="H43" s="8"/>
      <c r="I43" s="8"/>
      <c r="J43" s="32"/>
      <c r="K43" s="157"/>
      <c r="L43" s="157"/>
      <c r="M43" s="141"/>
      <c r="N43" s="141"/>
      <c r="O43" s="141"/>
    </row>
    <row r="44" spans="1:15" ht="51">
      <c r="A44" s="10" t="s">
        <v>500</v>
      </c>
      <c r="B44" s="10"/>
      <c r="C44" s="9" t="s">
        <v>501</v>
      </c>
      <c r="D44" s="18" t="s">
        <v>495</v>
      </c>
      <c r="E44" s="18"/>
      <c r="F44" s="131">
        <v>32</v>
      </c>
      <c r="G44" s="131">
        <v>2.5</v>
      </c>
      <c r="H44" s="22">
        <v>2.5</v>
      </c>
      <c r="I44" s="22">
        <v>1</v>
      </c>
      <c r="J44" s="22">
        <f>F44*G44*H44*I44</f>
        <v>200</v>
      </c>
      <c r="K44" s="157"/>
      <c r="L44" s="157"/>
      <c r="M44" s="141"/>
      <c r="N44" s="141"/>
      <c r="O44" s="141"/>
    </row>
    <row r="45" spans="1:15" ht="14.25">
      <c r="A45" s="10"/>
      <c r="B45" s="10"/>
      <c r="C45" s="9"/>
      <c r="D45" s="8"/>
      <c r="E45" s="8"/>
      <c r="F45" s="8"/>
      <c r="G45" s="8"/>
      <c r="H45" s="8"/>
      <c r="I45" s="8"/>
      <c r="J45" s="32"/>
      <c r="K45" s="157"/>
      <c r="L45" s="157"/>
      <c r="M45" s="141"/>
      <c r="N45" s="141"/>
      <c r="O45" s="141"/>
    </row>
    <row r="46" spans="1:15" ht="114.75">
      <c r="A46" s="10" t="s">
        <v>43</v>
      </c>
      <c r="B46" s="10" t="s">
        <v>44</v>
      </c>
      <c r="C46" s="27" t="s">
        <v>45</v>
      </c>
      <c r="D46" s="8"/>
      <c r="E46" s="8"/>
      <c r="F46" s="8"/>
      <c r="G46" s="8"/>
      <c r="H46" s="8"/>
      <c r="I46" s="8"/>
      <c r="J46" s="62"/>
      <c r="K46" s="157"/>
      <c r="L46" s="157"/>
      <c r="M46" s="141"/>
      <c r="N46" s="141"/>
      <c r="O46" s="141"/>
    </row>
    <row r="47" spans="1:15" ht="14.25">
      <c r="A47" s="10"/>
      <c r="B47" s="10" t="s">
        <v>502</v>
      </c>
      <c r="C47" s="27" t="s">
        <v>498</v>
      </c>
      <c r="D47" s="8"/>
      <c r="E47" s="8"/>
      <c r="F47" s="8"/>
      <c r="G47" s="8"/>
      <c r="H47" s="8"/>
      <c r="I47" s="8"/>
      <c r="J47" s="62"/>
      <c r="K47" s="157"/>
      <c r="L47" s="157"/>
      <c r="M47" s="141"/>
      <c r="N47" s="141"/>
      <c r="O47" s="141"/>
    </row>
    <row r="48" spans="1:15" ht="25.5">
      <c r="A48" s="10" t="s">
        <v>471</v>
      </c>
      <c r="B48" s="10" t="s">
        <v>46</v>
      </c>
      <c r="C48" s="27" t="s">
        <v>47</v>
      </c>
      <c r="D48" s="8" t="s">
        <v>503</v>
      </c>
      <c r="E48" s="8">
        <v>2</v>
      </c>
      <c r="F48" s="8">
        <v>50</v>
      </c>
      <c r="G48" s="8">
        <v>1</v>
      </c>
      <c r="H48" s="8" t="s">
        <v>471</v>
      </c>
      <c r="I48" s="8" t="s">
        <v>471</v>
      </c>
      <c r="J48" s="23">
        <f>F48*G48</f>
        <v>50</v>
      </c>
      <c r="K48" s="157"/>
      <c r="L48" s="157"/>
      <c r="M48" s="141"/>
      <c r="N48" s="141"/>
      <c r="O48" s="141"/>
    </row>
    <row r="49" spans="1:15" ht="14.25">
      <c r="A49" s="10"/>
      <c r="B49" s="10"/>
      <c r="C49" s="9"/>
      <c r="D49" s="8"/>
      <c r="E49" s="8"/>
      <c r="F49" s="8"/>
      <c r="G49" s="8"/>
      <c r="H49" s="8"/>
      <c r="I49" s="8"/>
      <c r="J49" s="14"/>
      <c r="K49" s="157"/>
      <c r="L49" s="157"/>
      <c r="M49" s="141"/>
      <c r="N49" s="141"/>
      <c r="O49" s="141"/>
    </row>
    <row r="50" spans="1:15" ht="63.75">
      <c r="A50" s="10" t="s">
        <v>48</v>
      </c>
      <c r="B50" s="10" t="s">
        <v>49</v>
      </c>
      <c r="C50" s="27" t="s">
        <v>50</v>
      </c>
      <c r="D50" s="18" t="s">
        <v>504</v>
      </c>
      <c r="E50" s="18"/>
      <c r="F50" s="8"/>
      <c r="G50" s="8"/>
      <c r="H50" s="8"/>
      <c r="I50" s="8"/>
      <c r="J50" s="23" t="s">
        <v>471</v>
      </c>
      <c r="K50" s="157"/>
      <c r="L50" s="157"/>
      <c r="M50" s="141"/>
      <c r="N50" s="141"/>
      <c r="O50" s="141"/>
    </row>
    <row r="51" spans="1:15" ht="14.25">
      <c r="A51" s="10"/>
      <c r="B51" s="10"/>
      <c r="C51" s="26" t="s">
        <v>505</v>
      </c>
      <c r="D51" s="18" t="s">
        <v>504</v>
      </c>
      <c r="E51" s="18"/>
      <c r="F51" s="8"/>
      <c r="G51" s="8"/>
      <c r="H51" s="8"/>
      <c r="I51" s="14" t="s">
        <v>471</v>
      </c>
      <c r="J51" s="83">
        <f>J15+J42+J44</f>
        <v>798.20550000000003</v>
      </c>
      <c r="K51" s="157"/>
      <c r="L51" s="157"/>
      <c r="M51" s="141"/>
      <c r="N51" s="141"/>
      <c r="O51" s="141"/>
    </row>
    <row r="52" spans="1:15" ht="14.25">
      <c r="A52" s="10"/>
      <c r="B52" s="10"/>
      <c r="C52" s="26" t="s">
        <v>506</v>
      </c>
      <c r="D52" s="18" t="s">
        <v>504</v>
      </c>
      <c r="E52" s="18"/>
      <c r="F52" s="8"/>
      <c r="G52" s="8"/>
      <c r="H52" s="8"/>
      <c r="I52" s="14"/>
      <c r="J52" s="83">
        <f>-J92</f>
        <v>-36.634499999999996</v>
      </c>
      <c r="K52" s="157"/>
      <c r="L52" s="157"/>
      <c r="M52" s="141"/>
      <c r="N52" s="141"/>
      <c r="O52" s="141"/>
    </row>
    <row r="53" spans="1:15" ht="14.25">
      <c r="A53" s="10"/>
      <c r="B53" s="10"/>
      <c r="C53" s="26" t="s">
        <v>507</v>
      </c>
      <c r="D53" s="18" t="s">
        <v>504</v>
      </c>
      <c r="E53" s="18"/>
      <c r="F53" s="8"/>
      <c r="G53" s="8"/>
      <c r="H53" s="8"/>
      <c r="I53" s="14"/>
      <c r="J53" s="83">
        <f>-J299</f>
        <v>-110.592</v>
      </c>
      <c r="K53" s="157"/>
      <c r="L53" s="157"/>
      <c r="M53" s="141"/>
      <c r="N53" s="141"/>
      <c r="O53" s="141"/>
    </row>
    <row r="54" spans="1:15" ht="14.25">
      <c r="A54" s="10"/>
      <c r="B54" s="10"/>
      <c r="C54" s="26" t="s">
        <v>508</v>
      </c>
      <c r="D54" s="18" t="s">
        <v>504</v>
      </c>
      <c r="E54" s="18"/>
      <c r="F54" s="8"/>
      <c r="G54" s="8"/>
      <c r="H54" s="8"/>
      <c r="I54" s="14"/>
      <c r="J54" s="83">
        <f>-J330</f>
        <v>-12.585600000000001</v>
      </c>
      <c r="K54" s="157"/>
      <c r="L54" s="157"/>
      <c r="M54" s="141"/>
      <c r="N54" s="141"/>
      <c r="O54" s="141"/>
    </row>
    <row r="55" spans="1:15" ht="14.25">
      <c r="A55" s="10"/>
      <c r="B55" s="10"/>
      <c r="C55" s="26" t="s">
        <v>509</v>
      </c>
      <c r="D55" s="18" t="s">
        <v>504</v>
      </c>
      <c r="E55" s="18"/>
      <c r="F55" s="8"/>
      <c r="G55" s="8"/>
      <c r="H55" s="8"/>
      <c r="I55" s="14"/>
      <c r="J55" s="83">
        <v>0</v>
      </c>
      <c r="K55" s="157"/>
      <c r="L55" s="157"/>
      <c r="M55" s="141"/>
      <c r="N55" s="141"/>
      <c r="O55" s="141"/>
    </row>
    <row r="56" spans="1:15" ht="14.25">
      <c r="A56" s="10" t="s">
        <v>471</v>
      </c>
      <c r="B56" s="10"/>
      <c r="C56" s="9"/>
      <c r="D56" s="8"/>
      <c r="E56" s="8"/>
      <c r="F56" s="8"/>
      <c r="G56" s="8"/>
      <c r="H56" s="8"/>
      <c r="I56" s="23" t="s">
        <v>491</v>
      </c>
      <c r="J56" s="32">
        <f>SUM(J51:J55)</f>
        <v>638.39340000000004</v>
      </c>
      <c r="K56" s="157"/>
      <c r="L56" s="157"/>
      <c r="M56" s="141"/>
      <c r="N56" s="141"/>
      <c r="O56" s="141"/>
    </row>
    <row r="57" spans="1:15" ht="14.25">
      <c r="A57" s="10"/>
      <c r="B57" s="10"/>
      <c r="C57" s="9"/>
      <c r="D57" s="8"/>
      <c r="E57" s="8"/>
      <c r="F57" s="8"/>
      <c r="G57" s="8"/>
      <c r="H57" s="8"/>
      <c r="I57" s="24" t="s">
        <v>492</v>
      </c>
      <c r="J57" s="23">
        <f>J56</f>
        <v>638.39340000000004</v>
      </c>
      <c r="K57" s="157"/>
      <c r="L57" s="157"/>
      <c r="M57" s="141"/>
      <c r="N57" s="141"/>
      <c r="O57" s="141"/>
    </row>
    <row r="58" spans="1:15" ht="25.5">
      <c r="A58" s="10" t="s">
        <v>117</v>
      </c>
      <c r="B58" s="10" t="s">
        <v>510</v>
      </c>
      <c r="C58" s="27" t="s">
        <v>52</v>
      </c>
      <c r="D58" s="9"/>
      <c r="E58" s="9"/>
      <c r="F58" s="9"/>
      <c r="G58" s="9"/>
      <c r="H58" s="9"/>
      <c r="I58" s="9"/>
      <c r="J58" s="137"/>
      <c r="K58" s="157"/>
      <c r="L58" s="157"/>
      <c r="M58" s="141"/>
      <c r="N58" s="141"/>
      <c r="O58" s="141"/>
    </row>
    <row r="59" spans="1:15" ht="14.25">
      <c r="A59" s="10"/>
      <c r="B59" s="10" t="s">
        <v>53</v>
      </c>
      <c r="C59" s="27" t="s">
        <v>54</v>
      </c>
      <c r="D59" s="8" t="s">
        <v>504</v>
      </c>
      <c r="E59" s="8"/>
      <c r="F59" s="8"/>
      <c r="G59" s="8"/>
      <c r="H59" s="8"/>
      <c r="I59" s="8"/>
      <c r="J59" s="14" t="s">
        <v>471</v>
      </c>
      <c r="K59" s="157"/>
      <c r="L59" s="157"/>
      <c r="M59" s="141"/>
      <c r="N59" s="141"/>
      <c r="O59" s="141"/>
    </row>
    <row r="60" spans="1:15" ht="14.25">
      <c r="A60" s="10"/>
      <c r="B60" s="10"/>
      <c r="C60" s="9"/>
      <c r="D60" s="8"/>
      <c r="E60" s="8"/>
      <c r="F60" s="8"/>
      <c r="G60" s="8"/>
      <c r="H60" s="8"/>
      <c r="I60" s="23" t="s">
        <v>491</v>
      </c>
      <c r="J60" s="32"/>
      <c r="K60" s="157"/>
      <c r="L60" s="157"/>
      <c r="M60" s="141"/>
      <c r="N60" s="141"/>
      <c r="O60" s="141"/>
    </row>
    <row r="61" spans="1:15" ht="14.25">
      <c r="A61" s="10"/>
      <c r="B61" s="10"/>
      <c r="C61" s="9"/>
      <c r="D61" s="8"/>
      <c r="E61" s="8"/>
      <c r="F61" s="8"/>
      <c r="G61" s="8"/>
      <c r="H61" s="8"/>
      <c r="I61" s="24" t="s">
        <v>492</v>
      </c>
      <c r="J61" s="32">
        <v>50</v>
      </c>
      <c r="K61" s="157"/>
      <c r="L61" s="157"/>
      <c r="M61" s="141"/>
      <c r="N61" s="141"/>
      <c r="O61" s="141"/>
    </row>
    <row r="62" spans="1:15" ht="38.25">
      <c r="A62" s="10" t="s">
        <v>511</v>
      </c>
      <c r="B62" s="10" t="s">
        <v>56</v>
      </c>
      <c r="C62" s="9" t="s">
        <v>57</v>
      </c>
      <c r="D62" s="8" t="s">
        <v>504</v>
      </c>
      <c r="E62" s="8"/>
      <c r="F62" s="8"/>
      <c r="G62" s="8"/>
      <c r="H62" s="8"/>
      <c r="I62" s="24"/>
      <c r="J62" s="32"/>
      <c r="K62" s="157"/>
      <c r="L62" s="157"/>
      <c r="M62" s="141"/>
      <c r="N62" s="141"/>
      <c r="O62" s="141"/>
    </row>
    <row r="63" spans="1:15" ht="14.25">
      <c r="A63" s="10"/>
      <c r="B63" s="10"/>
      <c r="C63" s="9" t="s">
        <v>512</v>
      </c>
      <c r="D63" s="8"/>
      <c r="E63" s="8">
        <v>276</v>
      </c>
      <c r="F63" s="8"/>
      <c r="G63" s="8">
        <v>0.3</v>
      </c>
      <c r="H63" s="8"/>
      <c r="I63" s="24"/>
      <c r="J63" s="32">
        <f>G63*E63</f>
        <v>82.8</v>
      </c>
      <c r="K63" s="157"/>
      <c r="L63" s="157"/>
      <c r="M63" s="141"/>
      <c r="N63" s="141"/>
      <c r="O63" s="141"/>
    </row>
    <row r="64" spans="1:15" ht="14.25">
      <c r="A64" s="10"/>
      <c r="B64" s="10"/>
      <c r="C64" s="9"/>
      <c r="D64" s="8"/>
      <c r="E64" s="8"/>
      <c r="F64" s="8"/>
      <c r="G64" s="8"/>
      <c r="H64" s="8"/>
      <c r="I64" s="24" t="s">
        <v>491</v>
      </c>
      <c r="J64" s="32">
        <f>J63</f>
        <v>82.8</v>
      </c>
      <c r="K64" s="157"/>
      <c r="L64" s="157"/>
      <c r="M64" s="141"/>
      <c r="N64" s="141"/>
      <c r="O64" s="141"/>
    </row>
    <row r="65" spans="1:15" ht="14.25">
      <c r="A65" s="10"/>
      <c r="B65" s="10"/>
      <c r="C65" s="9"/>
      <c r="D65" s="8"/>
      <c r="E65" s="8"/>
      <c r="F65" s="8"/>
      <c r="G65" s="8"/>
      <c r="H65" s="8"/>
      <c r="I65" s="24"/>
      <c r="J65" s="32"/>
      <c r="K65" s="157"/>
      <c r="L65" s="157"/>
      <c r="M65" s="141"/>
      <c r="N65" s="141"/>
      <c r="O65" s="141"/>
    </row>
    <row r="66" spans="1:15" ht="14.25">
      <c r="A66" s="10" t="s">
        <v>55</v>
      </c>
      <c r="B66" s="10"/>
      <c r="C66" s="27"/>
      <c r="D66" s="9"/>
      <c r="E66" s="9"/>
      <c r="F66" s="8"/>
      <c r="G66" s="8"/>
      <c r="H66" s="8"/>
      <c r="I66" s="8"/>
      <c r="J66" s="32"/>
      <c r="K66" s="157"/>
      <c r="L66" s="157"/>
      <c r="M66" s="141"/>
      <c r="N66" s="141"/>
      <c r="O66" s="141"/>
    </row>
    <row r="67" spans="1:15" ht="14.25">
      <c r="A67" s="10"/>
      <c r="B67" s="10"/>
      <c r="C67" s="27"/>
      <c r="D67" s="8"/>
      <c r="E67" s="8"/>
      <c r="F67" s="8"/>
      <c r="G67" s="14"/>
      <c r="H67" s="8"/>
      <c r="I67" s="8"/>
      <c r="J67" s="23"/>
      <c r="K67" s="157"/>
      <c r="L67" s="157"/>
      <c r="M67" s="141"/>
      <c r="N67" s="141"/>
      <c r="O67" s="141"/>
    </row>
    <row r="68" spans="1:15" ht="14.25">
      <c r="A68" s="10"/>
      <c r="B68" s="10"/>
      <c r="C68" s="9"/>
      <c r="D68" s="8"/>
      <c r="E68" s="8"/>
      <c r="F68" s="8"/>
      <c r="G68" s="8"/>
      <c r="H68" s="8"/>
      <c r="I68" s="24"/>
      <c r="J68" s="32"/>
      <c r="K68" s="157"/>
      <c r="L68" s="157"/>
      <c r="M68" s="141"/>
      <c r="N68" s="141"/>
      <c r="O68" s="141"/>
    </row>
    <row r="69" spans="1:15" ht="14.25">
      <c r="A69" s="10"/>
      <c r="B69" s="10"/>
      <c r="C69" s="9"/>
      <c r="D69" s="8"/>
      <c r="E69" s="8"/>
      <c r="F69" s="8"/>
      <c r="G69" s="8"/>
      <c r="H69" s="8"/>
      <c r="I69" s="8"/>
      <c r="J69" s="32"/>
      <c r="K69" s="157"/>
      <c r="L69" s="157"/>
      <c r="M69" s="141"/>
      <c r="N69" s="141"/>
      <c r="O69" s="141"/>
    </row>
    <row r="70" spans="1:15" ht="38.25">
      <c r="A70" s="10" t="s">
        <v>58</v>
      </c>
      <c r="B70" s="10" t="s">
        <v>59</v>
      </c>
      <c r="C70" s="27" t="s">
        <v>60</v>
      </c>
      <c r="D70" s="8"/>
      <c r="E70" s="8"/>
      <c r="F70" s="8"/>
      <c r="G70" s="8"/>
      <c r="H70" s="8"/>
      <c r="I70" s="8"/>
      <c r="J70" s="14"/>
      <c r="K70" s="157"/>
      <c r="L70" s="157"/>
      <c r="M70" s="141"/>
      <c r="N70" s="141"/>
      <c r="O70" s="141"/>
    </row>
    <row r="71" spans="1:15" ht="25.5">
      <c r="A71" s="10" t="s">
        <v>84</v>
      </c>
      <c r="B71" s="10" t="s">
        <v>61</v>
      </c>
      <c r="C71" s="27" t="s">
        <v>513</v>
      </c>
      <c r="D71" s="8" t="s">
        <v>504</v>
      </c>
      <c r="E71" s="8"/>
      <c r="F71" s="8"/>
      <c r="G71" s="8"/>
      <c r="H71" s="8"/>
      <c r="I71" s="8"/>
      <c r="J71" s="14" t="s">
        <v>471</v>
      </c>
      <c r="K71" s="157"/>
      <c r="L71" s="157"/>
      <c r="M71" s="141"/>
      <c r="N71" s="141"/>
      <c r="O71" s="141"/>
    </row>
    <row r="72" spans="1:15" ht="14.25">
      <c r="A72" s="10"/>
      <c r="B72" s="10"/>
      <c r="C72" s="113" t="s">
        <v>514</v>
      </c>
      <c r="D72" s="8" t="s">
        <v>504</v>
      </c>
      <c r="E72" s="8"/>
      <c r="F72" s="8">
        <v>32</v>
      </c>
      <c r="G72" s="8">
        <v>2.4</v>
      </c>
      <c r="H72" s="8">
        <v>2.4</v>
      </c>
      <c r="I72" s="8">
        <v>0.1</v>
      </c>
      <c r="J72" s="14">
        <f>I72*H72*G72*F72</f>
        <v>18.431999999999999</v>
      </c>
      <c r="K72" s="157"/>
      <c r="L72" s="157"/>
      <c r="M72" s="141"/>
      <c r="N72" s="141"/>
      <c r="O72" s="141"/>
    </row>
    <row r="73" spans="1:15" ht="14.25">
      <c r="A73" s="10"/>
      <c r="B73" s="10"/>
      <c r="C73" s="66" t="s">
        <v>499</v>
      </c>
      <c r="D73" s="8"/>
      <c r="E73" s="8"/>
      <c r="F73" s="8"/>
      <c r="G73" s="111"/>
      <c r="H73" s="111"/>
      <c r="I73" s="111"/>
      <c r="J73" s="14"/>
      <c r="K73" s="157"/>
      <c r="L73" s="157"/>
      <c r="M73" s="141"/>
      <c r="N73" s="141"/>
      <c r="O73" s="141"/>
    </row>
    <row r="74" spans="1:15" ht="14.25">
      <c r="A74" s="10"/>
      <c r="B74" s="10"/>
      <c r="C74" s="26"/>
      <c r="D74" s="8" t="s">
        <v>495</v>
      </c>
      <c r="E74" s="8"/>
      <c r="F74" s="119">
        <v>3</v>
      </c>
      <c r="G74" s="119">
        <v>27.35</v>
      </c>
      <c r="H74" s="14">
        <v>0.5</v>
      </c>
      <c r="I74" s="14">
        <v>0.1</v>
      </c>
      <c r="J74" s="14">
        <f t="shared" ref="J74:J90" si="1">F74*G74*H74*I74</f>
        <v>4.1025000000000009</v>
      </c>
      <c r="K74" s="157"/>
      <c r="L74" s="157">
        <f t="shared" ref="L74:L90" si="2">F74*G74</f>
        <v>82.050000000000011</v>
      </c>
      <c r="M74" s="141"/>
      <c r="N74" s="141"/>
      <c r="O74" s="141"/>
    </row>
    <row r="75" spans="1:15" ht="14.25">
      <c r="A75" s="10"/>
      <c r="B75" s="10"/>
      <c r="C75" s="26"/>
      <c r="D75" s="8" t="s">
        <v>495</v>
      </c>
      <c r="E75" s="8"/>
      <c r="F75" s="119">
        <v>6</v>
      </c>
      <c r="G75" s="119">
        <v>3.7</v>
      </c>
      <c r="H75" s="14">
        <v>0.5</v>
      </c>
      <c r="I75" s="14">
        <v>0.1</v>
      </c>
      <c r="J75" s="14">
        <f t="shared" si="1"/>
        <v>1.1100000000000001</v>
      </c>
      <c r="K75" s="157"/>
      <c r="L75" s="157">
        <f t="shared" si="2"/>
        <v>22.200000000000003</v>
      </c>
      <c r="M75" s="141"/>
      <c r="N75" s="141"/>
      <c r="O75" s="141"/>
    </row>
    <row r="76" spans="1:15" ht="14.25">
      <c r="A76" s="10"/>
      <c r="B76" s="10"/>
      <c r="C76" s="26"/>
      <c r="D76" s="8" t="s">
        <v>495</v>
      </c>
      <c r="E76" s="8"/>
      <c r="F76" s="119">
        <v>2</v>
      </c>
      <c r="G76" s="119">
        <v>11.26</v>
      </c>
      <c r="H76" s="14">
        <v>0.5</v>
      </c>
      <c r="I76" s="14">
        <v>0.1</v>
      </c>
      <c r="J76" s="14">
        <f t="shared" si="1"/>
        <v>1.1260000000000001</v>
      </c>
      <c r="K76" s="157"/>
      <c r="L76" s="157">
        <f t="shared" si="2"/>
        <v>22.52</v>
      </c>
      <c r="M76" s="141"/>
      <c r="N76" s="141"/>
      <c r="O76" s="141"/>
    </row>
    <row r="77" spans="1:15" ht="14.25">
      <c r="A77" s="10"/>
      <c r="B77" s="10"/>
      <c r="C77" s="26"/>
      <c r="D77" s="8" t="s">
        <v>495</v>
      </c>
      <c r="E77" s="8"/>
      <c r="F77" s="119">
        <v>2</v>
      </c>
      <c r="G77" s="119">
        <v>10.66</v>
      </c>
      <c r="H77" s="14">
        <v>0.5</v>
      </c>
      <c r="I77" s="14">
        <v>0.1</v>
      </c>
      <c r="J77" s="14">
        <f t="shared" si="1"/>
        <v>1.0660000000000001</v>
      </c>
      <c r="K77" s="157"/>
      <c r="L77" s="157">
        <f t="shared" si="2"/>
        <v>21.32</v>
      </c>
      <c r="M77" s="141"/>
      <c r="N77" s="141"/>
      <c r="O77" s="141"/>
    </row>
    <row r="78" spans="1:15" ht="14.25">
      <c r="A78" s="10"/>
      <c r="B78" s="10"/>
      <c r="C78" s="26"/>
      <c r="D78" s="8" t="s">
        <v>495</v>
      </c>
      <c r="E78" s="8"/>
      <c r="F78" s="119">
        <v>2</v>
      </c>
      <c r="G78" s="119">
        <v>4.43</v>
      </c>
      <c r="H78" s="14">
        <v>0.5</v>
      </c>
      <c r="I78" s="14">
        <v>0.1</v>
      </c>
      <c r="J78" s="14">
        <f t="shared" si="1"/>
        <v>0.443</v>
      </c>
      <c r="K78" s="157"/>
      <c r="L78" s="157">
        <f t="shared" si="2"/>
        <v>8.86</v>
      </c>
      <c r="M78" s="141"/>
      <c r="N78" s="141"/>
      <c r="O78" s="141"/>
    </row>
    <row r="79" spans="1:15" ht="14.25">
      <c r="A79" s="10"/>
      <c r="B79" s="10"/>
      <c r="C79" s="26"/>
      <c r="D79" s="8" t="s">
        <v>495</v>
      </c>
      <c r="E79" s="8"/>
      <c r="F79" s="119">
        <v>2</v>
      </c>
      <c r="G79" s="119">
        <v>3.83</v>
      </c>
      <c r="H79" s="14">
        <v>0.5</v>
      </c>
      <c r="I79" s="14">
        <v>0.1</v>
      </c>
      <c r="J79" s="14">
        <f t="shared" si="1"/>
        <v>0.38300000000000001</v>
      </c>
      <c r="K79" s="157"/>
      <c r="L79" s="157">
        <f t="shared" si="2"/>
        <v>7.66</v>
      </c>
      <c r="M79" s="141"/>
      <c r="N79" s="141"/>
      <c r="O79" s="141"/>
    </row>
    <row r="80" spans="1:15" ht="14.25">
      <c r="A80" s="10"/>
      <c r="B80" s="10"/>
      <c r="C80" s="26"/>
      <c r="D80" s="8" t="s">
        <v>495</v>
      </c>
      <c r="E80" s="8"/>
      <c r="F80" s="119">
        <v>2</v>
      </c>
      <c r="G80" s="119">
        <v>1.2</v>
      </c>
      <c r="H80" s="14">
        <v>0.5</v>
      </c>
      <c r="I80" s="14">
        <v>0.1</v>
      </c>
      <c r="J80" s="14">
        <f t="shared" si="1"/>
        <v>0.12</v>
      </c>
      <c r="K80" s="157"/>
      <c r="L80" s="157">
        <f t="shared" si="2"/>
        <v>2.4</v>
      </c>
      <c r="M80" s="141"/>
      <c r="N80" s="141"/>
      <c r="O80" s="141"/>
    </row>
    <row r="81" spans="1:15" ht="14.25">
      <c r="A81" s="10"/>
      <c r="B81" s="10"/>
      <c r="C81" s="26"/>
      <c r="D81" s="8" t="s">
        <v>495</v>
      </c>
      <c r="E81" s="8"/>
      <c r="F81" s="119">
        <v>2</v>
      </c>
      <c r="G81" s="119">
        <v>8.52</v>
      </c>
      <c r="H81" s="14">
        <v>0.5</v>
      </c>
      <c r="I81" s="14">
        <v>0.1</v>
      </c>
      <c r="J81" s="14">
        <f t="shared" si="1"/>
        <v>0.85199999999999998</v>
      </c>
      <c r="K81" s="157"/>
      <c r="L81" s="157">
        <f t="shared" si="2"/>
        <v>17.04</v>
      </c>
      <c r="M81" s="141"/>
      <c r="N81" s="141"/>
      <c r="O81" s="141"/>
    </row>
    <row r="82" spans="1:15" ht="14.25">
      <c r="A82" s="10"/>
      <c r="B82" s="10"/>
      <c r="C82" s="26"/>
      <c r="D82" s="8" t="s">
        <v>495</v>
      </c>
      <c r="E82" s="8"/>
      <c r="F82" s="119"/>
      <c r="G82" s="119"/>
      <c r="H82" s="14">
        <v>0.5</v>
      </c>
      <c r="I82" s="14">
        <v>0.1</v>
      </c>
      <c r="J82" s="14">
        <f t="shared" si="1"/>
        <v>0</v>
      </c>
      <c r="K82" s="157"/>
      <c r="L82" s="157">
        <f t="shared" si="2"/>
        <v>0</v>
      </c>
      <c r="M82" s="141"/>
      <c r="N82" s="141"/>
      <c r="O82" s="141"/>
    </row>
    <row r="83" spans="1:15" ht="14.25">
      <c r="A83" s="10"/>
      <c r="B83" s="10"/>
      <c r="C83" s="26"/>
      <c r="D83" s="8" t="s">
        <v>495</v>
      </c>
      <c r="E83" s="8"/>
      <c r="F83" s="119">
        <v>3</v>
      </c>
      <c r="G83" s="119">
        <v>26</v>
      </c>
      <c r="H83" s="14">
        <v>0.5</v>
      </c>
      <c r="I83" s="14">
        <v>0.1</v>
      </c>
      <c r="J83" s="14">
        <f t="shared" si="1"/>
        <v>3.9000000000000004</v>
      </c>
      <c r="K83" s="157"/>
      <c r="L83" s="157">
        <f t="shared" si="2"/>
        <v>78</v>
      </c>
      <c r="M83" s="141"/>
      <c r="N83" s="141"/>
      <c r="O83" s="141"/>
    </row>
    <row r="84" spans="1:15" ht="14.25">
      <c r="A84" s="10"/>
      <c r="B84" s="10"/>
      <c r="C84" s="26"/>
      <c r="D84" s="8" t="s">
        <v>495</v>
      </c>
      <c r="E84" s="8"/>
      <c r="F84" s="119">
        <v>6</v>
      </c>
      <c r="G84" s="119">
        <v>3.7</v>
      </c>
      <c r="H84" s="14">
        <v>0.5</v>
      </c>
      <c r="I84" s="14">
        <v>0.1</v>
      </c>
      <c r="J84" s="14">
        <f t="shared" si="1"/>
        <v>1.1100000000000001</v>
      </c>
      <c r="K84" s="157"/>
      <c r="L84" s="157">
        <f t="shared" si="2"/>
        <v>22.200000000000003</v>
      </c>
      <c r="M84" s="141"/>
      <c r="N84" s="141"/>
      <c r="O84" s="141"/>
    </row>
    <row r="85" spans="1:15" ht="14.25">
      <c r="A85" s="10"/>
      <c r="B85" s="10"/>
      <c r="C85" s="26"/>
      <c r="D85" s="8" t="s">
        <v>495</v>
      </c>
      <c r="E85" s="8"/>
      <c r="F85" s="119">
        <v>2</v>
      </c>
      <c r="G85" s="119">
        <v>11.26</v>
      </c>
      <c r="H85" s="14">
        <v>0.5</v>
      </c>
      <c r="I85" s="14">
        <v>0.1</v>
      </c>
      <c r="J85" s="14">
        <f t="shared" si="1"/>
        <v>1.1260000000000001</v>
      </c>
      <c r="K85" s="157"/>
      <c r="L85" s="157">
        <f t="shared" si="2"/>
        <v>22.52</v>
      </c>
      <c r="M85" s="141"/>
      <c r="N85" s="141"/>
      <c r="O85" s="141"/>
    </row>
    <row r="86" spans="1:15" ht="14.25">
      <c r="A86" s="10"/>
      <c r="B86" s="10"/>
      <c r="C86" s="26"/>
      <c r="D86" s="8" t="s">
        <v>495</v>
      </c>
      <c r="E86" s="8"/>
      <c r="F86" s="119">
        <v>2</v>
      </c>
      <c r="G86" s="119">
        <v>10.66</v>
      </c>
      <c r="H86" s="14">
        <v>0.5</v>
      </c>
      <c r="I86" s="14">
        <v>0.1</v>
      </c>
      <c r="J86" s="14">
        <f t="shared" si="1"/>
        <v>1.0660000000000001</v>
      </c>
      <c r="K86" s="157"/>
      <c r="L86" s="157">
        <f t="shared" si="2"/>
        <v>21.32</v>
      </c>
      <c r="M86" s="141"/>
      <c r="N86" s="141"/>
      <c r="O86" s="141"/>
    </row>
    <row r="87" spans="1:15" ht="14.25">
      <c r="A87" s="10"/>
      <c r="B87" s="10"/>
      <c r="C87" s="26"/>
      <c r="D87" s="8" t="s">
        <v>495</v>
      </c>
      <c r="E87" s="8"/>
      <c r="F87" s="119">
        <v>2</v>
      </c>
      <c r="G87" s="119">
        <v>4.43</v>
      </c>
      <c r="H87" s="14">
        <v>0.5</v>
      </c>
      <c r="I87" s="14">
        <v>0.1</v>
      </c>
      <c r="J87" s="14">
        <f t="shared" si="1"/>
        <v>0.443</v>
      </c>
      <c r="K87" s="157"/>
      <c r="L87" s="157">
        <f t="shared" si="2"/>
        <v>8.86</v>
      </c>
      <c r="M87" s="141"/>
      <c r="N87" s="141"/>
      <c r="O87" s="141"/>
    </row>
    <row r="88" spans="1:15" ht="14.25">
      <c r="A88" s="10"/>
      <c r="B88" s="10"/>
      <c r="C88" s="26"/>
      <c r="D88" s="8" t="s">
        <v>495</v>
      </c>
      <c r="E88" s="8"/>
      <c r="F88" s="119">
        <v>2</v>
      </c>
      <c r="G88" s="119">
        <v>3.83</v>
      </c>
      <c r="H88" s="14">
        <v>0.5</v>
      </c>
      <c r="I88" s="14">
        <v>0.1</v>
      </c>
      <c r="J88" s="14">
        <f t="shared" si="1"/>
        <v>0.38300000000000001</v>
      </c>
      <c r="K88" s="157"/>
      <c r="L88" s="157">
        <f t="shared" si="2"/>
        <v>7.66</v>
      </c>
      <c r="M88" s="141"/>
      <c r="N88" s="141"/>
      <c r="O88" s="141"/>
    </row>
    <row r="89" spans="1:15" ht="14.25">
      <c r="A89" s="10"/>
      <c r="B89" s="10"/>
      <c r="C89" s="26"/>
      <c r="D89" s="8" t="s">
        <v>495</v>
      </c>
      <c r="E89" s="8"/>
      <c r="F89" s="119">
        <v>2</v>
      </c>
      <c r="G89" s="119">
        <v>1.2</v>
      </c>
      <c r="H89" s="14">
        <v>0.5</v>
      </c>
      <c r="I89" s="14">
        <v>0.1</v>
      </c>
      <c r="J89" s="14">
        <f t="shared" si="1"/>
        <v>0.12</v>
      </c>
      <c r="K89" s="157"/>
      <c r="L89" s="157">
        <f t="shared" si="2"/>
        <v>2.4</v>
      </c>
      <c r="M89" s="141"/>
      <c r="N89" s="141"/>
      <c r="O89" s="141"/>
    </row>
    <row r="90" spans="1:15" ht="14.25">
      <c r="A90" s="10"/>
      <c r="B90" s="10"/>
      <c r="C90" s="26"/>
      <c r="D90" s="8" t="s">
        <v>495</v>
      </c>
      <c r="E90" s="8"/>
      <c r="F90" s="119">
        <v>2</v>
      </c>
      <c r="G90" s="119">
        <v>8.52</v>
      </c>
      <c r="H90" s="14">
        <v>0.5</v>
      </c>
      <c r="I90" s="14">
        <v>0.1</v>
      </c>
      <c r="J90" s="14">
        <f t="shared" si="1"/>
        <v>0.85199999999999998</v>
      </c>
      <c r="K90" s="157"/>
      <c r="L90" s="157">
        <f t="shared" si="2"/>
        <v>17.04</v>
      </c>
      <c r="M90" s="141"/>
      <c r="N90" s="141"/>
      <c r="O90" s="141"/>
    </row>
    <row r="91" spans="1:15" ht="14.25">
      <c r="A91" s="10"/>
      <c r="B91" s="10"/>
      <c r="C91" s="26"/>
      <c r="D91" s="8"/>
      <c r="E91" s="8"/>
      <c r="F91" s="120"/>
      <c r="G91" s="120"/>
      <c r="H91" s="14"/>
      <c r="I91" s="14"/>
      <c r="J91" s="14"/>
      <c r="K91" s="157"/>
      <c r="L91" s="157"/>
      <c r="M91" s="141"/>
      <c r="N91" s="141"/>
      <c r="O91" s="141"/>
    </row>
    <row r="92" spans="1:15" ht="14.25">
      <c r="A92" s="10"/>
      <c r="B92" s="10"/>
      <c r="C92" s="9"/>
      <c r="D92" s="8"/>
      <c r="E92" s="8"/>
      <c r="F92" s="8"/>
      <c r="G92" s="8"/>
      <c r="H92" s="8"/>
      <c r="I92" s="8" t="s">
        <v>491</v>
      </c>
      <c r="J92" s="32">
        <f>SUM(J72:J91)</f>
        <v>36.634499999999996</v>
      </c>
      <c r="K92" s="157"/>
      <c r="L92" s="157">
        <f>SUM(L74:L90)</f>
        <v>364.04999999999995</v>
      </c>
      <c r="M92" s="141"/>
      <c r="N92" s="141"/>
      <c r="O92" s="141"/>
    </row>
    <row r="93" spans="1:15" ht="14.25">
      <c r="A93" s="10"/>
      <c r="B93" s="10"/>
      <c r="C93" s="9"/>
      <c r="D93" s="8"/>
      <c r="E93" s="8"/>
      <c r="F93" s="8"/>
      <c r="G93" s="8"/>
      <c r="H93" s="8"/>
      <c r="I93" s="8" t="s">
        <v>492</v>
      </c>
      <c r="J93" s="32">
        <f>J92</f>
        <v>36.634499999999996</v>
      </c>
      <c r="K93" s="157"/>
      <c r="L93" s="157"/>
      <c r="M93" s="141"/>
      <c r="N93" s="141"/>
      <c r="O93" s="141"/>
    </row>
    <row r="94" spans="1:15" ht="94.5" customHeight="1">
      <c r="A94" s="10" t="s">
        <v>62</v>
      </c>
      <c r="B94" s="10" t="s">
        <v>63</v>
      </c>
      <c r="C94" s="27" t="s">
        <v>515</v>
      </c>
      <c r="D94" s="92"/>
      <c r="E94" s="92"/>
      <c r="F94" s="92"/>
      <c r="G94" s="92"/>
      <c r="H94" s="92"/>
      <c r="I94" s="92"/>
      <c r="J94" s="115"/>
      <c r="K94" s="157"/>
      <c r="L94" s="157"/>
      <c r="M94" s="141"/>
      <c r="N94" s="141"/>
      <c r="O94" s="141"/>
    </row>
    <row r="95" spans="1:15" ht="25.5">
      <c r="A95" s="10"/>
      <c r="B95" s="10" t="s">
        <v>64</v>
      </c>
      <c r="C95" s="27" t="s">
        <v>65</v>
      </c>
      <c r="D95" s="92" t="s">
        <v>469</v>
      </c>
      <c r="E95" s="92"/>
      <c r="F95" s="92"/>
      <c r="G95" s="92"/>
      <c r="H95" s="92"/>
      <c r="I95" s="92"/>
      <c r="J95" s="114" t="s">
        <v>471</v>
      </c>
      <c r="K95" s="157"/>
      <c r="L95" s="157"/>
      <c r="M95" s="141"/>
      <c r="N95" s="141"/>
      <c r="O95" s="141"/>
    </row>
    <row r="96" spans="1:15" ht="14.25">
      <c r="A96" s="10"/>
      <c r="B96" s="10"/>
      <c r="C96" s="26" t="s">
        <v>516</v>
      </c>
      <c r="D96" s="92"/>
      <c r="E96" s="92"/>
      <c r="F96" s="8">
        <v>1</v>
      </c>
      <c r="G96" s="8">
        <v>88</v>
      </c>
      <c r="H96" s="8">
        <v>0.23</v>
      </c>
      <c r="I96" s="8">
        <v>0.115</v>
      </c>
      <c r="J96" s="14">
        <f>F96*G96*H96*I96</f>
        <v>2.3276000000000003</v>
      </c>
      <c r="K96" s="157"/>
      <c r="L96" s="157"/>
      <c r="M96" s="141"/>
      <c r="N96" s="141"/>
      <c r="O96" s="141"/>
    </row>
    <row r="97" spans="1:15" ht="14.25">
      <c r="A97" s="10"/>
      <c r="B97" s="10"/>
      <c r="C97" s="26"/>
      <c r="D97" s="92"/>
      <c r="E97" s="92"/>
      <c r="F97" s="8">
        <v>1</v>
      </c>
      <c r="G97" s="8">
        <v>88</v>
      </c>
      <c r="H97" s="8">
        <v>0.28000000000000003</v>
      </c>
      <c r="I97" s="8">
        <v>0.115</v>
      </c>
      <c r="J97" s="14">
        <f>F97*G97*H97*I97</f>
        <v>2.8336000000000001</v>
      </c>
      <c r="K97" s="157"/>
      <c r="L97" s="157"/>
      <c r="M97" s="141"/>
      <c r="N97" s="141"/>
      <c r="O97" s="141"/>
    </row>
    <row r="98" spans="1:15" ht="14.25">
      <c r="A98" s="10"/>
      <c r="B98" s="10"/>
      <c r="C98" s="26"/>
      <c r="D98" s="92"/>
      <c r="E98" s="92"/>
      <c r="F98" s="8"/>
      <c r="G98" s="8"/>
      <c r="H98" s="8"/>
      <c r="I98" s="23" t="s">
        <v>491</v>
      </c>
      <c r="J98" s="32">
        <f>SUM(J96:J97)</f>
        <v>5.1612000000000009</v>
      </c>
      <c r="K98" s="157"/>
      <c r="L98" s="157"/>
      <c r="M98" s="141"/>
      <c r="N98" s="141"/>
      <c r="O98" s="141"/>
    </row>
    <row r="99" spans="1:15" ht="14.25">
      <c r="A99" s="10"/>
      <c r="B99" s="10"/>
      <c r="C99" s="26"/>
      <c r="D99" s="92"/>
      <c r="E99" s="92"/>
      <c r="F99" s="8"/>
      <c r="G99" s="8"/>
      <c r="H99" s="8"/>
      <c r="I99" s="23" t="s">
        <v>492</v>
      </c>
      <c r="J99" s="32">
        <v>5</v>
      </c>
      <c r="K99" s="157"/>
      <c r="L99" s="157"/>
      <c r="M99" s="141"/>
      <c r="N99" s="141"/>
      <c r="O99" s="141"/>
    </row>
    <row r="100" spans="1:15" ht="25.5">
      <c r="A100" s="10" t="s">
        <v>66</v>
      </c>
      <c r="B100" s="10" t="s">
        <v>67</v>
      </c>
      <c r="C100" s="27" t="s">
        <v>68</v>
      </c>
      <c r="D100" s="92"/>
      <c r="E100" s="92"/>
      <c r="F100" s="92"/>
      <c r="G100" s="92"/>
      <c r="H100" s="92"/>
      <c r="I100" s="92"/>
      <c r="J100" s="14"/>
      <c r="K100" s="157"/>
      <c r="L100" s="157"/>
      <c r="M100" s="141"/>
      <c r="N100" s="141"/>
      <c r="O100" s="141"/>
    </row>
    <row r="101" spans="1:15" ht="14.25">
      <c r="A101" s="10"/>
      <c r="B101" s="10" t="s">
        <v>70</v>
      </c>
      <c r="C101" s="27" t="s">
        <v>71</v>
      </c>
      <c r="D101" s="92" t="s">
        <v>72</v>
      </c>
      <c r="E101" s="92"/>
      <c r="F101" s="92"/>
      <c r="G101" s="92"/>
      <c r="H101" s="92"/>
      <c r="I101" s="92"/>
      <c r="J101" s="14"/>
      <c r="K101" s="157"/>
      <c r="L101" s="157"/>
      <c r="M101" s="141"/>
      <c r="N101" s="141"/>
      <c r="O101" s="141"/>
    </row>
    <row r="102" spans="1:15" ht="14.25">
      <c r="A102" s="10"/>
      <c r="B102" s="10"/>
      <c r="C102" s="27" t="s">
        <v>517</v>
      </c>
      <c r="D102" s="92"/>
      <c r="E102" s="92"/>
      <c r="F102" s="92">
        <v>32</v>
      </c>
      <c r="G102" s="92">
        <f>2.4+2.4+2.4+2.4</f>
        <v>9.6</v>
      </c>
      <c r="H102" s="92">
        <v>0.15</v>
      </c>
      <c r="I102" s="92">
        <f>H102*G102*F102</f>
        <v>46.08</v>
      </c>
      <c r="J102" s="14">
        <f>I102</f>
        <v>46.08</v>
      </c>
      <c r="K102" s="157"/>
      <c r="L102" s="157"/>
      <c r="M102" s="141"/>
      <c r="N102" s="141"/>
      <c r="O102" s="141"/>
    </row>
    <row r="103" spans="1:15" ht="14.25">
      <c r="A103" s="10"/>
      <c r="B103" s="10"/>
      <c r="C103" s="27"/>
      <c r="D103" s="92"/>
      <c r="E103" s="92"/>
      <c r="F103" s="92"/>
      <c r="G103" s="92"/>
      <c r="H103" s="92"/>
      <c r="I103" s="92"/>
      <c r="J103" s="14"/>
      <c r="K103" s="157"/>
      <c r="L103" s="157"/>
      <c r="M103" s="141"/>
      <c r="N103" s="141"/>
      <c r="O103" s="141"/>
    </row>
    <row r="104" spans="1:15" ht="14.25">
      <c r="A104" s="10"/>
      <c r="B104" s="10"/>
      <c r="C104" s="9"/>
      <c r="D104" s="8"/>
      <c r="E104" s="8"/>
      <c r="F104" s="8"/>
      <c r="G104" s="8"/>
      <c r="H104" s="8"/>
      <c r="I104" s="23" t="s">
        <v>491</v>
      </c>
      <c r="J104" s="32">
        <f>J103+J102</f>
        <v>46.08</v>
      </c>
      <c r="K104" s="158"/>
      <c r="L104" s="157"/>
      <c r="M104" s="141"/>
      <c r="N104" s="141"/>
      <c r="O104" s="141"/>
    </row>
    <row r="105" spans="1:15" ht="14.25">
      <c r="A105" s="10"/>
      <c r="B105" s="10"/>
      <c r="C105" s="9"/>
      <c r="D105" s="8"/>
      <c r="E105" s="8"/>
      <c r="F105" s="8"/>
      <c r="G105" s="8"/>
      <c r="H105" s="8"/>
      <c r="I105" s="23" t="s">
        <v>492</v>
      </c>
      <c r="J105" s="32">
        <f>J104</f>
        <v>46.08</v>
      </c>
      <c r="K105" s="157"/>
      <c r="L105" s="157"/>
      <c r="M105" s="141"/>
      <c r="N105" s="141"/>
      <c r="O105" s="141"/>
    </row>
    <row r="106" spans="1:15" ht="38.25">
      <c r="A106" s="10" t="s">
        <v>73</v>
      </c>
      <c r="B106" s="10" t="s">
        <v>74</v>
      </c>
      <c r="C106" s="9" t="s">
        <v>75</v>
      </c>
      <c r="D106" s="8" t="s">
        <v>518</v>
      </c>
      <c r="E106" s="8"/>
      <c r="F106" s="8"/>
      <c r="G106" s="8"/>
      <c r="H106" s="8"/>
      <c r="I106" s="23"/>
      <c r="J106" s="32"/>
      <c r="K106" s="157"/>
      <c r="L106" s="157"/>
      <c r="M106" s="141"/>
      <c r="N106" s="141"/>
      <c r="O106" s="141"/>
    </row>
    <row r="107" spans="1:15" ht="14.25">
      <c r="A107" s="10"/>
      <c r="B107" s="10"/>
      <c r="C107" s="26" t="s">
        <v>519</v>
      </c>
      <c r="D107" s="18"/>
      <c r="E107" s="18" t="s">
        <v>471</v>
      </c>
      <c r="F107" s="18">
        <v>1</v>
      </c>
      <c r="G107" s="18">
        <v>90</v>
      </c>
      <c r="H107" s="18">
        <v>0.23</v>
      </c>
      <c r="I107" s="17"/>
      <c r="J107" s="87">
        <f>F107*G107*H107</f>
        <v>20.7</v>
      </c>
      <c r="K107" s="157"/>
      <c r="L107" s="157"/>
      <c r="M107" s="141"/>
      <c r="N107" s="141"/>
      <c r="O107" s="141"/>
    </row>
    <row r="108" spans="1:15" ht="14.25">
      <c r="A108" s="10" t="s">
        <v>471</v>
      </c>
      <c r="B108" s="10"/>
      <c r="C108" s="9" t="s">
        <v>471</v>
      </c>
      <c r="D108" s="8"/>
      <c r="E108" s="8"/>
      <c r="F108" s="8"/>
      <c r="G108" s="8"/>
      <c r="H108" s="8"/>
      <c r="I108" s="23" t="s">
        <v>492</v>
      </c>
      <c r="J108" s="32">
        <f>J107</f>
        <v>20.7</v>
      </c>
      <c r="K108" s="157"/>
      <c r="L108" s="157"/>
      <c r="M108" s="141"/>
      <c r="N108" s="141"/>
      <c r="O108" s="141"/>
    </row>
    <row r="109" spans="1:15" ht="38.25">
      <c r="A109" s="10" t="s">
        <v>76</v>
      </c>
      <c r="B109" s="10" t="s">
        <v>77</v>
      </c>
      <c r="C109" s="9" t="s">
        <v>520</v>
      </c>
      <c r="D109" s="18" t="s">
        <v>521</v>
      </c>
      <c r="E109" s="18">
        <v>1</v>
      </c>
      <c r="F109" s="22">
        <f>J107</f>
        <v>20.7</v>
      </c>
      <c r="G109" s="18">
        <v>0.04</v>
      </c>
      <c r="H109" s="18">
        <f>320/50</f>
        <v>6.4</v>
      </c>
      <c r="I109" s="17"/>
      <c r="J109" s="87">
        <f>E109*F109*G109*H109</f>
        <v>5.2991999999999999</v>
      </c>
      <c r="K109" s="157"/>
      <c r="L109" s="157"/>
      <c r="M109" s="141"/>
      <c r="N109" s="141"/>
      <c r="O109" s="141"/>
    </row>
    <row r="110" spans="1:15" ht="14.25">
      <c r="A110" s="10"/>
      <c r="B110" s="10"/>
      <c r="C110" s="9" t="s">
        <v>471</v>
      </c>
      <c r="D110" s="8"/>
      <c r="E110" s="8"/>
      <c r="F110" s="8"/>
      <c r="G110" s="8"/>
      <c r="H110" s="8"/>
      <c r="I110" s="23" t="s">
        <v>492</v>
      </c>
      <c r="J110" s="32">
        <f>J109</f>
        <v>5.2991999999999999</v>
      </c>
      <c r="K110" s="157"/>
      <c r="L110" s="157"/>
      <c r="M110" s="141"/>
      <c r="N110" s="141"/>
      <c r="O110" s="141"/>
    </row>
    <row r="111" spans="1:15" ht="63.75">
      <c r="A111" s="10" t="s">
        <v>78</v>
      </c>
      <c r="B111" s="10" t="s">
        <v>79</v>
      </c>
      <c r="C111" s="9" t="s">
        <v>522</v>
      </c>
      <c r="D111" s="18" t="s">
        <v>518</v>
      </c>
      <c r="E111" s="18"/>
      <c r="F111" s="18">
        <v>1</v>
      </c>
      <c r="G111" s="18">
        <v>100</v>
      </c>
      <c r="H111" s="18">
        <v>0.23</v>
      </c>
      <c r="I111" s="17"/>
      <c r="J111" s="87">
        <f>F111*G111*H111</f>
        <v>23</v>
      </c>
      <c r="K111" s="157"/>
      <c r="L111" s="157"/>
      <c r="M111" s="141"/>
      <c r="N111" s="141"/>
      <c r="O111" s="141"/>
    </row>
    <row r="112" spans="1:15" ht="14.25">
      <c r="A112" s="10"/>
      <c r="B112" s="10"/>
      <c r="C112" s="9" t="s">
        <v>471</v>
      </c>
      <c r="D112" s="18"/>
      <c r="E112" s="18"/>
      <c r="F112" s="18"/>
      <c r="G112" s="18"/>
      <c r="H112" s="18"/>
      <c r="I112" s="17" t="s">
        <v>492</v>
      </c>
      <c r="J112" s="87">
        <f>J111</f>
        <v>23</v>
      </c>
      <c r="K112" s="157"/>
      <c r="L112" s="157"/>
      <c r="M112" s="141"/>
      <c r="N112" s="141"/>
      <c r="O112" s="141"/>
    </row>
    <row r="113" spans="1:15" ht="76.5">
      <c r="A113" s="10" t="s">
        <v>80</v>
      </c>
      <c r="B113" s="10" t="s">
        <v>81</v>
      </c>
      <c r="C113" s="28" t="s">
        <v>523</v>
      </c>
      <c r="D113" s="18" t="s">
        <v>518</v>
      </c>
      <c r="E113" s="18"/>
      <c r="F113" s="18">
        <v>1</v>
      </c>
      <c r="G113" s="18">
        <f>90</f>
        <v>90</v>
      </c>
      <c r="H113" s="18">
        <v>0.75</v>
      </c>
      <c r="I113" s="18" t="s">
        <v>471</v>
      </c>
      <c r="J113" s="17">
        <f>F113*G113*H113</f>
        <v>67.5</v>
      </c>
      <c r="K113" s="157" t="s">
        <v>471</v>
      </c>
      <c r="L113" s="157"/>
      <c r="M113" s="141"/>
      <c r="N113" s="141"/>
      <c r="O113" s="141"/>
    </row>
    <row r="114" spans="1:15" ht="14.25">
      <c r="A114" s="10"/>
      <c r="B114" s="10"/>
      <c r="C114" s="9"/>
      <c r="D114" s="8"/>
      <c r="E114" s="8"/>
      <c r="F114" s="8"/>
      <c r="G114" s="8"/>
      <c r="H114" s="8"/>
      <c r="I114" s="23" t="s">
        <v>492</v>
      </c>
      <c r="J114" s="32">
        <f>J113</f>
        <v>67.5</v>
      </c>
      <c r="K114" s="157" t="s">
        <v>471</v>
      </c>
      <c r="L114" s="157"/>
      <c r="M114" s="141"/>
      <c r="N114" s="141"/>
      <c r="O114" s="141"/>
    </row>
    <row r="115" spans="1:15" ht="14.25">
      <c r="A115" s="10"/>
      <c r="B115" s="10"/>
      <c r="C115" s="132"/>
      <c r="D115" s="8"/>
      <c r="E115" s="8"/>
      <c r="F115" s="8"/>
      <c r="G115" s="8"/>
      <c r="H115" s="8"/>
      <c r="I115" s="23"/>
      <c r="J115" s="32"/>
      <c r="K115" s="157"/>
      <c r="L115" s="157"/>
      <c r="M115" s="141"/>
      <c r="N115" s="141"/>
      <c r="O115" s="141"/>
    </row>
    <row r="116" spans="1:15" ht="25.5">
      <c r="A116" s="10" t="s">
        <v>524</v>
      </c>
      <c r="B116" s="10" t="s">
        <v>82</v>
      </c>
      <c r="C116" s="28" t="s">
        <v>83</v>
      </c>
      <c r="D116" s="8"/>
      <c r="E116" s="8"/>
      <c r="F116" s="8"/>
      <c r="G116" s="8"/>
      <c r="H116" s="8"/>
      <c r="I116" s="8"/>
      <c r="J116" s="14"/>
      <c r="K116" s="157"/>
      <c r="L116" s="157"/>
      <c r="M116" s="141"/>
      <c r="N116" s="141"/>
      <c r="O116" s="141"/>
    </row>
    <row r="117" spans="1:15" ht="14.25">
      <c r="A117" s="10"/>
      <c r="B117" s="10"/>
      <c r="C117" s="28"/>
      <c r="D117" s="8"/>
      <c r="E117" s="8"/>
      <c r="F117" s="8"/>
      <c r="G117" s="8"/>
      <c r="H117" s="8"/>
      <c r="I117" s="8"/>
      <c r="J117" s="14"/>
      <c r="K117" s="157"/>
      <c r="L117" s="157"/>
      <c r="M117" s="141"/>
      <c r="N117" s="141"/>
      <c r="O117" s="141"/>
    </row>
    <row r="118" spans="1:15" ht="25.5">
      <c r="A118" s="10" t="s">
        <v>84</v>
      </c>
      <c r="B118" s="10" t="s">
        <v>85</v>
      </c>
      <c r="C118" s="28" t="s">
        <v>86</v>
      </c>
      <c r="D118" s="8" t="s">
        <v>525</v>
      </c>
      <c r="E118" s="8"/>
      <c r="F118" s="8"/>
      <c r="G118" s="8"/>
      <c r="H118" s="8"/>
      <c r="I118" s="8"/>
      <c r="J118" s="14"/>
      <c r="K118" s="157"/>
      <c r="L118" s="157"/>
      <c r="M118" s="141"/>
      <c r="N118" s="141"/>
      <c r="O118" s="141"/>
    </row>
    <row r="119" spans="1:15" ht="14.25">
      <c r="A119" s="10"/>
      <c r="B119" s="10"/>
      <c r="C119" s="28"/>
      <c r="D119" s="8"/>
      <c r="E119" s="8"/>
      <c r="F119" s="8"/>
      <c r="G119" s="8"/>
      <c r="H119" s="8"/>
      <c r="I119" s="8"/>
      <c r="J119" s="14"/>
      <c r="K119" s="157"/>
      <c r="L119" s="157"/>
      <c r="M119" s="141"/>
      <c r="N119" s="141"/>
      <c r="O119" s="141"/>
    </row>
    <row r="120" spans="1:15" ht="14.25">
      <c r="A120" s="10"/>
      <c r="B120" s="10"/>
      <c r="C120" s="28" t="s">
        <v>526</v>
      </c>
      <c r="D120" s="8"/>
      <c r="E120" s="8">
        <v>32</v>
      </c>
      <c r="F120" s="8">
        <v>2</v>
      </c>
      <c r="G120" s="8">
        <v>2</v>
      </c>
      <c r="H120" s="8">
        <v>4</v>
      </c>
      <c r="I120" s="8">
        <v>0.6</v>
      </c>
      <c r="J120" s="14">
        <f>I120*H120*G120*F120*E120</f>
        <v>307.2</v>
      </c>
      <c r="K120" s="157"/>
      <c r="L120" s="157"/>
      <c r="M120" s="141"/>
      <c r="N120" s="141"/>
      <c r="O120" s="141"/>
    </row>
    <row r="121" spans="1:15" ht="14.25">
      <c r="A121" s="10"/>
      <c r="B121" s="10"/>
      <c r="C121" s="26"/>
      <c r="D121" s="8"/>
      <c r="E121" s="8"/>
      <c r="F121" s="8"/>
      <c r="G121" s="8"/>
      <c r="H121" s="8"/>
      <c r="I121" s="8"/>
      <c r="J121" s="14"/>
      <c r="K121" s="157"/>
      <c r="L121" s="157"/>
      <c r="M121" s="141"/>
      <c r="N121" s="141"/>
      <c r="O121" s="141"/>
    </row>
    <row r="122" spans="1:15" ht="14.25">
      <c r="A122" s="10"/>
      <c r="B122" s="10"/>
      <c r="C122" s="9"/>
      <c r="D122" s="8"/>
      <c r="E122" s="8"/>
      <c r="F122" s="8"/>
      <c r="G122" s="8"/>
      <c r="H122" s="8"/>
      <c r="I122" s="23" t="s">
        <v>491</v>
      </c>
      <c r="J122" s="32">
        <f>J120+J119</f>
        <v>307.2</v>
      </c>
      <c r="K122" s="157"/>
      <c r="L122" s="157"/>
      <c r="M122" s="141"/>
      <c r="N122" s="141"/>
      <c r="O122" s="141"/>
    </row>
    <row r="123" spans="1:15" ht="14.25">
      <c r="A123" s="10"/>
      <c r="B123" s="10"/>
      <c r="C123" s="9"/>
      <c r="D123" s="8"/>
      <c r="E123" s="8"/>
      <c r="F123" s="8"/>
      <c r="G123" s="8"/>
      <c r="H123" s="8"/>
      <c r="I123" s="24" t="s">
        <v>492</v>
      </c>
      <c r="J123" s="23">
        <f>J122</f>
        <v>307.2</v>
      </c>
      <c r="K123" s="157"/>
      <c r="L123" s="157"/>
      <c r="M123" s="141"/>
      <c r="N123" s="141"/>
      <c r="O123" s="141"/>
    </row>
    <row r="124" spans="1:15" ht="33.75" customHeight="1">
      <c r="A124" s="10" t="s">
        <v>87</v>
      </c>
      <c r="B124" s="10" t="s">
        <v>88</v>
      </c>
      <c r="C124" s="27" t="s">
        <v>527</v>
      </c>
      <c r="D124" s="8" t="s">
        <v>525</v>
      </c>
      <c r="E124" s="8">
        <v>4</v>
      </c>
      <c r="F124" s="8">
        <v>3</v>
      </c>
      <c r="G124" s="8">
        <v>2.6</v>
      </c>
      <c r="H124" s="8"/>
      <c r="I124" s="8"/>
      <c r="J124" s="14">
        <f>G124*F124*E124</f>
        <v>31.200000000000003</v>
      </c>
      <c r="K124" s="157"/>
      <c r="L124" s="157"/>
      <c r="M124" s="141"/>
      <c r="N124" s="141"/>
      <c r="O124" s="141"/>
    </row>
    <row r="125" spans="1:15" ht="33.75" customHeight="1">
      <c r="A125" s="10"/>
      <c r="B125" s="10"/>
      <c r="C125" s="27"/>
      <c r="D125" s="8"/>
      <c r="E125" s="8">
        <v>4</v>
      </c>
      <c r="F125" s="8">
        <v>6</v>
      </c>
      <c r="G125" s="8">
        <v>2.6</v>
      </c>
      <c r="H125" s="8"/>
      <c r="I125" s="8"/>
      <c r="J125" s="14">
        <f>G125*F125*E125</f>
        <v>62.400000000000006</v>
      </c>
      <c r="K125" s="157"/>
      <c r="L125" s="157"/>
      <c r="M125" s="141"/>
      <c r="N125" s="141"/>
      <c r="O125" s="141"/>
    </row>
    <row r="126" spans="1:15" ht="14.25">
      <c r="A126" s="106"/>
      <c r="B126" s="10"/>
      <c r="C126" s="9"/>
      <c r="D126" s="8"/>
      <c r="E126" s="8"/>
      <c r="F126" s="8"/>
      <c r="G126" s="8"/>
      <c r="H126" s="8"/>
      <c r="I126" s="23" t="s">
        <v>491</v>
      </c>
      <c r="J126" s="32">
        <f>J125+J124</f>
        <v>93.600000000000009</v>
      </c>
      <c r="K126" s="157"/>
      <c r="L126" s="157"/>
      <c r="M126" s="141"/>
      <c r="N126" s="141"/>
      <c r="O126" s="141"/>
    </row>
    <row r="127" spans="1:15" ht="14.25">
      <c r="A127" s="106"/>
      <c r="B127" s="10"/>
      <c r="C127" s="9"/>
      <c r="D127" s="8"/>
      <c r="E127" s="8"/>
      <c r="F127" s="8"/>
      <c r="G127" s="8"/>
      <c r="H127" s="8"/>
      <c r="I127" s="24" t="s">
        <v>492</v>
      </c>
      <c r="J127" s="23">
        <f>J126</f>
        <v>93.600000000000009</v>
      </c>
      <c r="K127" s="157"/>
      <c r="L127" s="157"/>
      <c r="M127" s="141"/>
      <c r="N127" s="141"/>
      <c r="O127" s="141"/>
    </row>
    <row r="128" spans="1:15" ht="25.5">
      <c r="A128" s="106" t="s">
        <v>89</v>
      </c>
      <c r="B128" s="10" t="s">
        <v>90</v>
      </c>
      <c r="C128" s="27" t="s">
        <v>91</v>
      </c>
      <c r="D128" s="8" t="s">
        <v>525</v>
      </c>
      <c r="E128" s="8"/>
      <c r="F128" s="8"/>
      <c r="G128" s="8"/>
      <c r="H128" s="8"/>
      <c r="I128" s="8"/>
      <c r="J128" s="14"/>
      <c r="K128" s="157"/>
      <c r="L128" s="157"/>
      <c r="M128" s="141"/>
      <c r="N128" s="141"/>
      <c r="O128" s="141"/>
    </row>
    <row r="129" spans="1:15" ht="14.25">
      <c r="A129" s="106"/>
      <c r="B129" s="10"/>
      <c r="C129" s="9" t="s">
        <v>528</v>
      </c>
      <c r="D129" s="8" t="s">
        <v>471</v>
      </c>
      <c r="E129" s="8"/>
      <c r="F129" s="8" t="s">
        <v>471</v>
      </c>
      <c r="G129" s="8" t="s">
        <v>471</v>
      </c>
      <c r="H129" s="8" t="s">
        <v>471</v>
      </c>
      <c r="I129" s="8"/>
      <c r="J129" s="14" t="s">
        <v>471</v>
      </c>
      <c r="K129" s="157"/>
      <c r="L129" s="157"/>
      <c r="M129" s="141"/>
      <c r="N129" s="141"/>
      <c r="O129" s="141"/>
    </row>
    <row r="130" spans="1:15" ht="14.25">
      <c r="A130" s="106"/>
      <c r="B130" s="10"/>
      <c r="C130" s="26" t="s">
        <v>529</v>
      </c>
      <c r="D130" s="8"/>
      <c r="E130" s="8">
        <v>4</v>
      </c>
      <c r="F130" s="8"/>
      <c r="G130" s="8"/>
      <c r="H130" s="14"/>
      <c r="I130" s="14">
        <f>104.76+3.2+3.2+3.15+3.62</f>
        <v>117.93000000000002</v>
      </c>
      <c r="J130" s="7">
        <f>I130*E130</f>
        <v>471.72000000000008</v>
      </c>
      <c r="K130" s="157"/>
      <c r="L130" s="157"/>
      <c r="M130" s="141"/>
      <c r="N130" s="141"/>
      <c r="O130" s="141"/>
    </row>
    <row r="131" spans="1:15" ht="14.25">
      <c r="A131" s="106"/>
      <c r="B131" s="10"/>
      <c r="C131" s="26"/>
      <c r="D131" s="8"/>
      <c r="E131" s="8"/>
      <c r="F131" s="8"/>
      <c r="G131" s="8"/>
      <c r="H131" s="14"/>
      <c r="I131" s="14"/>
      <c r="J131" s="14"/>
      <c r="K131" s="157"/>
      <c r="L131" s="157"/>
      <c r="M131" s="141"/>
      <c r="N131" s="141"/>
      <c r="O131" s="141"/>
    </row>
    <row r="132" spans="1:15" ht="14.25">
      <c r="A132" s="106" t="s">
        <v>471</v>
      </c>
      <c r="B132" s="10"/>
      <c r="C132" s="26" t="s">
        <v>530</v>
      </c>
      <c r="D132" s="8" t="s">
        <v>525</v>
      </c>
      <c r="E132" s="8">
        <v>4</v>
      </c>
      <c r="F132" s="8">
        <v>1</v>
      </c>
      <c r="G132" s="8">
        <v>3.1</v>
      </c>
      <c r="H132" s="14">
        <v>2.93</v>
      </c>
      <c r="I132" s="14"/>
      <c r="J132" s="14">
        <f>E132*F132*G132*H132</f>
        <v>36.332000000000001</v>
      </c>
      <c r="K132" s="157"/>
      <c r="L132" s="157"/>
      <c r="M132" s="141"/>
      <c r="N132" s="141"/>
      <c r="O132" s="141"/>
    </row>
    <row r="133" spans="1:15" ht="14.25">
      <c r="A133" s="106"/>
      <c r="B133" s="10"/>
      <c r="C133" s="26" t="s">
        <v>531</v>
      </c>
      <c r="D133" s="8" t="s">
        <v>525</v>
      </c>
      <c r="E133" s="8">
        <v>4</v>
      </c>
      <c r="F133" s="8">
        <v>1</v>
      </c>
      <c r="G133" s="8">
        <v>2.93</v>
      </c>
      <c r="H133" s="14">
        <v>1.4</v>
      </c>
      <c r="I133" s="14"/>
      <c r="J133" s="14">
        <f>E133*F133*G133*H133</f>
        <v>16.408000000000001</v>
      </c>
      <c r="K133" s="157"/>
      <c r="L133" s="157"/>
      <c r="M133" s="141"/>
      <c r="N133" s="141"/>
      <c r="O133" s="141"/>
    </row>
    <row r="134" spans="1:15" ht="14.25">
      <c r="A134" s="106"/>
      <c r="B134" s="10"/>
      <c r="C134" s="26"/>
      <c r="D134" s="8" t="s">
        <v>525</v>
      </c>
      <c r="E134" s="8">
        <v>1</v>
      </c>
      <c r="F134" s="8">
        <v>1</v>
      </c>
      <c r="G134" s="8"/>
      <c r="H134" s="14"/>
      <c r="I134" s="14"/>
      <c r="J134" s="14">
        <f>E134*F134*G134*H134</f>
        <v>0</v>
      </c>
      <c r="K134" s="157"/>
      <c r="L134" s="157"/>
      <c r="M134" s="141"/>
      <c r="N134" s="141"/>
      <c r="O134" s="141"/>
    </row>
    <row r="135" spans="1:15" ht="14.25">
      <c r="A135" s="106"/>
      <c r="B135" s="10"/>
      <c r="C135" s="26" t="s">
        <v>532</v>
      </c>
      <c r="D135" s="8" t="s">
        <v>525</v>
      </c>
      <c r="E135" s="8">
        <v>1</v>
      </c>
      <c r="F135" s="8">
        <v>1</v>
      </c>
      <c r="G135" s="8">
        <v>3.1</v>
      </c>
      <c r="H135" s="14">
        <v>7.32</v>
      </c>
      <c r="I135" s="8"/>
      <c r="J135" s="14">
        <f>E135*F135*G135*H135</f>
        <v>22.692</v>
      </c>
      <c r="K135" s="157"/>
      <c r="L135" s="157"/>
      <c r="M135" s="141"/>
      <c r="N135" s="141"/>
      <c r="O135" s="141"/>
    </row>
    <row r="136" spans="1:15" ht="14.25">
      <c r="A136" s="106"/>
      <c r="B136" s="10"/>
      <c r="C136" s="26"/>
      <c r="D136" s="8"/>
      <c r="E136" s="8"/>
      <c r="F136" s="8"/>
      <c r="G136" s="8"/>
      <c r="H136" s="14"/>
      <c r="I136" s="8"/>
      <c r="J136" s="14"/>
      <c r="K136" s="157"/>
      <c r="L136" s="157"/>
      <c r="M136" s="141"/>
      <c r="N136" s="141"/>
      <c r="O136" s="141"/>
    </row>
    <row r="137" spans="1:15" ht="14.25">
      <c r="A137" s="106"/>
      <c r="B137" s="10"/>
      <c r="C137" s="9"/>
      <c r="D137" s="8"/>
      <c r="E137" s="8"/>
      <c r="F137" s="8"/>
      <c r="G137" s="8"/>
      <c r="H137" s="8"/>
      <c r="I137" s="23" t="s">
        <v>491</v>
      </c>
      <c r="J137" s="32">
        <f>SUM(J129:J135)</f>
        <v>547.15200000000004</v>
      </c>
      <c r="K137" s="157"/>
      <c r="L137" s="157"/>
      <c r="M137" s="141"/>
      <c r="N137" s="141"/>
      <c r="O137" s="141"/>
    </row>
    <row r="138" spans="1:15" ht="14.25">
      <c r="A138" s="106"/>
      <c r="B138" s="10"/>
      <c r="C138" s="9"/>
      <c r="D138" s="8"/>
      <c r="E138" s="8"/>
      <c r="F138" s="8"/>
      <c r="G138" s="8"/>
      <c r="H138" s="8"/>
      <c r="I138" s="24" t="s">
        <v>492</v>
      </c>
      <c r="J138" s="23">
        <f>J137</f>
        <v>547.15200000000004</v>
      </c>
      <c r="K138" s="157"/>
      <c r="L138" s="157"/>
      <c r="M138" s="141"/>
      <c r="N138" s="141"/>
      <c r="O138" s="141"/>
    </row>
    <row r="139" spans="1:15" ht="25.5">
      <c r="A139" s="106" t="s">
        <v>533</v>
      </c>
      <c r="B139" s="10" t="s">
        <v>93</v>
      </c>
      <c r="C139" s="27" t="s">
        <v>94</v>
      </c>
      <c r="D139" s="8" t="s">
        <v>525</v>
      </c>
      <c r="E139" s="8"/>
      <c r="F139" s="8"/>
      <c r="G139" s="8"/>
      <c r="H139" s="8"/>
      <c r="I139" s="8"/>
      <c r="J139" s="14" t="s">
        <v>471</v>
      </c>
      <c r="K139" s="157"/>
      <c r="L139" s="157"/>
      <c r="M139" s="141"/>
      <c r="N139" s="141"/>
      <c r="O139" s="141"/>
    </row>
    <row r="140" spans="1:15" ht="14.25">
      <c r="A140" s="106"/>
      <c r="B140" s="10"/>
      <c r="C140" s="66" t="s">
        <v>499</v>
      </c>
      <c r="D140" s="8"/>
      <c r="E140" s="8"/>
      <c r="F140" s="8"/>
      <c r="G140" s="111"/>
      <c r="H140" s="111"/>
      <c r="I140" s="111"/>
      <c r="J140" s="14"/>
      <c r="K140" s="157"/>
      <c r="L140" s="157"/>
      <c r="M140" s="141"/>
      <c r="N140" s="141"/>
      <c r="O140" s="141"/>
    </row>
    <row r="141" spans="1:15" ht="14.25">
      <c r="A141" s="106"/>
      <c r="B141" s="10"/>
      <c r="C141" s="26"/>
      <c r="D141" s="8" t="s">
        <v>525</v>
      </c>
      <c r="E141" s="8"/>
      <c r="F141" s="119">
        <v>3</v>
      </c>
      <c r="G141" s="119">
        <v>27.38</v>
      </c>
      <c r="H141" s="14"/>
      <c r="I141" s="14">
        <f t="shared" ref="I141:I157" si="3">0.35+0.35+0.23</f>
        <v>0.92999999999999994</v>
      </c>
      <c r="J141" s="14">
        <f t="shared" ref="J141:J157" si="4">I141*G141*F141</f>
        <v>76.390199999999993</v>
      </c>
      <c r="K141" s="157"/>
      <c r="L141" s="157"/>
      <c r="M141" s="141"/>
      <c r="N141" s="141"/>
      <c r="O141" s="141"/>
    </row>
    <row r="142" spans="1:15" ht="14.25">
      <c r="A142" s="106"/>
      <c r="B142" s="10"/>
      <c r="C142" s="26"/>
      <c r="D142" s="8" t="s">
        <v>525</v>
      </c>
      <c r="E142" s="8"/>
      <c r="F142" s="119">
        <v>6</v>
      </c>
      <c r="G142" s="119">
        <v>3.7</v>
      </c>
      <c r="H142" s="14"/>
      <c r="I142" s="14">
        <f t="shared" si="3"/>
        <v>0.92999999999999994</v>
      </c>
      <c r="J142" s="14">
        <f t="shared" si="4"/>
        <v>20.646000000000001</v>
      </c>
      <c r="K142" s="157"/>
      <c r="L142" s="157"/>
      <c r="M142" s="141"/>
      <c r="N142" s="141"/>
      <c r="O142" s="141"/>
    </row>
    <row r="143" spans="1:15" ht="14.25">
      <c r="A143" s="106"/>
      <c r="B143" s="10"/>
      <c r="C143" s="26"/>
      <c r="D143" s="8" t="s">
        <v>525</v>
      </c>
      <c r="E143" s="8"/>
      <c r="F143" s="119">
        <v>2</v>
      </c>
      <c r="G143" s="119">
        <v>11.26</v>
      </c>
      <c r="H143" s="14"/>
      <c r="I143" s="14">
        <f t="shared" si="3"/>
        <v>0.92999999999999994</v>
      </c>
      <c r="J143" s="14">
        <f t="shared" si="4"/>
        <v>20.943599999999996</v>
      </c>
      <c r="K143" s="157"/>
      <c r="L143" s="157"/>
      <c r="M143" s="141"/>
      <c r="N143" s="141"/>
      <c r="O143" s="141"/>
    </row>
    <row r="144" spans="1:15" ht="14.25">
      <c r="A144" s="106"/>
      <c r="B144" s="10"/>
      <c r="C144" s="26"/>
      <c r="D144" s="8" t="s">
        <v>525</v>
      </c>
      <c r="E144" s="8"/>
      <c r="F144" s="119">
        <v>2</v>
      </c>
      <c r="G144" s="119">
        <v>10.66</v>
      </c>
      <c r="H144" s="14"/>
      <c r="I144" s="14">
        <f t="shared" si="3"/>
        <v>0.92999999999999994</v>
      </c>
      <c r="J144" s="14">
        <f t="shared" si="4"/>
        <v>19.8276</v>
      </c>
      <c r="K144" s="157"/>
      <c r="L144" s="157"/>
      <c r="M144" s="141"/>
      <c r="N144" s="141"/>
      <c r="O144" s="141"/>
    </row>
    <row r="145" spans="1:15" ht="14.25">
      <c r="A145" s="106"/>
      <c r="B145" s="10"/>
      <c r="C145" s="26"/>
      <c r="D145" s="8" t="s">
        <v>525</v>
      </c>
      <c r="E145" s="8"/>
      <c r="F145" s="119">
        <v>2</v>
      </c>
      <c r="G145" s="119">
        <v>4.43</v>
      </c>
      <c r="H145" s="14"/>
      <c r="I145" s="14">
        <f t="shared" si="3"/>
        <v>0.92999999999999994</v>
      </c>
      <c r="J145" s="14">
        <f t="shared" si="4"/>
        <v>8.2397999999999989</v>
      </c>
      <c r="K145" s="157"/>
      <c r="L145" s="157"/>
      <c r="M145" s="141"/>
      <c r="N145" s="141"/>
      <c r="O145" s="141"/>
    </row>
    <row r="146" spans="1:15" ht="14.25">
      <c r="A146" s="106"/>
      <c r="B146" s="10"/>
      <c r="C146" s="26"/>
      <c r="D146" s="8" t="s">
        <v>525</v>
      </c>
      <c r="E146" s="8"/>
      <c r="F146" s="119">
        <v>2</v>
      </c>
      <c r="G146" s="119">
        <v>3.83</v>
      </c>
      <c r="H146" s="14"/>
      <c r="I146" s="14">
        <f t="shared" si="3"/>
        <v>0.92999999999999994</v>
      </c>
      <c r="J146" s="14">
        <f t="shared" si="4"/>
        <v>7.1237999999999992</v>
      </c>
      <c r="K146" s="157"/>
      <c r="L146" s="157"/>
      <c r="M146" s="141"/>
      <c r="N146" s="141"/>
      <c r="O146" s="141"/>
    </row>
    <row r="147" spans="1:15" ht="14.25">
      <c r="A147" s="106"/>
      <c r="B147" s="10"/>
      <c r="C147" s="26"/>
      <c r="D147" s="8" t="s">
        <v>525</v>
      </c>
      <c r="E147" s="8"/>
      <c r="F147" s="119">
        <v>2</v>
      </c>
      <c r="G147" s="119">
        <v>1.2</v>
      </c>
      <c r="H147" s="14"/>
      <c r="I147" s="14">
        <f t="shared" si="3"/>
        <v>0.92999999999999994</v>
      </c>
      <c r="J147" s="14">
        <f t="shared" si="4"/>
        <v>2.2319999999999998</v>
      </c>
      <c r="K147" s="157"/>
      <c r="L147" s="157"/>
      <c r="M147" s="141"/>
      <c r="N147" s="141"/>
      <c r="O147" s="141"/>
    </row>
    <row r="148" spans="1:15" ht="14.25">
      <c r="A148" s="106"/>
      <c r="B148" s="10"/>
      <c r="C148" s="26"/>
      <c r="D148" s="8" t="s">
        <v>525</v>
      </c>
      <c r="E148" s="8"/>
      <c r="F148" s="119">
        <v>2</v>
      </c>
      <c r="G148" s="119">
        <v>8.52</v>
      </c>
      <c r="H148" s="14"/>
      <c r="I148" s="14">
        <f t="shared" si="3"/>
        <v>0.92999999999999994</v>
      </c>
      <c r="J148" s="14">
        <f t="shared" si="4"/>
        <v>15.847199999999997</v>
      </c>
      <c r="K148" s="157"/>
      <c r="L148" s="157"/>
      <c r="M148" s="141"/>
      <c r="N148" s="141"/>
      <c r="O148" s="141"/>
    </row>
    <row r="149" spans="1:15" ht="14.25">
      <c r="A149" s="106"/>
      <c r="B149" s="10"/>
      <c r="C149" s="26"/>
      <c r="D149" s="8" t="s">
        <v>525</v>
      </c>
      <c r="E149" s="8"/>
      <c r="F149" s="119"/>
      <c r="G149" s="119"/>
      <c r="H149" s="14"/>
      <c r="I149" s="14">
        <f t="shared" si="3"/>
        <v>0.92999999999999994</v>
      </c>
      <c r="J149" s="14">
        <f t="shared" si="4"/>
        <v>0</v>
      </c>
      <c r="K149" s="157"/>
      <c r="L149" s="157"/>
      <c r="M149" s="141"/>
      <c r="N149" s="141"/>
      <c r="O149" s="141"/>
    </row>
    <row r="150" spans="1:15" ht="14.25">
      <c r="A150" s="106" t="s">
        <v>471</v>
      </c>
      <c r="B150" s="10"/>
      <c r="C150" s="26"/>
      <c r="D150" s="8" t="s">
        <v>525</v>
      </c>
      <c r="E150" s="8"/>
      <c r="F150" s="119">
        <v>3</v>
      </c>
      <c r="G150" s="119">
        <v>26</v>
      </c>
      <c r="H150" s="14"/>
      <c r="I150" s="14">
        <f t="shared" si="3"/>
        <v>0.92999999999999994</v>
      </c>
      <c r="J150" s="14">
        <f t="shared" si="4"/>
        <v>72.539999999999992</v>
      </c>
      <c r="K150" s="157"/>
      <c r="L150" s="157"/>
      <c r="M150" s="141"/>
      <c r="N150" s="141"/>
      <c r="O150" s="141"/>
    </row>
    <row r="151" spans="1:15" ht="14.25">
      <c r="A151" s="106"/>
      <c r="B151" s="10"/>
      <c r="C151" s="26"/>
      <c r="D151" s="8" t="s">
        <v>525</v>
      </c>
      <c r="E151" s="8"/>
      <c r="F151" s="119">
        <v>6</v>
      </c>
      <c r="G151" s="119">
        <v>3.7</v>
      </c>
      <c r="H151" s="14"/>
      <c r="I151" s="14">
        <f t="shared" si="3"/>
        <v>0.92999999999999994</v>
      </c>
      <c r="J151" s="14">
        <f t="shared" si="4"/>
        <v>20.646000000000001</v>
      </c>
      <c r="K151" s="157"/>
      <c r="L151" s="157"/>
      <c r="M151" s="141"/>
      <c r="N151" s="141"/>
      <c r="O151" s="141"/>
    </row>
    <row r="152" spans="1:15" ht="14.25">
      <c r="A152" s="106"/>
      <c r="B152" s="10"/>
      <c r="C152" s="26"/>
      <c r="D152" s="8" t="s">
        <v>525</v>
      </c>
      <c r="E152" s="8"/>
      <c r="F152" s="119">
        <v>2</v>
      </c>
      <c r="G152" s="119">
        <v>11.26</v>
      </c>
      <c r="H152" s="14"/>
      <c r="I152" s="14">
        <f t="shared" si="3"/>
        <v>0.92999999999999994</v>
      </c>
      <c r="J152" s="14">
        <f t="shared" si="4"/>
        <v>20.943599999999996</v>
      </c>
      <c r="K152" s="157"/>
      <c r="L152" s="157"/>
      <c r="M152" s="141"/>
      <c r="N152" s="141"/>
      <c r="O152" s="141"/>
    </row>
    <row r="153" spans="1:15" ht="14.25">
      <c r="A153" s="106"/>
      <c r="B153" s="10"/>
      <c r="C153" s="26"/>
      <c r="D153" s="8" t="s">
        <v>525</v>
      </c>
      <c r="E153" s="8"/>
      <c r="F153" s="119">
        <v>2</v>
      </c>
      <c r="G153" s="119">
        <v>10.66</v>
      </c>
      <c r="H153" s="14"/>
      <c r="I153" s="14">
        <f t="shared" si="3"/>
        <v>0.92999999999999994</v>
      </c>
      <c r="J153" s="14">
        <f t="shared" si="4"/>
        <v>19.8276</v>
      </c>
      <c r="K153" s="157"/>
      <c r="L153" s="157"/>
      <c r="M153" s="141"/>
      <c r="N153" s="141"/>
      <c r="O153" s="141"/>
    </row>
    <row r="154" spans="1:15" ht="14.25">
      <c r="A154" s="106"/>
      <c r="B154" s="10"/>
      <c r="C154" s="26"/>
      <c r="D154" s="8" t="s">
        <v>525</v>
      </c>
      <c r="E154" s="8"/>
      <c r="F154" s="119">
        <v>2</v>
      </c>
      <c r="G154" s="119">
        <v>4.43</v>
      </c>
      <c r="H154" s="14"/>
      <c r="I154" s="14">
        <f t="shared" si="3"/>
        <v>0.92999999999999994</v>
      </c>
      <c r="J154" s="14">
        <f t="shared" si="4"/>
        <v>8.2397999999999989</v>
      </c>
      <c r="K154" s="157"/>
      <c r="L154" s="157"/>
      <c r="M154" s="141"/>
      <c r="N154" s="141"/>
      <c r="O154" s="141"/>
    </row>
    <row r="155" spans="1:15" ht="14.25">
      <c r="A155" s="106"/>
      <c r="B155" s="10"/>
      <c r="C155" s="26"/>
      <c r="D155" s="8" t="s">
        <v>525</v>
      </c>
      <c r="E155" s="8"/>
      <c r="F155" s="119">
        <v>2</v>
      </c>
      <c r="G155" s="119">
        <v>3.83</v>
      </c>
      <c r="H155" s="14"/>
      <c r="I155" s="14">
        <f t="shared" si="3"/>
        <v>0.92999999999999994</v>
      </c>
      <c r="J155" s="14">
        <f t="shared" si="4"/>
        <v>7.1237999999999992</v>
      </c>
      <c r="K155" s="157"/>
      <c r="L155" s="157"/>
      <c r="M155" s="141"/>
      <c r="N155" s="141"/>
      <c r="O155" s="141"/>
    </row>
    <row r="156" spans="1:15" ht="14.25">
      <c r="A156" s="106"/>
      <c r="B156" s="10"/>
      <c r="C156" s="26"/>
      <c r="D156" s="8" t="s">
        <v>525</v>
      </c>
      <c r="E156" s="8"/>
      <c r="F156" s="119">
        <v>2</v>
      </c>
      <c r="G156" s="119">
        <v>1.2</v>
      </c>
      <c r="H156" s="14"/>
      <c r="I156" s="14">
        <f t="shared" si="3"/>
        <v>0.92999999999999994</v>
      </c>
      <c r="J156" s="14">
        <f t="shared" si="4"/>
        <v>2.2319999999999998</v>
      </c>
      <c r="K156" s="157"/>
      <c r="L156" s="157"/>
      <c r="M156" s="141"/>
      <c r="N156" s="141"/>
      <c r="O156" s="141"/>
    </row>
    <row r="157" spans="1:15" ht="14.25">
      <c r="A157" s="106"/>
      <c r="B157" s="10"/>
      <c r="C157" s="26"/>
      <c r="D157" s="8" t="s">
        <v>525</v>
      </c>
      <c r="E157" s="8"/>
      <c r="F157" s="119">
        <v>2</v>
      </c>
      <c r="G157" s="119">
        <v>8.52</v>
      </c>
      <c r="H157" s="14"/>
      <c r="I157" s="14">
        <f t="shared" si="3"/>
        <v>0.92999999999999994</v>
      </c>
      <c r="J157" s="14">
        <f t="shared" si="4"/>
        <v>15.847199999999997</v>
      </c>
      <c r="K157" s="157"/>
      <c r="L157" s="157"/>
      <c r="M157" s="141"/>
      <c r="N157" s="141"/>
      <c r="O157" s="141"/>
    </row>
    <row r="158" spans="1:15" ht="14.25">
      <c r="A158" s="106"/>
      <c r="B158" s="10"/>
      <c r="C158" s="26"/>
      <c r="D158" s="8"/>
      <c r="E158" s="8"/>
      <c r="F158" s="8"/>
      <c r="G158" s="109"/>
      <c r="H158" s="14"/>
      <c r="I158" s="14"/>
      <c r="J158" s="14" t="s">
        <v>471</v>
      </c>
      <c r="K158" s="157"/>
      <c r="L158" s="157"/>
      <c r="M158" s="141"/>
      <c r="N158" s="141"/>
      <c r="O158" s="141"/>
    </row>
    <row r="159" spans="1:15" ht="14.25">
      <c r="A159" s="106"/>
      <c r="B159" s="10"/>
      <c r="C159" s="113" t="s">
        <v>534</v>
      </c>
      <c r="D159" s="8"/>
      <c r="E159" s="8"/>
      <c r="F159" s="8"/>
      <c r="G159" s="8"/>
      <c r="H159" s="159"/>
      <c r="I159" s="160"/>
      <c r="J159" s="14" t="s">
        <v>471</v>
      </c>
      <c r="K159" s="157"/>
      <c r="L159" s="157"/>
      <c r="M159" s="141"/>
      <c r="N159" s="141"/>
      <c r="O159" s="141"/>
    </row>
    <row r="160" spans="1:15" ht="14.25">
      <c r="A160" s="106"/>
      <c r="B160" s="10"/>
      <c r="C160" s="26"/>
      <c r="D160" s="8" t="s">
        <v>525</v>
      </c>
      <c r="E160" s="8"/>
      <c r="F160" s="119">
        <v>3</v>
      </c>
      <c r="G160" s="119">
        <v>27.38</v>
      </c>
      <c r="H160" s="14"/>
      <c r="I160" s="14">
        <f t="shared" ref="I160:I176" si="5">0.35+0.35+0.23</f>
        <v>0.92999999999999994</v>
      </c>
      <c r="J160" s="14">
        <f t="shared" ref="J160:J176" si="6">I160*G160*F160</f>
        <v>76.390199999999993</v>
      </c>
      <c r="K160" s="157"/>
      <c r="L160" s="157"/>
      <c r="M160" s="141"/>
      <c r="N160" s="141"/>
      <c r="O160" s="141"/>
    </row>
    <row r="161" spans="1:15" ht="14.25" customHeight="1">
      <c r="A161" s="106"/>
      <c r="B161" s="10"/>
      <c r="C161" s="26"/>
      <c r="D161" s="8" t="s">
        <v>525</v>
      </c>
      <c r="E161" s="8"/>
      <c r="F161" s="119">
        <v>6</v>
      </c>
      <c r="G161" s="119">
        <v>3.7</v>
      </c>
      <c r="H161" s="14"/>
      <c r="I161" s="14">
        <f t="shared" si="5"/>
        <v>0.92999999999999994</v>
      </c>
      <c r="J161" s="14">
        <f t="shared" si="6"/>
        <v>20.646000000000001</v>
      </c>
      <c r="K161" s="157"/>
      <c r="L161" s="157"/>
      <c r="M161" s="141"/>
      <c r="N161" s="141"/>
      <c r="O161" s="141"/>
    </row>
    <row r="162" spans="1:15" ht="14.25">
      <c r="A162" s="106"/>
      <c r="B162" s="10"/>
      <c r="C162" s="26"/>
      <c r="D162" s="8" t="s">
        <v>525</v>
      </c>
      <c r="E162" s="8"/>
      <c r="F162" s="119">
        <v>2</v>
      </c>
      <c r="G162" s="119">
        <v>11.26</v>
      </c>
      <c r="H162" s="14"/>
      <c r="I162" s="14">
        <f t="shared" si="5"/>
        <v>0.92999999999999994</v>
      </c>
      <c r="J162" s="14">
        <f t="shared" si="6"/>
        <v>20.943599999999996</v>
      </c>
      <c r="K162" s="157"/>
      <c r="L162" s="157"/>
      <c r="M162" s="141"/>
      <c r="N162" s="141"/>
      <c r="O162" s="141"/>
    </row>
    <row r="163" spans="1:15" ht="14.25">
      <c r="A163" s="106"/>
      <c r="B163" s="10"/>
      <c r="C163" s="26"/>
      <c r="D163" s="8" t="s">
        <v>525</v>
      </c>
      <c r="E163" s="8"/>
      <c r="F163" s="119">
        <v>2</v>
      </c>
      <c r="G163" s="119">
        <v>10.66</v>
      </c>
      <c r="H163" s="14"/>
      <c r="I163" s="14">
        <f t="shared" si="5"/>
        <v>0.92999999999999994</v>
      </c>
      <c r="J163" s="14">
        <f t="shared" si="6"/>
        <v>19.8276</v>
      </c>
      <c r="K163" s="157"/>
      <c r="L163" s="157"/>
      <c r="M163" s="141"/>
      <c r="N163" s="141"/>
      <c r="O163" s="141"/>
    </row>
    <row r="164" spans="1:15" ht="14.25" customHeight="1">
      <c r="A164" s="106"/>
      <c r="B164" s="10"/>
      <c r="C164" s="26"/>
      <c r="D164" s="8" t="s">
        <v>525</v>
      </c>
      <c r="E164" s="8"/>
      <c r="F164" s="119">
        <v>2</v>
      </c>
      <c r="G164" s="119">
        <v>4.43</v>
      </c>
      <c r="H164" s="14"/>
      <c r="I164" s="14">
        <f t="shared" si="5"/>
        <v>0.92999999999999994</v>
      </c>
      <c r="J164" s="14">
        <f t="shared" si="6"/>
        <v>8.2397999999999989</v>
      </c>
      <c r="K164" s="157"/>
      <c r="L164" s="157"/>
      <c r="M164" s="141"/>
      <c r="N164" s="141"/>
      <c r="O164" s="141"/>
    </row>
    <row r="165" spans="1:15" ht="14.25">
      <c r="A165" s="106"/>
      <c r="B165" s="10"/>
      <c r="C165" s="26"/>
      <c r="D165" s="8" t="s">
        <v>525</v>
      </c>
      <c r="E165" s="8"/>
      <c r="F165" s="119">
        <v>2</v>
      </c>
      <c r="G165" s="119">
        <v>3.83</v>
      </c>
      <c r="H165" s="14"/>
      <c r="I165" s="14">
        <f t="shared" si="5"/>
        <v>0.92999999999999994</v>
      </c>
      <c r="J165" s="14">
        <f t="shared" si="6"/>
        <v>7.1237999999999992</v>
      </c>
      <c r="K165" s="157"/>
      <c r="L165" s="157"/>
      <c r="M165" s="141"/>
      <c r="N165" s="141"/>
      <c r="O165" s="141"/>
    </row>
    <row r="166" spans="1:15" ht="14.25">
      <c r="A166" s="106"/>
      <c r="B166" s="10"/>
      <c r="C166" s="26"/>
      <c r="D166" s="8" t="s">
        <v>525</v>
      </c>
      <c r="E166" s="8"/>
      <c r="F166" s="119">
        <v>2</v>
      </c>
      <c r="G166" s="119">
        <v>1.2</v>
      </c>
      <c r="H166" s="14"/>
      <c r="I166" s="14">
        <f t="shared" si="5"/>
        <v>0.92999999999999994</v>
      </c>
      <c r="J166" s="14">
        <f t="shared" si="6"/>
        <v>2.2319999999999998</v>
      </c>
      <c r="K166" s="157"/>
      <c r="L166" s="157"/>
      <c r="M166" s="141"/>
      <c r="N166" s="141"/>
      <c r="O166" s="141"/>
    </row>
    <row r="167" spans="1:15" ht="14.25">
      <c r="A167" s="106"/>
      <c r="B167" s="10"/>
      <c r="C167" s="26"/>
      <c r="D167" s="8" t="s">
        <v>525</v>
      </c>
      <c r="E167" s="8"/>
      <c r="F167" s="119">
        <v>2</v>
      </c>
      <c r="G167" s="119">
        <v>8.52</v>
      </c>
      <c r="H167" s="14"/>
      <c r="I167" s="14">
        <f t="shared" si="5"/>
        <v>0.92999999999999994</v>
      </c>
      <c r="J167" s="14">
        <f t="shared" si="6"/>
        <v>15.847199999999997</v>
      </c>
      <c r="K167" s="157"/>
      <c r="L167" s="157"/>
      <c r="M167" s="141"/>
      <c r="N167" s="141"/>
      <c r="O167" s="141"/>
    </row>
    <row r="168" spans="1:15" ht="14.25">
      <c r="A168" s="106"/>
      <c r="B168" s="10"/>
      <c r="C168" s="26"/>
      <c r="D168" s="8" t="s">
        <v>525</v>
      </c>
      <c r="E168" s="8"/>
      <c r="F168" s="119"/>
      <c r="G168" s="119"/>
      <c r="H168" s="14"/>
      <c r="I168" s="14">
        <f t="shared" si="5"/>
        <v>0.92999999999999994</v>
      </c>
      <c r="J168" s="14">
        <f t="shared" si="6"/>
        <v>0</v>
      </c>
      <c r="K168" s="157"/>
      <c r="L168" s="157"/>
      <c r="M168" s="141"/>
      <c r="N168" s="141"/>
      <c r="O168" s="141"/>
    </row>
    <row r="169" spans="1:15" ht="14.25">
      <c r="A169" s="106"/>
      <c r="B169" s="10"/>
      <c r="C169" s="26"/>
      <c r="D169" s="8" t="s">
        <v>525</v>
      </c>
      <c r="E169" s="8"/>
      <c r="F169" s="119">
        <v>3</v>
      </c>
      <c r="G169" s="119">
        <v>26</v>
      </c>
      <c r="H169" s="14"/>
      <c r="I169" s="14">
        <f t="shared" si="5"/>
        <v>0.92999999999999994</v>
      </c>
      <c r="J169" s="14">
        <f t="shared" si="6"/>
        <v>72.539999999999992</v>
      </c>
      <c r="K169" s="157"/>
      <c r="L169" s="157"/>
      <c r="M169" s="141"/>
      <c r="N169" s="141"/>
      <c r="O169" s="141"/>
    </row>
    <row r="170" spans="1:15" ht="14.25">
      <c r="A170" s="106"/>
      <c r="B170" s="10"/>
      <c r="C170" s="26"/>
      <c r="D170" s="8" t="s">
        <v>525</v>
      </c>
      <c r="E170" s="8"/>
      <c r="F170" s="119">
        <v>6</v>
      </c>
      <c r="G170" s="119">
        <v>3.7</v>
      </c>
      <c r="H170" s="14"/>
      <c r="I170" s="14">
        <f t="shared" si="5"/>
        <v>0.92999999999999994</v>
      </c>
      <c r="J170" s="14">
        <f t="shared" si="6"/>
        <v>20.646000000000001</v>
      </c>
      <c r="K170" s="157"/>
      <c r="L170" s="157"/>
      <c r="M170" s="141"/>
      <c r="N170" s="141"/>
      <c r="O170" s="141"/>
    </row>
    <row r="171" spans="1:15" ht="14.25">
      <c r="A171" s="106"/>
      <c r="B171" s="10"/>
      <c r="C171" s="26"/>
      <c r="D171" s="8" t="s">
        <v>525</v>
      </c>
      <c r="E171" s="8"/>
      <c r="F171" s="119">
        <v>2</v>
      </c>
      <c r="G171" s="119">
        <v>11.26</v>
      </c>
      <c r="H171" s="14"/>
      <c r="I171" s="14">
        <f t="shared" si="5"/>
        <v>0.92999999999999994</v>
      </c>
      <c r="J171" s="14">
        <f t="shared" si="6"/>
        <v>20.943599999999996</v>
      </c>
      <c r="K171" s="157"/>
      <c r="L171" s="157"/>
      <c r="M171" s="141"/>
      <c r="N171" s="141"/>
      <c r="O171" s="141"/>
    </row>
    <row r="172" spans="1:15" ht="14.25" customHeight="1">
      <c r="A172" s="106"/>
      <c r="B172" s="10"/>
      <c r="C172" s="26"/>
      <c r="D172" s="8" t="s">
        <v>525</v>
      </c>
      <c r="E172" s="8"/>
      <c r="F172" s="119">
        <v>2</v>
      </c>
      <c r="G172" s="119">
        <v>10.66</v>
      </c>
      <c r="H172" s="14"/>
      <c r="I172" s="14">
        <f t="shared" si="5"/>
        <v>0.92999999999999994</v>
      </c>
      <c r="J172" s="14">
        <f t="shared" si="6"/>
        <v>19.8276</v>
      </c>
      <c r="K172" s="157"/>
      <c r="L172" s="157"/>
      <c r="M172" s="141"/>
      <c r="N172" s="141"/>
      <c r="O172" s="141"/>
    </row>
    <row r="173" spans="1:15" ht="14.25">
      <c r="A173" s="106"/>
      <c r="B173" s="10"/>
      <c r="C173" s="26"/>
      <c r="D173" s="8" t="s">
        <v>525</v>
      </c>
      <c r="E173" s="8"/>
      <c r="F173" s="119">
        <v>4</v>
      </c>
      <c r="G173" s="119">
        <v>4.43</v>
      </c>
      <c r="H173" s="14"/>
      <c r="I173" s="14">
        <f t="shared" si="5"/>
        <v>0.92999999999999994</v>
      </c>
      <c r="J173" s="14">
        <f t="shared" si="6"/>
        <v>16.479599999999998</v>
      </c>
      <c r="K173" s="157"/>
      <c r="L173" s="157"/>
      <c r="M173" s="141"/>
      <c r="N173" s="141"/>
      <c r="O173" s="141"/>
    </row>
    <row r="174" spans="1:15" ht="14.25">
      <c r="A174" s="106"/>
      <c r="B174" s="10"/>
      <c r="C174" s="26"/>
      <c r="D174" s="8" t="s">
        <v>525</v>
      </c>
      <c r="E174" s="8"/>
      <c r="F174" s="119">
        <v>2</v>
      </c>
      <c r="G174" s="119">
        <v>3.83</v>
      </c>
      <c r="H174" s="14"/>
      <c r="I174" s="14">
        <f t="shared" si="5"/>
        <v>0.92999999999999994</v>
      </c>
      <c r="J174" s="14">
        <f t="shared" si="6"/>
        <v>7.1237999999999992</v>
      </c>
      <c r="K174" s="157"/>
      <c r="L174" s="157"/>
      <c r="M174" s="141"/>
      <c r="N174" s="141"/>
      <c r="O174" s="141"/>
    </row>
    <row r="175" spans="1:15" ht="14.25">
      <c r="A175" s="106"/>
      <c r="B175" s="10"/>
      <c r="C175" s="26"/>
      <c r="D175" s="8" t="s">
        <v>525</v>
      </c>
      <c r="E175" s="8"/>
      <c r="F175" s="119">
        <v>4</v>
      </c>
      <c r="G175" s="119">
        <v>1.2</v>
      </c>
      <c r="H175" s="14"/>
      <c r="I175" s="14">
        <f t="shared" si="5"/>
        <v>0.92999999999999994</v>
      </c>
      <c r="J175" s="14">
        <f t="shared" si="6"/>
        <v>4.4639999999999995</v>
      </c>
      <c r="K175" s="157"/>
      <c r="L175" s="157"/>
      <c r="M175" s="141"/>
      <c r="N175" s="141"/>
      <c r="O175" s="141"/>
    </row>
    <row r="176" spans="1:15" ht="14.25">
      <c r="A176" s="106"/>
      <c r="B176" s="10"/>
      <c r="C176" s="26"/>
      <c r="D176" s="8" t="s">
        <v>525</v>
      </c>
      <c r="E176" s="8"/>
      <c r="F176" s="119">
        <v>2</v>
      </c>
      <c r="G176" s="119">
        <v>8.52</v>
      </c>
      <c r="H176" s="14"/>
      <c r="I176" s="14">
        <f t="shared" si="5"/>
        <v>0.92999999999999994</v>
      </c>
      <c r="J176" s="14">
        <f t="shared" si="6"/>
        <v>15.847199999999997</v>
      </c>
      <c r="K176" s="157"/>
      <c r="L176" s="157"/>
      <c r="M176" s="141"/>
      <c r="N176" s="141"/>
      <c r="O176" s="141"/>
    </row>
    <row r="177" spans="1:15" ht="14.25">
      <c r="A177" s="106"/>
      <c r="B177" s="10"/>
      <c r="C177" s="26" t="s">
        <v>535</v>
      </c>
      <c r="D177" s="8"/>
      <c r="E177" s="8"/>
      <c r="F177" s="8"/>
      <c r="G177" s="109"/>
      <c r="H177" s="14"/>
      <c r="I177" s="14"/>
      <c r="J177" s="14"/>
      <c r="K177" s="157"/>
      <c r="L177" s="157"/>
      <c r="M177" s="141"/>
      <c r="N177" s="141"/>
      <c r="O177" s="141"/>
    </row>
    <row r="178" spans="1:15" ht="14.25">
      <c r="A178" s="106"/>
      <c r="B178" s="10"/>
      <c r="C178" s="26"/>
      <c r="D178" s="8" t="s">
        <v>525</v>
      </c>
      <c r="E178" s="8"/>
      <c r="F178" s="119">
        <v>3</v>
      </c>
      <c r="G178" s="119">
        <v>27.37</v>
      </c>
      <c r="H178" s="14"/>
      <c r="I178" s="14">
        <f t="shared" ref="I178:I194" si="7">0.35+0.35+0.23</f>
        <v>0.92999999999999994</v>
      </c>
      <c r="J178" s="14">
        <f t="shared" ref="J178:J194" si="8">I178*G178*F178</f>
        <v>76.362300000000005</v>
      </c>
      <c r="K178" s="157"/>
      <c r="L178" s="157"/>
      <c r="M178" s="141"/>
      <c r="N178" s="141"/>
      <c r="O178" s="141"/>
    </row>
    <row r="179" spans="1:15" ht="14.25" customHeight="1">
      <c r="A179" s="106"/>
      <c r="B179" s="10"/>
      <c r="C179" s="26"/>
      <c r="D179" s="8" t="s">
        <v>525</v>
      </c>
      <c r="E179" s="8"/>
      <c r="F179" s="119">
        <v>6</v>
      </c>
      <c r="G179" s="119">
        <v>3.7</v>
      </c>
      <c r="H179" s="14"/>
      <c r="I179" s="14">
        <f t="shared" si="7"/>
        <v>0.92999999999999994</v>
      </c>
      <c r="J179" s="14">
        <f t="shared" si="8"/>
        <v>20.646000000000001</v>
      </c>
      <c r="K179" s="157"/>
      <c r="L179" s="157"/>
      <c r="M179" s="141"/>
      <c r="N179" s="141"/>
      <c r="O179" s="141"/>
    </row>
    <row r="180" spans="1:15" ht="14.25">
      <c r="A180" s="106"/>
      <c r="B180" s="10"/>
      <c r="C180" s="26"/>
      <c r="D180" s="8" t="s">
        <v>525</v>
      </c>
      <c r="E180" s="8"/>
      <c r="F180" s="119">
        <v>2</v>
      </c>
      <c r="G180" s="119">
        <v>11.26</v>
      </c>
      <c r="H180" s="14"/>
      <c r="I180" s="14">
        <f t="shared" si="7"/>
        <v>0.92999999999999994</v>
      </c>
      <c r="J180" s="14">
        <f t="shared" si="8"/>
        <v>20.943599999999996</v>
      </c>
      <c r="K180" s="157"/>
      <c r="L180" s="157"/>
      <c r="M180" s="141"/>
      <c r="N180" s="141"/>
      <c r="O180" s="141"/>
    </row>
    <row r="181" spans="1:15" ht="14.25">
      <c r="A181" s="106"/>
      <c r="B181" s="10"/>
      <c r="C181" s="26"/>
      <c r="D181" s="8" t="s">
        <v>525</v>
      </c>
      <c r="E181" s="8"/>
      <c r="F181" s="119">
        <v>2</v>
      </c>
      <c r="G181" s="119">
        <v>10.66</v>
      </c>
      <c r="H181" s="14"/>
      <c r="I181" s="14">
        <f t="shared" si="7"/>
        <v>0.92999999999999994</v>
      </c>
      <c r="J181" s="14">
        <f t="shared" si="8"/>
        <v>19.8276</v>
      </c>
      <c r="K181" s="157"/>
      <c r="L181" s="157"/>
      <c r="M181" s="141"/>
      <c r="N181" s="141"/>
      <c r="O181" s="141"/>
    </row>
    <row r="182" spans="1:15" ht="14.25" customHeight="1">
      <c r="A182" s="106"/>
      <c r="B182" s="10"/>
      <c r="C182" s="26"/>
      <c r="D182" s="8" t="s">
        <v>525</v>
      </c>
      <c r="E182" s="8"/>
      <c r="F182" s="119">
        <v>4</v>
      </c>
      <c r="G182" s="119">
        <v>4.43</v>
      </c>
      <c r="H182" s="14"/>
      <c r="I182" s="14">
        <f t="shared" si="7"/>
        <v>0.92999999999999994</v>
      </c>
      <c r="J182" s="14">
        <f t="shared" si="8"/>
        <v>16.479599999999998</v>
      </c>
      <c r="K182" s="157"/>
      <c r="L182" s="157"/>
      <c r="M182" s="141"/>
      <c r="N182" s="141"/>
      <c r="O182" s="141"/>
    </row>
    <row r="183" spans="1:15" ht="14.25">
      <c r="A183" s="106"/>
      <c r="B183" s="10"/>
      <c r="C183" s="26"/>
      <c r="D183" s="8" t="s">
        <v>525</v>
      </c>
      <c r="E183" s="8"/>
      <c r="F183" s="119">
        <v>2</v>
      </c>
      <c r="G183" s="119">
        <v>3.83</v>
      </c>
      <c r="H183" s="14"/>
      <c r="I183" s="14">
        <f t="shared" si="7"/>
        <v>0.92999999999999994</v>
      </c>
      <c r="J183" s="14">
        <f t="shared" si="8"/>
        <v>7.1237999999999992</v>
      </c>
      <c r="K183" s="157"/>
      <c r="L183" s="157"/>
      <c r="M183" s="141"/>
      <c r="N183" s="141"/>
      <c r="O183" s="141"/>
    </row>
    <row r="184" spans="1:15" ht="14.25">
      <c r="A184" s="106"/>
      <c r="B184" s="10"/>
      <c r="C184" s="26"/>
      <c r="D184" s="8" t="s">
        <v>525</v>
      </c>
      <c r="E184" s="8"/>
      <c r="F184" s="119">
        <v>2</v>
      </c>
      <c r="G184" s="119">
        <v>1.2</v>
      </c>
      <c r="H184" s="14"/>
      <c r="I184" s="14">
        <f t="shared" si="7"/>
        <v>0.92999999999999994</v>
      </c>
      <c r="J184" s="14">
        <f t="shared" si="8"/>
        <v>2.2319999999999998</v>
      </c>
      <c r="K184" s="157"/>
      <c r="L184" s="157"/>
      <c r="M184" s="141"/>
      <c r="N184" s="141"/>
      <c r="O184" s="141"/>
    </row>
    <row r="185" spans="1:15" ht="14.25">
      <c r="A185" s="106"/>
      <c r="B185" s="10"/>
      <c r="C185" s="26"/>
      <c r="D185" s="8" t="s">
        <v>525</v>
      </c>
      <c r="E185" s="8"/>
      <c r="F185" s="119">
        <v>2</v>
      </c>
      <c r="G185" s="119">
        <v>8.52</v>
      </c>
      <c r="H185" s="14"/>
      <c r="I185" s="14">
        <f t="shared" si="7"/>
        <v>0.92999999999999994</v>
      </c>
      <c r="J185" s="14">
        <f t="shared" si="8"/>
        <v>15.847199999999997</v>
      </c>
      <c r="K185" s="157"/>
      <c r="L185" s="157"/>
      <c r="M185" s="141"/>
      <c r="N185" s="141"/>
      <c r="O185" s="141"/>
    </row>
    <row r="186" spans="1:15" ht="14.25">
      <c r="A186" s="106"/>
      <c r="B186" s="10"/>
      <c r="C186" s="26"/>
      <c r="D186" s="8" t="s">
        <v>525</v>
      </c>
      <c r="E186" s="8"/>
      <c r="F186" s="119"/>
      <c r="G186" s="119"/>
      <c r="H186" s="14"/>
      <c r="I186" s="14">
        <f t="shared" si="7"/>
        <v>0.92999999999999994</v>
      </c>
      <c r="J186" s="14">
        <f t="shared" si="8"/>
        <v>0</v>
      </c>
      <c r="K186" s="157"/>
      <c r="L186" s="157"/>
      <c r="M186" s="141"/>
      <c r="N186" s="141"/>
      <c r="O186" s="141"/>
    </row>
    <row r="187" spans="1:15" ht="14.25">
      <c r="A187" s="106"/>
      <c r="B187" s="10"/>
      <c r="C187" s="26"/>
      <c r="D187" s="8" t="s">
        <v>525</v>
      </c>
      <c r="E187" s="8"/>
      <c r="F187" s="119">
        <v>3</v>
      </c>
      <c r="G187" s="119">
        <v>26</v>
      </c>
      <c r="H187" s="14"/>
      <c r="I187" s="14">
        <f t="shared" si="7"/>
        <v>0.92999999999999994</v>
      </c>
      <c r="J187" s="14">
        <f t="shared" si="8"/>
        <v>72.539999999999992</v>
      </c>
      <c r="K187" s="157"/>
      <c r="L187" s="157"/>
      <c r="M187" s="141"/>
      <c r="N187" s="141"/>
      <c r="O187" s="141"/>
    </row>
    <row r="188" spans="1:15" ht="14.25">
      <c r="A188" s="106"/>
      <c r="B188" s="10"/>
      <c r="C188" s="26"/>
      <c r="D188" s="8" t="s">
        <v>525</v>
      </c>
      <c r="E188" s="8"/>
      <c r="F188" s="119">
        <v>6</v>
      </c>
      <c r="G188" s="119">
        <v>3.7</v>
      </c>
      <c r="H188" s="14"/>
      <c r="I188" s="14">
        <f t="shared" si="7"/>
        <v>0.92999999999999994</v>
      </c>
      <c r="J188" s="14">
        <f t="shared" si="8"/>
        <v>20.646000000000001</v>
      </c>
      <c r="K188" s="157"/>
      <c r="L188" s="157"/>
      <c r="M188" s="141"/>
      <c r="N188" s="141"/>
      <c r="O188" s="141"/>
    </row>
    <row r="189" spans="1:15" ht="14.25">
      <c r="A189" s="106"/>
      <c r="B189" s="10"/>
      <c r="C189" s="26"/>
      <c r="D189" s="8" t="s">
        <v>525</v>
      </c>
      <c r="E189" s="8"/>
      <c r="F189" s="119">
        <v>2</v>
      </c>
      <c r="G189" s="119">
        <v>11.26</v>
      </c>
      <c r="H189" s="14"/>
      <c r="I189" s="14">
        <f t="shared" si="7"/>
        <v>0.92999999999999994</v>
      </c>
      <c r="J189" s="14">
        <f t="shared" si="8"/>
        <v>20.943599999999996</v>
      </c>
      <c r="K189" s="157"/>
      <c r="L189" s="157"/>
      <c r="M189" s="141"/>
      <c r="N189" s="141"/>
      <c r="O189" s="141"/>
    </row>
    <row r="190" spans="1:15" ht="14.25" customHeight="1">
      <c r="A190" s="106"/>
      <c r="B190" s="10"/>
      <c r="C190" s="26"/>
      <c r="D190" s="8" t="s">
        <v>525</v>
      </c>
      <c r="E190" s="8"/>
      <c r="F190" s="119">
        <v>2</v>
      </c>
      <c r="G190" s="119">
        <v>10.66</v>
      </c>
      <c r="H190" s="14"/>
      <c r="I190" s="14">
        <f t="shared" si="7"/>
        <v>0.92999999999999994</v>
      </c>
      <c r="J190" s="14">
        <f t="shared" si="8"/>
        <v>19.8276</v>
      </c>
      <c r="K190" s="157"/>
      <c r="L190" s="157"/>
      <c r="M190" s="141"/>
      <c r="N190" s="141"/>
      <c r="O190" s="141"/>
    </row>
    <row r="191" spans="1:15" ht="14.25">
      <c r="A191" s="106"/>
      <c r="B191" s="10"/>
      <c r="C191" s="26"/>
      <c r="D191" s="8" t="s">
        <v>525</v>
      </c>
      <c r="E191" s="8"/>
      <c r="F191" s="119">
        <v>4</v>
      </c>
      <c r="G191" s="119">
        <v>4.43</v>
      </c>
      <c r="H191" s="14"/>
      <c r="I191" s="14">
        <f t="shared" si="7"/>
        <v>0.92999999999999994</v>
      </c>
      <c r="J191" s="14">
        <f t="shared" si="8"/>
        <v>16.479599999999998</v>
      </c>
      <c r="K191" s="157"/>
      <c r="L191" s="157"/>
      <c r="M191" s="141"/>
      <c r="N191" s="141"/>
      <c r="O191" s="141"/>
    </row>
    <row r="192" spans="1:15" ht="14.25">
      <c r="A192" s="106"/>
      <c r="B192" s="10"/>
      <c r="C192" s="26"/>
      <c r="D192" s="8" t="s">
        <v>525</v>
      </c>
      <c r="E192" s="8"/>
      <c r="F192" s="119">
        <v>2</v>
      </c>
      <c r="G192" s="119">
        <v>3.83</v>
      </c>
      <c r="H192" s="14"/>
      <c r="I192" s="14">
        <f t="shared" si="7"/>
        <v>0.92999999999999994</v>
      </c>
      <c r="J192" s="14">
        <f t="shared" si="8"/>
        <v>7.1237999999999992</v>
      </c>
      <c r="K192" s="157"/>
      <c r="L192" s="157"/>
      <c r="M192" s="141"/>
      <c r="N192" s="141"/>
      <c r="O192" s="141"/>
    </row>
    <row r="193" spans="1:15" ht="14.25">
      <c r="A193" s="106"/>
      <c r="B193" s="10"/>
      <c r="C193" s="26"/>
      <c r="D193" s="8" t="s">
        <v>525</v>
      </c>
      <c r="E193" s="8"/>
      <c r="F193" s="119">
        <v>4</v>
      </c>
      <c r="G193" s="119">
        <v>1.2</v>
      </c>
      <c r="H193" s="14"/>
      <c r="I193" s="14">
        <f t="shared" si="7"/>
        <v>0.92999999999999994</v>
      </c>
      <c r="J193" s="14">
        <f t="shared" si="8"/>
        <v>4.4639999999999995</v>
      </c>
      <c r="K193" s="157"/>
      <c r="L193" s="157"/>
      <c r="M193" s="141"/>
      <c r="N193" s="141"/>
      <c r="O193" s="141"/>
    </row>
    <row r="194" spans="1:15" ht="14.25">
      <c r="A194" s="106"/>
      <c r="B194" s="10"/>
      <c r="C194" s="26"/>
      <c r="D194" s="8" t="s">
        <v>525</v>
      </c>
      <c r="E194" s="8"/>
      <c r="F194" s="119">
        <v>2</v>
      </c>
      <c r="G194" s="119">
        <v>8.52</v>
      </c>
      <c r="H194" s="14"/>
      <c r="I194" s="14">
        <f t="shared" si="7"/>
        <v>0.92999999999999994</v>
      </c>
      <c r="J194" s="14">
        <f t="shared" si="8"/>
        <v>15.847199999999997</v>
      </c>
      <c r="K194" s="157"/>
      <c r="L194" s="157"/>
      <c r="M194" s="141"/>
      <c r="N194" s="141"/>
      <c r="O194" s="141"/>
    </row>
    <row r="195" spans="1:15" ht="14.25">
      <c r="A195" s="106"/>
      <c r="B195" s="10"/>
      <c r="C195" s="26"/>
      <c r="D195" s="8"/>
      <c r="E195" s="8"/>
      <c r="F195" s="8"/>
      <c r="G195" s="109"/>
      <c r="H195" s="14"/>
      <c r="I195" s="14"/>
      <c r="J195" s="14"/>
      <c r="K195" s="157"/>
      <c r="L195" s="157"/>
      <c r="M195" s="141"/>
      <c r="N195" s="141"/>
      <c r="O195" s="141"/>
    </row>
    <row r="196" spans="1:15" ht="14.25">
      <c r="A196" s="106"/>
      <c r="B196" s="10"/>
      <c r="C196" s="26" t="s">
        <v>536</v>
      </c>
      <c r="D196" s="8"/>
      <c r="E196" s="8"/>
      <c r="F196" s="8"/>
      <c r="G196" s="109"/>
      <c r="H196" s="14"/>
      <c r="I196" s="14"/>
      <c r="J196" s="14"/>
      <c r="K196" s="157"/>
      <c r="L196" s="157"/>
      <c r="M196" s="141"/>
      <c r="N196" s="141"/>
      <c r="O196" s="141"/>
    </row>
    <row r="197" spans="1:15" ht="14.25">
      <c r="A197" s="106"/>
      <c r="B197" s="10"/>
      <c r="C197" s="26"/>
      <c r="D197" s="8" t="s">
        <v>525</v>
      </c>
      <c r="E197" s="8"/>
      <c r="F197" s="119">
        <v>3</v>
      </c>
      <c r="G197" s="119">
        <v>27.37</v>
      </c>
      <c r="H197" s="14"/>
      <c r="I197" s="14">
        <f t="shared" ref="I197:I213" si="9">0.35+0.35+0.23</f>
        <v>0.92999999999999994</v>
      </c>
      <c r="J197" s="14">
        <f t="shared" ref="J197:J213" si="10">I197*G197*F197</f>
        <v>76.362300000000005</v>
      </c>
      <c r="K197" s="157"/>
      <c r="L197" s="157"/>
      <c r="M197" s="141"/>
      <c r="N197" s="141"/>
      <c r="O197" s="141"/>
    </row>
    <row r="198" spans="1:15" ht="14.25" customHeight="1">
      <c r="A198" s="106"/>
      <c r="B198" s="10"/>
      <c r="C198" s="26"/>
      <c r="D198" s="8" t="s">
        <v>525</v>
      </c>
      <c r="E198" s="8"/>
      <c r="F198" s="119">
        <v>6</v>
      </c>
      <c r="G198" s="119">
        <v>3.7</v>
      </c>
      <c r="H198" s="14"/>
      <c r="I198" s="14">
        <f t="shared" si="9"/>
        <v>0.92999999999999994</v>
      </c>
      <c r="J198" s="14">
        <f t="shared" si="10"/>
        <v>20.646000000000001</v>
      </c>
      <c r="K198" s="157"/>
      <c r="L198" s="157"/>
      <c r="M198" s="141"/>
      <c r="N198" s="141"/>
      <c r="O198" s="141"/>
    </row>
    <row r="199" spans="1:15" ht="14.25">
      <c r="A199" s="106"/>
      <c r="B199" s="10"/>
      <c r="C199" s="26"/>
      <c r="D199" s="8" t="s">
        <v>525</v>
      </c>
      <c r="E199" s="8"/>
      <c r="F199" s="119">
        <v>2</v>
      </c>
      <c r="G199" s="119">
        <v>11.26</v>
      </c>
      <c r="H199" s="14"/>
      <c r="I199" s="14">
        <f t="shared" si="9"/>
        <v>0.92999999999999994</v>
      </c>
      <c r="J199" s="14">
        <f t="shared" si="10"/>
        <v>20.943599999999996</v>
      </c>
      <c r="K199" s="157"/>
      <c r="L199" s="157"/>
      <c r="M199" s="141"/>
      <c r="N199" s="141"/>
      <c r="O199" s="141"/>
    </row>
    <row r="200" spans="1:15" ht="14.25">
      <c r="A200" s="106"/>
      <c r="B200" s="10"/>
      <c r="C200" s="26"/>
      <c r="D200" s="8" t="s">
        <v>525</v>
      </c>
      <c r="E200" s="8"/>
      <c r="F200" s="119">
        <v>2</v>
      </c>
      <c r="G200" s="119">
        <v>10.66</v>
      </c>
      <c r="H200" s="14"/>
      <c r="I200" s="14">
        <f t="shared" si="9"/>
        <v>0.92999999999999994</v>
      </c>
      <c r="J200" s="14">
        <f t="shared" si="10"/>
        <v>19.8276</v>
      </c>
      <c r="K200" s="157"/>
      <c r="L200" s="157"/>
      <c r="M200" s="141"/>
      <c r="N200" s="141"/>
      <c r="O200" s="141"/>
    </row>
    <row r="201" spans="1:15" ht="14.25" customHeight="1">
      <c r="A201" s="106"/>
      <c r="B201" s="10"/>
      <c r="C201" s="26"/>
      <c r="D201" s="8" t="s">
        <v>525</v>
      </c>
      <c r="E201" s="8"/>
      <c r="F201" s="119">
        <v>4</v>
      </c>
      <c r="G201" s="119">
        <v>4.43</v>
      </c>
      <c r="H201" s="14"/>
      <c r="I201" s="14">
        <f t="shared" si="9"/>
        <v>0.92999999999999994</v>
      </c>
      <c r="J201" s="14">
        <f t="shared" si="10"/>
        <v>16.479599999999998</v>
      </c>
      <c r="K201" s="157"/>
      <c r="L201" s="157"/>
      <c r="M201" s="141"/>
      <c r="N201" s="141"/>
      <c r="O201" s="141"/>
    </row>
    <row r="202" spans="1:15" ht="14.25">
      <c r="A202" s="106"/>
      <c r="B202" s="10"/>
      <c r="C202" s="26"/>
      <c r="D202" s="8" t="s">
        <v>525</v>
      </c>
      <c r="E202" s="8"/>
      <c r="F202" s="119">
        <v>2</v>
      </c>
      <c r="G202" s="119">
        <v>3.83</v>
      </c>
      <c r="H202" s="14"/>
      <c r="I202" s="14">
        <f t="shared" si="9"/>
        <v>0.92999999999999994</v>
      </c>
      <c r="J202" s="14">
        <f t="shared" si="10"/>
        <v>7.1237999999999992</v>
      </c>
      <c r="K202" s="157"/>
      <c r="L202" s="157"/>
      <c r="M202" s="141"/>
      <c r="N202" s="141"/>
      <c r="O202" s="141"/>
    </row>
    <row r="203" spans="1:15" ht="14.25">
      <c r="A203" s="106"/>
      <c r="B203" s="10"/>
      <c r="C203" s="26"/>
      <c r="D203" s="8" t="s">
        <v>525</v>
      </c>
      <c r="E203" s="8"/>
      <c r="F203" s="119">
        <v>4</v>
      </c>
      <c r="G203" s="119">
        <v>1.2</v>
      </c>
      <c r="H203" s="14"/>
      <c r="I203" s="14">
        <f t="shared" si="9"/>
        <v>0.92999999999999994</v>
      </c>
      <c r="J203" s="14">
        <f t="shared" si="10"/>
        <v>4.4639999999999995</v>
      </c>
      <c r="K203" s="157"/>
      <c r="L203" s="157"/>
      <c r="M203" s="141"/>
      <c r="N203" s="141"/>
      <c r="O203" s="141"/>
    </row>
    <row r="204" spans="1:15" ht="14.25">
      <c r="A204" s="106"/>
      <c r="B204" s="10"/>
      <c r="C204" s="26"/>
      <c r="D204" s="8" t="s">
        <v>525</v>
      </c>
      <c r="E204" s="8"/>
      <c r="F204" s="119">
        <v>2</v>
      </c>
      <c r="G204" s="119">
        <v>8.52</v>
      </c>
      <c r="H204" s="14"/>
      <c r="I204" s="14">
        <f t="shared" si="9"/>
        <v>0.92999999999999994</v>
      </c>
      <c r="J204" s="14">
        <f t="shared" si="10"/>
        <v>15.847199999999997</v>
      </c>
      <c r="K204" s="157"/>
      <c r="L204" s="157"/>
      <c r="M204" s="141"/>
      <c r="N204" s="141"/>
      <c r="O204" s="141"/>
    </row>
    <row r="205" spans="1:15" ht="14.25">
      <c r="A205" s="106"/>
      <c r="B205" s="10"/>
      <c r="C205" s="26"/>
      <c r="D205" s="8" t="s">
        <v>525</v>
      </c>
      <c r="E205" s="8"/>
      <c r="F205" s="119"/>
      <c r="G205" s="119"/>
      <c r="H205" s="14"/>
      <c r="I205" s="14">
        <f t="shared" si="9"/>
        <v>0.92999999999999994</v>
      </c>
      <c r="J205" s="14">
        <f t="shared" si="10"/>
        <v>0</v>
      </c>
      <c r="K205" s="157"/>
      <c r="L205" s="157"/>
      <c r="M205" s="141"/>
      <c r="N205" s="141"/>
      <c r="O205" s="141"/>
    </row>
    <row r="206" spans="1:15" ht="14.25">
      <c r="A206" s="106"/>
      <c r="B206" s="10"/>
      <c r="C206" s="26"/>
      <c r="D206" s="8" t="s">
        <v>525</v>
      </c>
      <c r="E206" s="8"/>
      <c r="F206" s="119">
        <v>3</v>
      </c>
      <c r="G206" s="119">
        <v>26</v>
      </c>
      <c r="H206" s="14"/>
      <c r="I206" s="14">
        <f t="shared" si="9"/>
        <v>0.92999999999999994</v>
      </c>
      <c r="J206" s="14">
        <f t="shared" si="10"/>
        <v>72.539999999999992</v>
      </c>
      <c r="K206" s="157"/>
      <c r="L206" s="157"/>
      <c r="M206" s="141"/>
      <c r="N206" s="141"/>
      <c r="O206" s="141"/>
    </row>
    <row r="207" spans="1:15" ht="14.25">
      <c r="A207" s="106"/>
      <c r="B207" s="10"/>
      <c r="C207" s="26"/>
      <c r="D207" s="8" t="s">
        <v>525</v>
      </c>
      <c r="E207" s="8"/>
      <c r="F207" s="119">
        <v>6</v>
      </c>
      <c r="G207" s="119">
        <v>3.7</v>
      </c>
      <c r="H207" s="14"/>
      <c r="I207" s="14">
        <f t="shared" si="9"/>
        <v>0.92999999999999994</v>
      </c>
      <c r="J207" s="14">
        <f t="shared" si="10"/>
        <v>20.646000000000001</v>
      </c>
      <c r="K207" s="157"/>
      <c r="L207" s="157"/>
      <c r="M207" s="141"/>
      <c r="N207" s="141"/>
      <c r="O207" s="141"/>
    </row>
    <row r="208" spans="1:15" ht="14.25">
      <c r="A208" s="106"/>
      <c r="B208" s="10"/>
      <c r="C208" s="26"/>
      <c r="D208" s="8" t="s">
        <v>525</v>
      </c>
      <c r="E208" s="8"/>
      <c r="F208" s="119">
        <v>2</v>
      </c>
      <c r="G208" s="119">
        <v>11.26</v>
      </c>
      <c r="H208" s="14"/>
      <c r="I208" s="14">
        <f t="shared" si="9"/>
        <v>0.92999999999999994</v>
      </c>
      <c r="J208" s="14">
        <f t="shared" si="10"/>
        <v>20.943599999999996</v>
      </c>
      <c r="K208" s="157"/>
      <c r="L208" s="157"/>
      <c r="M208" s="141"/>
      <c r="N208" s="141"/>
      <c r="O208" s="141"/>
    </row>
    <row r="209" spans="1:15" ht="14.25" customHeight="1">
      <c r="A209" s="106"/>
      <c r="B209" s="10"/>
      <c r="C209" s="26"/>
      <c r="D209" s="8" t="s">
        <v>525</v>
      </c>
      <c r="E209" s="8"/>
      <c r="F209" s="119">
        <v>2</v>
      </c>
      <c r="G209" s="119">
        <v>10.66</v>
      </c>
      <c r="H209" s="14"/>
      <c r="I209" s="14">
        <f t="shared" si="9"/>
        <v>0.92999999999999994</v>
      </c>
      <c r="J209" s="14">
        <f t="shared" si="10"/>
        <v>19.8276</v>
      </c>
      <c r="K209" s="157"/>
      <c r="L209" s="157"/>
      <c r="M209" s="141"/>
      <c r="N209" s="141"/>
      <c r="O209" s="141"/>
    </row>
    <row r="210" spans="1:15" ht="14.25">
      <c r="A210" s="106"/>
      <c r="B210" s="10"/>
      <c r="C210" s="26"/>
      <c r="D210" s="8" t="s">
        <v>525</v>
      </c>
      <c r="E210" s="8"/>
      <c r="F210" s="119">
        <v>2</v>
      </c>
      <c r="G210" s="119">
        <v>4.43</v>
      </c>
      <c r="H210" s="14"/>
      <c r="I210" s="14">
        <f t="shared" si="9"/>
        <v>0.92999999999999994</v>
      </c>
      <c r="J210" s="14">
        <f t="shared" si="10"/>
        <v>8.2397999999999989</v>
      </c>
      <c r="K210" s="157"/>
      <c r="L210" s="157"/>
      <c r="M210" s="141"/>
      <c r="N210" s="141"/>
      <c r="O210" s="141"/>
    </row>
    <row r="211" spans="1:15" ht="14.25">
      <c r="A211" s="106"/>
      <c r="B211" s="10"/>
      <c r="C211" s="26"/>
      <c r="D211" s="8" t="s">
        <v>525</v>
      </c>
      <c r="E211" s="8"/>
      <c r="F211" s="119">
        <v>2</v>
      </c>
      <c r="G211" s="119">
        <v>3.83</v>
      </c>
      <c r="H211" s="14"/>
      <c r="I211" s="14">
        <f t="shared" si="9"/>
        <v>0.92999999999999994</v>
      </c>
      <c r="J211" s="14">
        <f t="shared" si="10"/>
        <v>7.1237999999999992</v>
      </c>
      <c r="K211" s="157"/>
      <c r="L211" s="157"/>
      <c r="M211" s="141"/>
      <c r="N211" s="141"/>
      <c r="O211" s="141"/>
    </row>
    <row r="212" spans="1:15" ht="14.25">
      <c r="A212" s="106"/>
      <c r="B212" s="10"/>
      <c r="C212" s="26"/>
      <c r="D212" s="8" t="s">
        <v>525</v>
      </c>
      <c r="E212" s="8"/>
      <c r="F212" s="119">
        <v>4</v>
      </c>
      <c r="G212" s="119">
        <v>1.2</v>
      </c>
      <c r="H212" s="14"/>
      <c r="I212" s="14">
        <f t="shared" si="9"/>
        <v>0.92999999999999994</v>
      </c>
      <c r="J212" s="14">
        <f t="shared" si="10"/>
        <v>4.4639999999999995</v>
      </c>
      <c r="K212" s="157"/>
      <c r="L212" s="157"/>
      <c r="M212" s="141"/>
      <c r="N212" s="141"/>
      <c r="O212" s="141"/>
    </row>
    <row r="213" spans="1:15" ht="14.25">
      <c r="A213" s="106"/>
      <c r="B213" s="10"/>
      <c r="C213" s="26"/>
      <c r="D213" s="8" t="s">
        <v>525</v>
      </c>
      <c r="E213" s="8"/>
      <c r="F213" s="119">
        <v>2</v>
      </c>
      <c r="G213" s="119">
        <v>8.52</v>
      </c>
      <c r="H213" s="14"/>
      <c r="I213" s="14">
        <f t="shared" si="9"/>
        <v>0.92999999999999994</v>
      </c>
      <c r="J213" s="14">
        <f t="shared" si="10"/>
        <v>15.847199999999997</v>
      </c>
      <c r="K213" s="162"/>
      <c r="L213" s="157"/>
      <c r="M213" s="141"/>
      <c r="N213" s="141"/>
      <c r="O213" s="141"/>
    </row>
    <row r="214" spans="1:15" ht="14.25">
      <c r="A214" s="106"/>
      <c r="B214" s="10"/>
      <c r="C214" s="26"/>
      <c r="D214" s="8"/>
      <c r="E214" s="8"/>
      <c r="F214" s="8"/>
      <c r="G214" s="109"/>
      <c r="H214" s="159"/>
      <c r="I214" s="160"/>
      <c r="J214" s="14" t="s">
        <v>471</v>
      </c>
      <c r="K214" s="157"/>
      <c r="L214" s="157"/>
      <c r="M214" s="141"/>
      <c r="N214" s="141"/>
      <c r="O214" s="141"/>
    </row>
    <row r="215" spans="1:15" ht="14.25">
      <c r="A215" s="106"/>
      <c r="B215" s="10"/>
      <c r="C215" s="9" t="s">
        <v>537</v>
      </c>
      <c r="D215" s="8" t="s">
        <v>525</v>
      </c>
      <c r="E215" s="8"/>
      <c r="F215" s="119">
        <v>1</v>
      </c>
      <c r="G215" s="119">
        <v>7.32</v>
      </c>
      <c r="H215" s="14"/>
      <c r="I215" s="14">
        <f>0.35+0.35+0.23</f>
        <v>0.92999999999999994</v>
      </c>
      <c r="J215" s="14">
        <f>I215*G215*F215</f>
        <v>6.8075999999999999</v>
      </c>
      <c r="K215" s="157"/>
      <c r="L215" s="157"/>
      <c r="M215" s="141"/>
      <c r="N215" s="141"/>
      <c r="O215" s="141"/>
    </row>
    <row r="216" spans="1:15" ht="14.25">
      <c r="A216" s="10"/>
      <c r="B216" s="10"/>
      <c r="C216" s="26"/>
      <c r="D216" s="8" t="s">
        <v>525</v>
      </c>
      <c r="E216" s="8"/>
      <c r="F216" s="119">
        <v>2</v>
      </c>
      <c r="G216" s="119">
        <v>3.06</v>
      </c>
      <c r="H216" s="14"/>
      <c r="I216" s="14">
        <f>0.35+0.35+0.23</f>
        <v>0.92999999999999994</v>
      </c>
      <c r="J216" s="14">
        <f>I216*G216*F216</f>
        <v>5.6915999999999993</v>
      </c>
      <c r="K216" s="157"/>
      <c r="L216" s="157"/>
      <c r="M216" s="141"/>
      <c r="N216" s="141"/>
      <c r="O216" s="141"/>
    </row>
    <row r="217" spans="1:15" ht="14.25">
      <c r="A217" s="106"/>
      <c r="B217" s="10"/>
      <c r="C217" s="26"/>
      <c r="D217" s="8"/>
      <c r="E217" s="8"/>
      <c r="F217" s="8"/>
      <c r="G217" s="109"/>
      <c r="H217" s="14"/>
      <c r="I217" s="14"/>
      <c r="J217" s="14"/>
      <c r="K217" s="157"/>
      <c r="L217" s="157"/>
      <c r="M217" s="141"/>
      <c r="N217" s="141"/>
      <c r="O217" s="141"/>
    </row>
    <row r="218" spans="1:15" ht="14.25">
      <c r="A218" s="106" t="s">
        <v>471</v>
      </c>
      <c r="B218" s="10"/>
      <c r="C218" s="9"/>
      <c r="D218" s="8"/>
      <c r="E218" s="8"/>
      <c r="F218" s="8"/>
      <c r="G218" s="8"/>
      <c r="H218" s="8"/>
      <c r="I218" s="8"/>
      <c r="J218" s="14"/>
      <c r="K218" s="157"/>
      <c r="L218" s="157"/>
      <c r="M218" s="141"/>
      <c r="N218" s="141"/>
      <c r="O218" s="141"/>
    </row>
    <row r="219" spans="1:15" ht="14.25">
      <c r="A219" s="106"/>
      <c r="B219" s="10"/>
      <c r="C219" s="9" t="s">
        <v>471</v>
      </c>
      <c r="D219" s="8"/>
      <c r="E219" s="8" t="s">
        <v>471</v>
      </c>
      <c r="F219" s="8"/>
      <c r="G219" s="8"/>
      <c r="H219" s="8"/>
      <c r="I219" s="23" t="s">
        <v>491</v>
      </c>
      <c r="J219" s="32">
        <f>SUM(J141:J218)</f>
        <v>1408.9313999999997</v>
      </c>
      <c r="K219" s="157"/>
      <c r="L219" s="157"/>
      <c r="M219" s="141"/>
      <c r="N219" s="141"/>
      <c r="O219" s="141"/>
    </row>
    <row r="220" spans="1:15" ht="14.25">
      <c r="A220" s="106"/>
      <c r="B220" s="10"/>
      <c r="C220" s="9"/>
      <c r="D220" s="8"/>
      <c r="E220" s="8"/>
      <c r="F220" s="8"/>
      <c r="G220" s="8"/>
      <c r="H220" s="8"/>
      <c r="I220" s="24" t="s">
        <v>492</v>
      </c>
      <c r="J220" s="23">
        <f>J219</f>
        <v>1408.9313999999997</v>
      </c>
      <c r="K220" s="157"/>
      <c r="L220" s="157"/>
      <c r="M220" s="141"/>
      <c r="N220" s="141"/>
      <c r="O220" s="141"/>
    </row>
    <row r="221" spans="1:15" ht="14.25">
      <c r="A221" s="106" t="s">
        <v>95</v>
      </c>
      <c r="B221" s="10" t="s">
        <v>96</v>
      </c>
      <c r="C221" s="27" t="s">
        <v>97</v>
      </c>
      <c r="D221" s="8" t="s">
        <v>471</v>
      </c>
      <c r="E221" s="8"/>
      <c r="F221" s="8"/>
      <c r="G221" s="8"/>
      <c r="H221" s="8"/>
      <c r="I221" s="8"/>
      <c r="J221" s="14" t="s">
        <v>471</v>
      </c>
      <c r="K221" s="157"/>
      <c r="L221" s="157"/>
      <c r="M221" s="141"/>
      <c r="N221" s="141"/>
      <c r="O221" s="141"/>
    </row>
    <row r="222" spans="1:15" ht="14.25">
      <c r="A222" s="106"/>
      <c r="B222" s="10"/>
      <c r="C222" s="26" t="s">
        <v>538</v>
      </c>
      <c r="D222" s="8" t="s">
        <v>525</v>
      </c>
      <c r="E222" s="8"/>
      <c r="F222" s="8">
        <v>32</v>
      </c>
      <c r="G222" s="8">
        <v>2.5</v>
      </c>
      <c r="H222" s="8"/>
      <c r="I222" s="8">
        <f>0.6+0.6+0.23+0.23</f>
        <v>1.66</v>
      </c>
      <c r="J222" s="14">
        <f>I222*G222*F222</f>
        <v>132.79999999999998</v>
      </c>
      <c r="K222" s="157"/>
      <c r="L222" s="157"/>
      <c r="M222" s="141"/>
      <c r="N222" s="141"/>
      <c r="O222" s="141"/>
    </row>
    <row r="223" spans="1:15" ht="14.25">
      <c r="A223" s="106"/>
      <c r="B223" s="10"/>
      <c r="C223" s="26" t="s">
        <v>539</v>
      </c>
      <c r="D223" s="8" t="s">
        <v>525</v>
      </c>
      <c r="E223" s="8"/>
      <c r="F223" s="8">
        <v>32</v>
      </c>
      <c r="G223" s="8">
        <v>3.15</v>
      </c>
      <c r="H223" s="8"/>
      <c r="I223" s="8">
        <f>0.6+0.6+0.23+0.23</f>
        <v>1.66</v>
      </c>
      <c r="J223" s="14">
        <f>I223*G223*F223</f>
        <v>167.32799999999997</v>
      </c>
      <c r="K223" s="157"/>
      <c r="L223" s="157"/>
      <c r="M223" s="141"/>
      <c r="N223" s="141"/>
      <c r="O223" s="141"/>
    </row>
    <row r="224" spans="1:15" ht="14.25">
      <c r="A224" s="106"/>
      <c r="B224" s="10"/>
      <c r="C224" s="26" t="s">
        <v>540</v>
      </c>
      <c r="D224" s="8" t="s">
        <v>525</v>
      </c>
      <c r="E224" s="8"/>
      <c r="F224" s="8">
        <v>32</v>
      </c>
      <c r="G224" s="8">
        <v>3.15</v>
      </c>
      <c r="H224" s="8"/>
      <c r="I224" s="8">
        <v>1.66</v>
      </c>
      <c r="J224" s="14">
        <f>I224*G224*F224</f>
        <v>167.32799999999997</v>
      </c>
      <c r="K224" s="157"/>
      <c r="L224" s="157"/>
      <c r="M224" s="141"/>
      <c r="N224" s="141"/>
      <c r="O224" s="141"/>
    </row>
    <row r="225" spans="1:15" ht="14.25">
      <c r="A225" s="106"/>
      <c r="B225" s="10"/>
      <c r="C225" s="26" t="s">
        <v>541</v>
      </c>
      <c r="D225" s="8" t="s">
        <v>525</v>
      </c>
      <c r="E225" s="8"/>
      <c r="F225" s="8">
        <v>32</v>
      </c>
      <c r="G225" s="8">
        <v>3.15</v>
      </c>
      <c r="H225" s="8"/>
      <c r="I225" s="8">
        <v>1.66</v>
      </c>
      <c r="J225" s="14">
        <f>I225*G225*F225</f>
        <v>167.32799999999997</v>
      </c>
      <c r="K225" s="157"/>
      <c r="L225" s="157"/>
      <c r="M225" s="141"/>
      <c r="N225" s="141"/>
      <c r="O225" s="141"/>
    </row>
    <row r="226" spans="1:15" ht="14.25">
      <c r="A226" s="106"/>
      <c r="B226" s="10"/>
      <c r="C226" s="26" t="s">
        <v>542</v>
      </c>
      <c r="D226" s="8" t="s">
        <v>525</v>
      </c>
      <c r="E226" s="8"/>
      <c r="F226" s="8">
        <v>4</v>
      </c>
      <c r="G226" s="8">
        <v>3.15</v>
      </c>
      <c r="H226" s="8"/>
      <c r="I226" s="8">
        <v>1.66</v>
      </c>
      <c r="J226" s="14">
        <f>I226*G226*F226</f>
        <v>20.915999999999997</v>
      </c>
      <c r="K226" s="157"/>
      <c r="L226" s="157"/>
      <c r="M226" s="141"/>
      <c r="N226" s="141"/>
      <c r="O226" s="141"/>
    </row>
    <row r="227" spans="1:15" ht="14.25">
      <c r="A227" s="106"/>
      <c r="B227" s="10"/>
      <c r="C227" s="26"/>
      <c r="D227" s="8"/>
      <c r="E227" s="8"/>
      <c r="F227" s="8"/>
      <c r="G227" s="8"/>
      <c r="H227" s="8"/>
      <c r="I227" s="8"/>
      <c r="J227" s="14"/>
      <c r="K227" s="157"/>
      <c r="L227" s="157"/>
      <c r="M227" s="141"/>
      <c r="N227" s="141"/>
      <c r="O227" s="141"/>
    </row>
    <row r="228" spans="1:15" ht="14.25">
      <c r="A228" s="106"/>
      <c r="B228" s="10"/>
      <c r="C228" s="9"/>
      <c r="D228" s="8"/>
      <c r="E228" s="8"/>
      <c r="F228" s="8"/>
      <c r="G228" s="8"/>
      <c r="H228" s="8"/>
      <c r="I228" s="23" t="s">
        <v>491</v>
      </c>
      <c r="J228" s="32">
        <f>SUM(J223:J227)</f>
        <v>522.89999999999986</v>
      </c>
      <c r="K228" s="157"/>
      <c r="L228" s="157"/>
      <c r="M228" s="141"/>
      <c r="N228" s="141"/>
      <c r="O228" s="141"/>
    </row>
    <row r="229" spans="1:15" ht="14.25">
      <c r="A229" s="106"/>
      <c r="B229" s="10"/>
      <c r="C229" s="9"/>
      <c r="D229" s="8"/>
      <c r="E229" s="8"/>
      <c r="F229" s="8"/>
      <c r="G229" s="8"/>
      <c r="H229" s="8"/>
      <c r="I229" s="24" t="s">
        <v>492</v>
      </c>
      <c r="J229" s="23">
        <f>J228</f>
        <v>522.89999999999986</v>
      </c>
      <c r="K229" s="157"/>
      <c r="L229" s="157"/>
      <c r="M229" s="141"/>
      <c r="N229" s="141"/>
      <c r="O229" s="141"/>
    </row>
    <row r="230" spans="1:15" ht="14.25">
      <c r="A230" s="106" t="s">
        <v>543</v>
      </c>
      <c r="B230" s="10" t="s">
        <v>98</v>
      </c>
      <c r="C230" s="27" t="s">
        <v>99</v>
      </c>
      <c r="D230" s="8"/>
      <c r="E230" s="8"/>
      <c r="F230" s="8"/>
      <c r="G230" s="8"/>
      <c r="H230" s="8"/>
      <c r="I230" s="8"/>
      <c r="J230" s="23"/>
      <c r="K230" s="157"/>
      <c r="L230" s="157"/>
      <c r="M230" s="141"/>
      <c r="N230" s="141"/>
      <c r="O230" s="141"/>
    </row>
    <row r="231" spans="1:15" ht="14.25">
      <c r="A231" s="10"/>
      <c r="B231" s="10"/>
      <c r="C231" s="26" t="s">
        <v>544</v>
      </c>
      <c r="D231" s="8" t="s">
        <v>525</v>
      </c>
      <c r="E231" s="8"/>
      <c r="F231" s="8">
        <v>2</v>
      </c>
      <c r="G231" s="8">
        <v>3.1549999999999998</v>
      </c>
      <c r="H231" s="14">
        <f>1.2+2*0.15</f>
        <v>1.5</v>
      </c>
      <c r="I231" s="14"/>
      <c r="J231" s="14">
        <f>F231*G231*H231</f>
        <v>9.4649999999999999</v>
      </c>
      <c r="K231" s="157"/>
      <c r="L231" s="157"/>
      <c r="M231" s="141"/>
      <c r="N231" s="141"/>
      <c r="O231" s="141"/>
    </row>
    <row r="232" spans="1:15" ht="14.25">
      <c r="A232" s="10"/>
      <c r="B232" s="10"/>
      <c r="C232" s="9" t="s">
        <v>545</v>
      </c>
      <c r="D232" s="8" t="s">
        <v>525</v>
      </c>
      <c r="E232" s="8"/>
      <c r="F232" s="8">
        <v>2</v>
      </c>
      <c r="G232" s="8">
        <v>3.15</v>
      </c>
      <c r="H232" s="14">
        <f>1.2+2*0.15</f>
        <v>1.5</v>
      </c>
      <c r="I232" s="14"/>
      <c r="J232" s="14">
        <f>F232*G232*H232</f>
        <v>9.4499999999999993</v>
      </c>
      <c r="K232" s="157"/>
      <c r="L232" s="157"/>
      <c r="M232" s="141"/>
      <c r="N232" s="141"/>
      <c r="O232" s="141"/>
    </row>
    <row r="233" spans="1:15" ht="14.25">
      <c r="A233" s="10"/>
      <c r="B233" s="10"/>
      <c r="C233" s="9" t="s">
        <v>546</v>
      </c>
      <c r="D233" s="8" t="s">
        <v>525</v>
      </c>
      <c r="E233" s="8"/>
      <c r="F233" s="8">
        <v>2</v>
      </c>
      <c r="G233" s="8">
        <v>3.15</v>
      </c>
      <c r="H233" s="14">
        <f>1.2+2*0.15</f>
        <v>1.5</v>
      </c>
      <c r="I233" s="14"/>
      <c r="J233" s="14">
        <f>F233*G233*H233</f>
        <v>9.4499999999999993</v>
      </c>
      <c r="K233" s="157"/>
      <c r="L233" s="157"/>
      <c r="M233" s="141"/>
      <c r="N233" s="141"/>
      <c r="O233" s="141"/>
    </row>
    <row r="234" spans="1:15" ht="14.25">
      <c r="A234" s="10"/>
      <c r="B234" s="10"/>
      <c r="C234" s="9"/>
      <c r="D234" s="8"/>
      <c r="E234" s="8"/>
      <c r="F234" s="8"/>
      <c r="G234" s="8"/>
      <c r="H234" s="14"/>
      <c r="I234" s="14"/>
      <c r="J234" s="14"/>
      <c r="K234" s="157"/>
      <c r="L234" s="157"/>
      <c r="M234" s="141"/>
      <c r="N234" s="141"/>
      <c r="O234" s="141"/>
    </row>
    <row r="235" spans="1:15" ht="14.25">
      <c r="A235" s="106"/>
      <c r="B235" s="10"/>
      <c r="C235" s="9"/>
      <c r="D235" s="8"/>
      <c r="E235" s="8"/>
      <c r="F235" s="8"/>
      <c r="G235" s="8"/>
      <c r="H235" s="8"/>
      <c r="I235" s="23" t="s">
        <v>491</v>
      </c>
      <c r="J235" s="32">
        <f>SUM(J231:J234)</f>
        <v>28.364999999999998</v>
      </c>
      <c r="K235" s="157"/>
      <c r="L235" s="157"/>
      <c r="M235" s="141"/>
      <c r="N235" s="141"/>
      <c r="O235" s="141"/>
    </row>
    <row r="236" spans="1:15" ht="14.25">
      <c r="A236" s="106"/>
      <c r="B236" s="10"/>
      <c r="C236" s="9"/>
      <c r="D236" s="8"/>
      <c r="E236" s="8"/>
      <c r="F236" s="8"/>
      <c r="G236" s="8"/>
      <c r="H236" s="8"/>
      <c r="I236" s="24" t="s">
        <v>492</v>
      </c>
      <c r="J236" s="23">
        <f>J235</f>
        <v>28.364999999999998</v>
      </c>
      <c r="K236" s="157"/>
      <c r="L236" s="157"/>
      <c r="M236" s="141"/>
      <c r="N236" s="141"/>
      <c r="O236" s="141"/>
    </row>
    <row r="237" spans="1:15" ht="25.5">
      <c r="A237" s="106" t="s">
        <v>547</v>
      </c>
      <c r="B237" s="10" t="s">
        <v>100</v>
      </c>
      <c r="C237" s="27" t="s">
        <v>101</v>
      </c>
      <c r="D237" s="8" t="s">
        <v>72</v>
      </c>
      <c r="E237" s="8"/>
      <c r="F237" s="8"/>
      <c r="G237" s="8"/>
      <c r="H237" s="8"/>
      <c r="I237" s="8"/>
      <c r="J237" s="23"/>
      <c r="K237" s="157"/>
      <c r="L237" s="157"/>
      <c r="M237" s="141"/>
      <c r="N237" s="141"/>
      <c r="O237" s="141"/>
    </row>
    <row r="238" spans="1:15" ht="14.25">
      <c r="A238" s="10"/>
      <c r="B238" s="10"/>
      <c r="C238" s="9" t="s">
        <v>548</v>
      </c>
      <c r="D238" s="8" t="s">
        <v>72</v>
      </c>
      <c r="E238" s="8"/>
      <c r="F238" s="8">
        <v>1</v>
      </c>
      <c r="G238" s="8">
        <f>3.68+1.2+1.2</f>
        <v>6.08</v>
      </c>
      <c r="H238" s="14">
        <f>0.6+0.6+0.23</f>
        <v>1.43</v>
      </c>
      <c r="I238" s="14"/>
      <c r="J238" s="32">
        <f>H238*G238*F238</f>
        <v>8.6943999999999999</v>
      </c>
      <c r="K238" s="157"/>
      <c r="L238" s="157"/>
      <c r="M238" s="141"/>
      <c r="N238" s="141"/>
      <c r="O238" s="141"/>
    </row>
    <row r="239" spans="1:15" ht="14.25">
      <c r="A239" s="10"/>
      <c r="B239" s="10"/>
      <c r="C239" s="9"/>
      <c r="D239" s="8" t="s">
        <v>72</v>
      </c>
      <c r="E239" s="8"/>
      <c r="F239" s="8">
        <v>1</v>
      </c>
      <c r="G239" s="8">
        <f>3.68+1.2+1.2</f>
        <v>6.08</v>
      </c>
      <c r="H239" s="14">
        <f>0.6+0.6+0.23</f>
        <v>1.43</v>
      </c>
      <c r="I239" s="14"/>
      <c r="J239" s="32">
        <f>H239*G239*F239</f>
        <v>8.6943999999999999</v>
      </c>
      <c r="K239" s="157"/>
      <c r="L239" s="157"/>
      <c r="M239" s="141"/>
      <c r="N239" s="141"/>
      <c r="O239" s="141"/>
    </row>
    <row r="240" spans="1:15" ht="14.25">
      <c r="A240" s="10"/>
      <c r="B240" s="10"/>
      <c r="C240" s="9"/>
      <c r="D240" s="8" t="s">
        <v>72</v>
      </c>
      <c r="E240" s="8"/>
      <c r="F240" s="8">
        <v>1</v>
      </c>
      <c r="G240" s="8">
        <f>3.68+1.2+1.2</f>
        <v>6.08</v>
      </c>
      <c r="H240" s="14">
        <f>0.6+0.6+0.23</f>
        <v>1.43</v>
      </c>
      <c r="I240" s="14"/>
      <c r="J240" s="32">
        <f>H240*G240*F240</f>
        <v>8.6943999999999999</v>
      </c>
      <c r="K240" s="157"/>
      <c r="L240" s="157"/>
      <c r="M240" s="141"/>
      <c r="N240" s="141"/>
      <c r="O240" s="141"/>
    </row>
    <row r="241" spans="1:15" ht="14.25">
      <c r="A241" s="10"/>
      <c r="B241" s="10"/>
      <c r="C241" s="9"/>
      <c r="D241" s="8" t="s">
        <v>72</v>
      </c>
      <c r="E241" s="8"/>
      <c r="F241" s="8">
        <v>1</v>
      </c>
      <c r="G241" s="8">
        <f>3.68+1.2+1.2</f>
        <v>6.08</v>
      </c>
      <c r="H241" s="14">
        <f>0.6+0.6+0.23</f>
        <v>1.43</v>
      </c>
      <c r="I241" s="14"/>
      <c r="J241" s="32">
        <f>H241*G241*F241</f>
        <v>8.6943999999999999</v>
      </c>
      <c r="K241" s="157"/>
      <c r="L241" s="157"/>
      <c r="M241" s="141"/>
      <c r="N241" s="141"/>
      <c r="O241" s="141"/>
    </row>
    <row r="242" spans="1:15" ht="14.25">
      <c r="A242" s="10"/>
      <c r="B242" s="10"/>
      <c r="C242" s="26"/>
      <c r="D242" s="8"/>
      <c r="E242" s="8"/>
      <c r="F242" s="8">
        <v>8</v>
      </c>
      <c r="G242" s="8">
        <f>3+3+1</f>
        <v>7</v>
      </c>
      <c r="H242" s="14">
        <f>0.45+0.45+0.15</f>
        <v>1.05</v>
      </c>
      <c r="I242" s="14"/>
      <c r="J242" s="14">
        <f>H242*G242*F242</f>
        <v>58.800000000000004</v>
      </c>
      <c r="K242" s="157"/>
      <c r="L242" s="157"/>
      <c r="M242" s="141"/>
      <c r="N242" s="141"/>
      <c r="O242" s="141"/>
    </row>
    <row r="243" spans="1:15" ht="14.25">
      <c r="A243" s="10"/>
      <c r="B243" s="10"/>
      <c r="C243" s="9"/>
      <c r="D243" s="8"/>
      <c r="E243" s="8"/>
      <c r="F243" s="8"/>
      <c r="G243" s="8"/>
      <c r="H243" s="8"/>
      <c r="I243" s="8" t="s">
        <v>491</v>
      </c>
      <c r="J243" s="23">
        <f>SUM(J238:J242)</f>
        <v>93.577600000000004</v>
      </c>
      <c r="K243" s="157"/>
      <c r="L243" s="157"/>
      <c r="M243" s="141"/>
      <c r="N243" s="141"/>
      <c r="O243" s="141"/>
    </row>
    <row r="244" spans="1:15" ht="14.25">
      <c r="A244" s="10"/>
      <c r="B244" s="10"/>
      <c r="C244" s="9"/>
      <c r="D244" s="8"/>
      <c r="E244" s="8"/>
      <c r="F244" s="8"/>
      <c r="G244" s="8"/>
      <c r="H244" s="8"/>
      <c r="I244" s="24" t="s">
        <v>492</v>
      </c>
      <c r="J244" s="23">
        <f>J243</f>
        <v>93.577600000000004</v>
      </c>
      <c r="K244" s="157"/>
      <c r="L244" s="157"/>
      <c r="M244" s="141"/>
      <c r="N244" s="141"/>
      <c r="O244" s="141"/>
    </row>
    <row r="245" spans="1:15" ht="38.25">
      <c r="A245" s="10" t="s">
        <v>102</v>
      </c>
      <c r="B245" s="10" t="s">
        <v>103</v>
      </c>
      <c r="C245" s="27" t="s">
        <v>104</v>
      </c>
      <c r="D245" s="8" t="s">
        <v>525</v>
      </c>
      <c r="E245" s="8"/>
      <c r="F245" s="8"/>
      <c r="G245" s="8"/>
      <c r="H245" s="8"/>
      <c r="I245" s="8"/>
      <c r="J245" s="23"/>
      <c r="K245" s="157"/>
      <c r="L245" s="157"/>
      <c r="M245" s="141"/>
      <c r="N245" s="141"/>
      <c r="O245" s="141"/>
    </row>
    <row r="246" spans="1:15" ht="14.25">
      <c r="A246" s="10"/>
      <c r="B246" s="16"/>
      <c r="C246" s="9" t="s">
        <v>549</v>
      </c>
      <c r="D246" s="8" t="s">
        <v>525</v>
      </c>
      <c r="E246" s="8">
        <v>42</v>
      </c>
      <c r="F246" s="8">
        <v>1</v>
      </c>
      <c r="G246" s="8">
        <v>1</v>
      </c>
      <c r="H246" s="8" t="s">
        <v>471</v>
      </c>
      <c r="I246" s="8">
        <f>0.115+2*0.15</f>
        <v>0.41499999999999998</v>
      </c>
      <c r="J246" s="23">
        <f>E246*F246*G246*I246</f>
        <v>17.43</v>
      </c>
      <c r="K246" s="157"/>
      <c r="L246" s="157"/>
      <c r="M246" s="141"/>
      <c r="N246" s="141"/>
      <c r="O246" s="141"/>
    </row>
    <row r="247" spans="1:15" ht="14.25">
      <c r="A247" s="10"/>
      <c r="B247" s="16"/>
      <c r="C247" s="9"/>
      <c r="D247" s="8"/>
      <c r="E247" s="8"/>
      <c r="F247" s="8"/>
      <c r="G247" s="8"/>
      <c r="H247" s="8"/>
      <c r="I247" s="24" t="s">
        <v>492</v>
      </c>
      <c r="J247" s="23">
        <f>J246</f>
        <v>17.43</v>
      </c>
      <c r="K247" s="157"/>
      <c r="L247" s="157"/>
      <c r="M247" s="141"/>
      <c r="N247" s="141"/>
      <c r="O247" s="141"/>
    </row>
    <row r="248" spans="1:15" ht="14.25">
      <c r="A248" s="106" t="s">
        <v>105</v>
      </c>
      <c r="B248" s="10" t="s">
        <v>106</v>
      </c>
      <c r="C248" s="27" t="s">
        <v>107</v>
      </c>
      <c r="D248" s="8" t="s">
        <v>525</v>
      </c>
      <c r="E248" s="8"/>
      <c r="F248" s="8"/>
      <c r="G248" s="8"/>
      <c r="H248" s="8"/>
      <c r="I248" s="8"/>
      <c r="J248" s="14" t="s">
        <v>471</v>
      </c>
      <c r="K248" s="157"/>
      <c r="L248" s="157"/>
      <c r="M248" s="141"/>
      <c r="N248" s="141"/>
      <c r="O248" s="141"/>
    </row>
    <row r="249" spans="1:15" ht="14.25">
      <c r="A249" s="106" t="s">
        <v>471</v>
      </c>
      <c r="B249" s="10"/>
      <c r="C249" s="9" t="s">
        <v>550</v>
      </c>
      <c r="D249" s="8" t="s">
        <v>525</v>
      </c>
      <c r="E249" s="8">
        <v>12</v>
      </c>
      <c r="F249" s="8"/>
      <c r="G249" s="8">
        <v>2</v>
      </c>
      <c r="H249" s="14">
        <v>0.6</v>
      </c>
      <c r="I249" s="14"/>
      <c r="J249" s="14">
        <f>H249*G249*E249</f>
        <v>14.399999999999999</v>
      </c>
      <c r="K249" s="157"/>
      <c r="L249" s="157"/>
      <c r="M249" s="141"/>
      <c r="N249" s="141"/>
      <c r="O249" s="141"/>
    </row>
    <row r="250" spans="1:15" ht="14.25">
      <c r="A250" s="106"/>
      <c r="B250" s="10"/>
      <c r="C250" s="9" t="s">
        <v>551</v>
      </c>
      <c r="D250" s="8"/>
      <c r="E250" s="8">
        <v>12</v>
      </c>
      <c r="F250" s="8">
        <v>2</v>
      </c>
      <c r="G250" s="8">
        <v>0.1</v>
      </c>
      <c r="H250" s="14"/>
      <c r="I250" s="14"/>
      <c r="J250" s="14">
        <f>G250*F250*E250</f>
        <v>2.4000000000000004</v>
      </c>
      <c r="K250" s="157"/>
      <c r="L250" s="157"/>
      <c r="M250" s="141"/>
      <c r="N250" s="141"/>
      <c r="O250" s="141"/>
    </row>
    <row r="251" spans="1:15" ht="14.25">
      <c r="A251" s="106"/>
      <c r="B251" s="10"/>
      <c r="C251" s="9"/>
      <c r="D251" s="8"/>
      <c r="E251" s="8">
        <v>16</v>
      </c>
      <c r="F251" s="8">
        <v>0.6</v>
      </c>
      <c r="G251" s="8">
        <v>0.1</v>
      </c>
      <c r="H251" s="14"/>
      <c r="I251" s="14"/>
      <c r="J251" s="14">
        <f>G251*F251*E251</f>
        <v>0.96</v>
      </c>
      <c r="K251" s="157"/>
      <c r="L251" s="157"/>
      <c r="M251" s="141"/>
      <c r="N251" s="141"/>
      <c r="O251" s="141"/>
    </row>
    <row r="252" spans="1:15" ht="14.25">
      <c r="A252" s="106"/>
      <c r="B252" s="10"/>
      <c r="C252" s="9" t="s">
        <v>552</v>
      </c>
      <c r="D252" s="8" t="s">
        <v>525</v>
      </c>
      <c r="E252" s="8">
        <v>8</v>
      </c>
      <c r="F252" s="8">
        <v>1</v>
      </c>
      <c r="G252" s="8">
        <f>0.9+0.2+0.2</f>
        <v>1.3</v>
      </c>
      <c r="H252" s="14">
        <v>0.6</v>
      </c>
      <c r="I252" s="14"/>
      <c r="J252" s="14">
        <f>H252*G252*E252</f>
        <v>6.24</v>
      </c>
      <c r="K252" s="157"/>
      <c r="L252" s="157"/>
      <c r="M252" s="141"/>
      <c r="N252" s="141"/>
      <c r="O252" s="141"/>
    </row>
    <row r="253" spans="1:15" ht="14.25">
      <c r="A253" s="106"/>
      <c r="B253" s="10"/>
      <c r="C253" s="9" t="s">
        <v>553</v>
      </c>
      <c r="D253" s="8"/>
      <c r="E253" s="8">
        <v>8</v>
      </c>
      <c r="F253" s="8">
        <v>1</v>
      </c>
      <c r="G253" s="8">
        <v>1.3</v>
      </c>
      <c r="H253" s="14"/>
      <c r="I253" s="14"/>
      <c r="J253" s="14">
        <f>G253*F253*E253</f>
        <v>10.4</v>
      </c>
      <c r="K253" s="157"/>
      <c r="L253" s="157"/>
      <c r="M253" s="141"/>
      <c r="N253" s="141"/>
      <c r="O253" s="141"/>
    </row>
    <row r="254" spans="1:15" ht="14.25">
      <c r="A254" s="106"/>
      <c r="B254" s="10"/>
      <c r="C254" s="9"/>
      <c r="D254" s="8"/>
      <c r="E254" s="8"/>
      <c r="F254" s="8"/>
      <c r="G254" s="8"/>
      <c r="H254" s="14"/>
      <c r="I254" s="14"/>
      <c r="J254" s="14"/>
      <c r="K254" s="157"/>
      <c r="L254" s="157"/>
      <c r="M254" s="141"/>
      <c r="N254" s="141"/>
      <c r="O254" s="141"/>
    </row>
    <row r="255" spans="1:15" ht="14.25">
      <c r="A255" s="10"/>
      <c r="B255" s="10"/>
      <c r="C255" s="9"/>
      <c r="D255" s="8"/>
      <c r="E255" s="8"/>
      <c r="F255" s="8"/>
      <c r="G255" s="8"/>
      <c r="H255" s="8"/>
      <c r="I255" s="23" t="s">
        <v>491</v>
      </c>
      <c r="J255" s="32">
        <f>SUM(J249:J253)</f>
        <v>34.4</v>
      </c>
      <c r="K255" s="157"/>
      <c r="L255" s="157"/>
      <c r="M255" s="141"/>
      <c r="N255" s="141"/>
      <c r="O255" s="141"/>
    </row>
    <row r="256" spans="1:15" ht="14.25">
      <c r="A256" s="10"/>
      <c r="B256" s="10"/>
      <c r="C256" s="9"/>
      <c r="D256" s="8"/>
      <c r="E256" s="8"/>
      <c r="F256" s="8"/>
      <c r="G256" s="8"/>
      <c r="H256" s="8"/>
      <c r="I256" s="24" t="s">
        <v>492</v>
      </c>
      <c r="J256" s="23">
        <f>J255</f>
        <v>34.4</v>
      </c>
      <c r="K256" s="157"/>
      <c r="L256" s="157"/>
      <c r="M256" s="141"/>
      <c r="N256" s="141"/>
      <c r="O256" s="141"/>
    </row>
    <row r="257" spans="1:15" ht="63.75">
      <c r="A257" s="10" t="s">
        <v>108</v>
      </c>
      <c r="B257" s="10" t="s">
        <v>554</v>
      </c>
      <c r="C257" s="27" t="s">
        <v>555</v>
      </c>
      <c r="D257" s="8"/>
      <c r="E257" s="8"/>
      <c r="F257" s="8"/>
      <c r="G257" s="8"/>
      <c r="H257" s="8"/>
      <c r="I257" s="8"/>
      <c r="J257" s="14"/>
      <c r="K257" s="157"/>
      <c r="L257" s="157"/>
      <c r="M257" s="141"/>
      <c r="N257" s="141"/>
      <c r="O257" s="141"/>
    </row>
    <row r="258" spans="1:15" ht="25.5">
      <c r="A258" s="10"/>
      <c r="B258" s="10" t="s">
        <v>556</v>
      </c>
      <c r="C258" s="27" t="s">
        <v>557</v>
      </c>
      <c r="D258" s="8" t="s">
        <v>525</v>
      </c>
      <c r="E258" s="8"/>
      <c r="F258" s="8">
        <v>1</v>
      </c>
      <c r="G258" s="8">
        <v>2.4</v>
      </c>
      <c r="H258" s="14">
        <v>4.9000000000000004</v>
      </c>
      <c r="I258" s="14"/>
      <c r="J258" s="23">
        <f>F258*G258*H258</f>
        <v>11.76</v>
      </c>
      <c r="K258" s="157"/>
      <c r="L258" s="157"/>
      <c r="M258" s="141"/>
      <c r="N258" s="141"/>
      <c r="O258" s="141"/>
    </row>
    <row r="259" spans="1:15" ht="14.25">
      <c r="A259" s="10"/>
      <c r="B259" s="10"/>
      <c r="C259" s="9"/>
      <c r="D259" s="8"/>
      <c r="E259" s="8"/>
      <c r="F259" s="8"/>
      <c r="G259" s="8"/>
      <c r="H259" s="8"/>
      <c r="I259" s="24" t="s">
        <v>492</v>
      </c>
      <c r="J259" s="23">
        <v>12</v>
      </c>
      <c r="K259" s="157"/>
      <c r="L259" s="157"/>
      <c r="M259" s="141"/>
      <c r="N259" s="141"/>
      <c r="O259" s="141"/>
    </row>
    <row r="260" spans="1:15" ht="38.25">
      <c r="A260" s="10" t="s">
        <v>558</v>
      </c>
      <c r="B260" s="10" t="s">
        <v>559</v>
      </c>
      <c r="C260" s="27" t="s">
        <v>560</v>
      </c>
      <c r="D260" s="8"/>
      <c r="E260" s="8"/>
      <c r="F260" s="8"/>
      <c r="G260" s="8"/>
      <c r="H260" s="8"/>
      <c r="I260" s="8"/>
      <c r="J260" s="14"/>
      <c r="K260" s="157"/>
      <c r="L260" s="157"/>
      <c r="M260" s="141"/>
      <c r="N260" s="141"/>
      <c r="O260" s="141"/>
    </row>
    <row r="261" spans="1:15" ht="14.25">
      <c r="A261" s="10"/>
      <c r="B261" s="10" t="s">
        <v>559</v>
      </c>
      <c r="C261" s="27" t="s">
        <v>561</v>
      </c>
      <c r="D261" s="8" t="s">
        <v>562</v>
      </c>
      <c r="E261" s="8"/>
      <c r="F261" s="8"/>
      <c r="G261" s="8"/>
      <c r="H261" s="8"/>
      <c r="I261" s="8"/>
      <c r="J261" s="14" t="s">
        <v>471</v>
      </c>
      <c r="K261" s="157"/>
      <c r="L261" s="161"/>
      <c r="M261" s="141"/>
      <c r="N261" s="141"/>
      <c r="O261" s="141"/>
    </row>
    <row r="262" spans="1:15" ht="14.25">
      <c r="A262" s="10"/>
      <c r="B262" s="10"/>
      <c r="C262" s="26"/>
      <c r="D262" s="8"/>
      <c r="E262" s="8"/>
      <c r="F262" s="8"/>
      <c r="G262" s="8"/>
      <c r="H262" s="63"/>
      <c r="I262" s="8"/>
      <c r="J262" s="14"/>
      <c r="K262" s="157"/>
      <c r="L262" s="161"/>
      <c r="M262" s="141"/>
      <c r="N262" s="141"/>
      <c r="O262" s="141"/>
    </row>
    <row r="263" spans="1:15" ht="14.25">
      <c r="A263" s="10"/>
      <c r="B263" s="10"/>
      <c r="C263" s="26" t="s">
        <v>563</v>
      </c>
      <c r="D263" s="8"/>
      <c r="E263" s="8">
        <v>30</v>
      </c>
      <c r="F263" s="14">
        <f>J299</f>
        <v>110.592</v>
      </c>
      <c r="G263" s="8"/>
      <c r="H263" s="63"/>
      <c r="I263" s="8">
        <f t="shared" ref="I263:I268" si="11">F263*E263</f>
        <v>3317.7599999999998</v>
      </c>
      <c r="J263" s="14"/>
      <c r="K263" s="157"/>
      <c r="L263" s="161"/>
      <c r="M263" s="141"/>
      <c r="N263" s="141"/>
      <c r="O263" s="141"/>
    </row>
    <row r="264" spans="1:15" ht="14.25">
      <c r="A264" s="10"/>
      <c r="B264" s="10"/>
      <c r="C264" s="26" t="s">
        <v>564</v>
      </c>
      <c r="D264" s="8"/>
      <c r="E264" s="8">
        <v>210</v>
      </c>
      <c r="F264" s="14">
        <f>J330</f>
        <v>12.585600000000001</v>
      </c>
      <c r="G264" s="8"/>
      <c r="H264" s="63"/>
      <c r="I264" s="8">
        <f t="shared" si="11"/>
        <v>2642.9760000000001</v>
      </c>
      <c r="J264" s="14"/>
      <c r="K264" s="157"/>
      <c r="L264" s="161"/>
      <c r="M264" s="141"/>
      <c r="N264" s="141"/>
      <c r="O264" s="141"/>
    </row>
    <row r="265" spans="1:15" ht="14.25">
      <c r="A265" s="10"/>
      <c r="B265" s="10"/>
      <c r="C265" s="26" t="s">
        <v>565</v>
      </c>
      <c r="D265" s="8"/>
      <c r="E265" s="8">
        <v>65</v>
      </c>
      <c r="F265" s="14">
        <f>J324</f>
        <v>278.637</v>
      </c>
      <c r="G265" s="8"/>
      <c r="H265" s="63"/>
      <c r="I265" s="8">
        <f t="shared" si="11"/>
        <v>18111.404999999999</v>
      </c>
      <c r="J265" s="14"/>
      <c r="K265" s="157"/>
      <c r="L265" s="161"/>
      <c r="M265" s="141"/>
      <c r="N265" s="141"/>
      <c r="O265" s="141"/>
    </row>
    <row r="266" spans="1:15" ht="14.25">
      <c r="A266" s="10"/>
      <c r="B266" s="10"/>
      <c r="C266" s="26" t="s">
        <v>566</v>
      </c>
      <c r="D266" s="8"/>
      <c r="E266" s="8">
        <v>145</v>
      </c>
      <c r="F266" s="14">
        <f>J317</f>
        <v>38.182185000000004</v>
      </c>
      <c r="G266" s="8"/>
      <c r="H266" s="63"/>
      <c r="I266" s="8">
        <f t="shared" si="11"/>
        <v>5536.4168250000002</v>
      </c>
      <c r="J266" s="14"/>
      <c r="K266" s="157"/>
      <c r="L266" s="161"/>
      <c r="M266" s="141"/>
      <c r="N266" s="141"/>
      <c r="O266" s="141"/>
    </row>
    <row r="267" spans="1:15" ht="14.25">
      <c r="A267" s="10"/>
      <c r="B267" s="10"/>
      <c r="C267" s="26" t="s">
        <v>567</v>
      </c>
      <c r="D267" s="8"/>
      <c r="E267" s="8">
        <v>65</v>
      </c>
      <c r="F267" s="14"/>
      <c r="G267" s="8"/>
      <c r="H267" s="63"/>
      <c r="I267" s="8">
        <f t="shared" si="11"/>
        <v>0</v>
      </c>
      <c r="J267" s="14"/>
      <c r="K267" s="157"/>
      <c r="L267" s="161"/>
      <c r="M267" s="141"/>
      <c r="N267" s="141"/>
      <c r="O267" s="141"/>
    </row>
    <row r="268" spans="1:15" ht="14.25">
      <c r="A268" s="10"/>
      <c r="B268" s="10"/>
      <c r="C268" s="26" t="s">
        <v>568</v>
      </c>
      <c r="D268" s="8"/>
      <c r="E268" s="8">
        <v>65</v>
      </c>
      <c r="F268" s="14"/>
      <c r="G268" s="8"/>
      <c r="H268" s="63"/>
      <c r="I268" s="8">
        <f t="shared" si="11"/>
        <v>0</v>
      </c>
      <c r="J268" s="14"/>
      <c r="K268" s="157"/>
      <c r="L268" s="161"/>
      <c r="M268" s="141"/>
      <c r="N268" s="141"/>
      <c r="O268" s="141"/>
    </row>
    <row r="269" spans="1:15" ht="14.25">
      <c r="A269" s="10"/>
      <c r="B269" s="10"/>
      <c r="C269" s="26" t="s">
        <v>569</v>
      </c>
      <c r="D269" s="8" t="s">
        <v>470</v>
      </c>
      <c r="E269" s="8"/>
      <c r="F269" s="8"/>
      <c r="G269" s="8"/>
      <c r="H269" s="63"/>
      <c r="I269" s="8">
        <f>SUM(I263:I268)</f>
        <v>29608.557825</v>
      </c>
      <c r="J269" s="14"/>
      <c r="K269" s="157"/>
      <c r="L269" s="161"/>
      <c r="M269" s="141"/>
      <c r="N269" s="141"/>
      <c r="O269" s="141"/>
    </row>
    <row r="270" spans="1:15" ht="14.25">
      <c r="A270" s="10"/>
      <c r="B270" s="10"/>
      <c r="C270" s="9"/>
      <c r="D270" s="8"/>
      <c r="E270" s="8"/>
      <c r="F270" s="8"/>
      <c r="G270" s="8"/>
      <c r="H270" s="8"/>
      <c r="I270" s="23" t="s">
        <v>491</v>
      </c>
      <c r="J270" s="32">
        <f>I269</f>
        <v>29608.557825</v>
      </c>
      <c r="K270" s="157"/>
      <c r="L270" s="161"/>
      <c r="M270" s="141"/>
      <c r="N270" s="141"/>
      <c r="O270" s="141"/>
    </row>
    <row r="271" spans="1:15" ht="14.25">
      <c r="A271" s="10"/>
      <c r="B271" s="10"/>
      <c r="C271" s="9"/>
      <c r="D271" s="8"/>
      <c r="E271" s="8"/>
      <c r="F271" s="8"/>
      <c r="G271" s="8"/>
      <c r="H271" s="8"/>
      <c r="I271" s="23" t="s">
        <v>492</v>
      </c>
      <c r="J271" s="32">
        <f>J270</f>
        <v>29608.557825</v>
      </c>
      <c r="K271" s="157"/>
      <c r="L271" s="161"/>
      <c r="M271" s="141"/>
      <c r="N271" s="141"/>
      <c r="O271" s="141"/>
    </row>
    <row r="272" spans="1:15" ht="38.25">
      <c r="A272" s="10" t="s">
        <v>113</v>
      </c>
      <c r="B272" s="10" t="s">
        <v>570</v>
      </c>
      <c r="C272" s="27" t="s">
        <v>571</v>
      </c>
      <c r="D272" s="8"/>
      <c r="E272" s="8"/>
      <c r="F272" s="8"/>
      <c r="G272" s="8"/>
      <c r="H272" s="8"/>
      <c r="I272" s="8"/>
      <c r="J272" s="14"/>
      <c r="K272" s="157"/>
      <c r="L272" s="157"/>
      <c r="M272" s="141"/>
      <c r="N272" s="141"/>
      <c r="O272" s="141"/>
    </row>
    <row r="273" spans="1:15" ht="25.5">
      <c r="A273" s="10"/>
      <c r="B273" s="21" t="s">
        <v>570</v>
      </c>
      <c r="C273" s="67" t="s">
        <v>561</v>
      </c>
      <c r="D273" s="18" t="s">
        <v>562</v>
      </c>
      <c r="E273" s="18" t="s">
        <v>572</v>
      </c>
      <c r="F273" s="18"/>
      <c r="G273" s="18"/>
      <c r="H273" s="18"/>
      <c r="I273" s="18"/>
      <c r="J273" s="22" t="s">
        <v>471</v>
      </c>
      <c r="K273" s="157"/>
      <c r="L273" s="161"/>
      <c r="M273" s="141"/>
      <c r="N273" s="141"/>
      <c r="O273" s="141"/>
    </row>
    <row r="274" spans="1:15" ht="14.25">
      <c r="A274" s="10"/>
      <c r="B274" s="21"/>
      <c r="C274" s="9" t="s">
        <v>573</v>
      </c>
      <c r="D274" s="8"/>
      <c r="E274" s="8"/>
      <c r="F274" s="8"/>
      <c r="G274" s="8"/>
      <c r="H274" s="63"/>
      <c r="I274" s="8"/>
      <c r="J274" s="14"/>
      <c r="K274" s="157"/>
      <c r="L274" s="161"/>
      <c r="M274" s="141"/>
      <c r="N274" s="141"/>
      <c r="O274" s="141"/>
    </row>
    <row r="275" spans="1:15" ht="14.25">
      <c r="A275" s="10"/>
      <c r="B275" s="21"/>
      <c r="C275" s="26" t="s">
        <v>574</v>
      </c>
      <c r="D275" s="8"/>
      <c r="E275" s="8">
        <v>145</v>
      </c>
      <c r="F275" s="14">
        <f>J390</f>
        <v>116.38575000000004</v>
      </c>
      <c r="G275" s="8"/>
      <c r="H275" s="63"/>
      <c r="I275" s="8">
        <f>F275*E275</f>
        <v>16875.933750000007</v>
      </c>
      <c r="J275" s="14"/>
      <c r="K275" s="157"/>
      <c r="L275" s="161"/>
      <c r="M275" s="141"/>
      <c r="N275" s="141"/>
      <c r="O275" s="141"/>
    </row>
    <row r="276" spans="1:15" ht="14.25">
      <c r="A276" s="10"/>
      <c r="B276" s="21"/>
      <c r="C276" s="26" t="s">
        <v>575</v>
      </c>
      <c r="D276" s="8"/>
      <c r="E276" s="8">
        <v>65</v>
      </c>
      <c r="F276" s="14">
        <f>J410</f>
        <v>101.33379000000001</v>
      </c>
      <c r="G276" s="8"/>
      <c r="H276" s="63"/>
      <c r="I276" s="8">
        <f>F276*E276</f>
        <v>6586.6963500000002</v>
      </c>
      <c r="J276" s="14"/>
      <c r="K276" s="157"/>
      <c r="L276" s="161"/>
      <c r="M276" s="141"/>
      <c r="N276" s="141"/>
      <c r="O276" s="141"/>
    </row>
    <row r="277" spans="1:15" ht="14.25">
      <c r="A277" s="10"/>
      <c r="B277" s="21"/>
      <c r="C277" s="26" t="s">
        <v>573</v>
      </c>
      <c r="D277" s="8"/>
      <c r="E277" s="8">
        <v>210</v>
      </c>
      <c r="F277" s="14">
        <f>J414</f>
        <v>40.351049999999987</v>
      </c>
      <c r="G277" s="8"/>
      <c r="H277" s="63"/>
      <c r="I277" s="8">
        <f>F277*E277</f>
        <v>8473.7204999999976</v>
      </c>
      <c r="J277" s="14"/>
      <c r="K277" s="157"/>
      <c r="L277" s="161"/>
      <c r="M277" s="141"/>
      <c r="N277" s="141"/>
      <c r="O277" s="141"/>
    </row>
    <row r="278" spans="1:15" ht="14.25">
      <c r="A278" s="10"/>
      <c r="B278" s="21"/>
      <c r="C278" s="26"/>
      <c r="D278" s="8"/>
      <c r="E278" s="8"/>
      <c r="F278" s="14"/>
      <c r="G278" s="8"/>
      <c r="H278" s="63"/>
      <c r="I278" s="8"/>
      <c r="J278" s="14"/>
      <c r="K278" s="157"/>
      <c r="L278" s="161"/>
      <c r="M278" s="141"/>
      <c r="N278" s="141"/>
      <c r="O278" s="141"/>
    </row>
    <row r="279" spans="1:15" ht="14.25">
      <c r="A279" s="10"/>
      <c r="B279" s="21"/>
      <c r="C279" s="26"/>
      <c r="D279" s="8"/>
      <c r="E279" s="8"/>
      <c r="F279" s="14"/>
      <c r="G279" s="8"/>
      <c r="H279" s="63"/>
      <c r="I279" s="8"/>
      <c r="J279" s="14"/>
      <c r="K279" s="157"/>
      <c r="L279" s="161"/>
      <c r="M279" s="141"/>
      <c r="N279" s="141"/>
      <c r="O279" s="141"/>
    </row>
    <row r="280" spans="1:15" ht="14.25">
      <c r="A280" s="10"/>
      <c r="B280" s="10"/>
      <c r="C280" s="9"/>
      <c r="D280" s="8"/>
      <c r="E280" s="8"/>
      <c r="F280" s="8"/>
      <c r="G280" s="8"/>
      <c r="H280" s="8"/>
      <c r="I280" s="23" t="s">
        <v>491</v>
      </c>
      <c r="J280" s="32">
        <f>SUM(I275:I277)</f>
        <v>31936.350600000005</v>
      </c>
      <c r="K280" s="157"/>
      <c r="L280" s="157"/>
      <c r="M280" s="141"/>
      <c r="N280" s="141"/>
      <c r="O280" s="141"/>
    </row>
    <row r="281" spans="1:15" ht="14.25">
      <c r="A281" s="10"/>
      <c r="B281" s="10"/>
      <c r="C281" s="9"/>
      <c r="D281" s="8"/>
      <c r="E281" s="8"/>
      <c r="F281" s="8"/>
      <c r="G281" s="8"/>
      <c r="H281" s="8"/>
      <c r="I281" s="23" t="s">
        <v>492</v>
      </c>
      <c r="J281" s="32">
        <f>J280</f>
        <v>31936.350600000005</v>
      </c>
      <c r="K281" s="157"/>
      <c r="L281" s="162"/>
      <c r="M281" s="141"/>
      <c r="N281" s="141"/>
      <c r="O281" s="141"/>
    </row>
    <row r="282" spans="1:15" ht="25.5">
      <c r="A282" s="10" t="s">
        <v>116</v>
      </c>
      <c r="B282" s="10" t="s">
        <v>109</v>
      </c>
      <c r="C282" s="27" t="s">
        <v>576</v>
      </c>
      <c r="D282" s="8" t="s">
        <v>577</v>
      </c>
      <c r="E282" s="8"/>
      <c r="F282" s="8"/>
      <c r="G282" s="8"/>
      <c r="H282" s="8"/>
      <c r="I282" s="8"/>
      <c r="J282" s="14" t="s">
        <v>471</v>
      </c>
      <c r="K282" s="157"/>
      <c r="L282" s="157"/>
      <c r="M282" s="141"/>
      <c r="N282" s="141"/>
      <c r="O282" s="141"/>
    </row>
    <row r="283" spans="1:15" ht="14.25">
      <c r="A283" s="10"/>
      <c r="B283" s="10"/>
      <c r="C283" s="9" t="s">
        <v>578</v>
      </c>
      <c r="D283" s="8"/>
      <c r="E283" s="8">
        <v>1</v>
      </c>
      <c r="F283" s="8">
        <v>1</v>
      </c>
      <c r="G283" s="8">
        <f>2.86+2*1.2</f>
        <v>5.26</v>
      </c>
      <c r="H283" s="14" t="s">
        <v>471</v>
      </c>
      <c r="I283" s="14" t="s">
        <v>471</v>
      </c>
      <c r="J283" s="14">
        <f t="shared" ref="J283:J290" si="12">E283*F283*G283</f>
        <v>5.26</v>
      </c>
      <c r="K283" s="157"/>
      <c r="L283" s="157"/>
      <c r="M283" s="141"/>
      <c r="N283" s="141"/>
      <c r="O283" s="141"/>
    </row>
    <row r="284" spans="1:15" ht="14.25">
      <c r="A284" s="10"/>
      <c r="B284" s="10"/>
      <c r="C284" s="9" t="s">
        <v>552</v>
      </c>
      <c r="D284" s="8"/>
      <c r="E284" s="8">
        <v>4</v>
      </c>
      <c r="F284" s="8">
        <v>1</v>
      </c>
      <c r="G284" s="8">
        <f>2.005+2*0.6</f>
        <v>3.2050000000000001</v>
      </c>
      <c r="H284" s="14"/>
      <c r="I284" s="14"/>
      <c r="J284" s="14">
        <f t="shared" si="12"/>
        <v>12.82</v>
      </c>
      <c r="K284" s="157"/>
      <c r="L284" s="157"/>
      <c r="M284" s="141"/>
      <c r="N284" s="141"/>
      <c r="O284" s="141"/>
    </row>
    <row r="285" spans="1:15" ht="14.25">
      <c r="A285" s="10"/>
      <c r="B285" s="10"/>
      <c r="C285" s="9"/>
      <c r="D285" s="8"/>
      <c r="E285" s="8">
        <v>4</v>
      </c>
      <c r="F285" s="8">
        <v>1</v>
      </c>
      <c r="G285" s="8">
        <f>2.845+2*0.6</f>
        <v>4.0449999999999999</v>
      </c>
      <c r="H285" s="14"/>
      <c r="I285" s="14"/>
      <c r="J285" s="14">
        <f t="shared" si="12"/>
        <v>16.18</v>
      </c>
      <c r="K285" s="157"/>
      <c r="L285" s="157"/>
      <c r="M285" s="141"/>
      <c r="N285" s="141"/>
      <c r="O285" s="141"/>
    </row>
    <row r="286" spans="1:15" ht="14.25">
      <c r="A286" s="10"/>
      <c r="B286" s="10"/>
      <c r="C286" s="9"/>
      <c r="D286" s="8"/>
      <c r="E286" s="8">
        <v>4</v>
      </c>
      <c r="F286" s="8">
        <v>1</v>
      </c>
      <c r="G286" s="8">
        <f>1.35+2*0.6</f>
        <v>2.5499999999999998</v>
      </c>
      <c r="H286" s="14"/>
      <c r="I286" s="14"/>
      <c r="J286" s="14">
        <f t="shared" si="12"/>
        <v>10.199999999999999</v>
      </c>
      <c r="K286" s="157"/>
      <c r="L286" s="157"/>
      <c r="M286" s="141"/>
      <c r="N286" s="141"/>
      <c r="O286" s="141"/>
    </row>
    <row r="287" spans="1:15" ht="14.25">
      <c r="A287" s="10"/>
      <c r="B287" s="10"/>
      <c r="C287" s="9"/>
      <c r="D287" s="8"/>
      <c r="E287" s="8">
        <v>4</v>
      </c>
      <c r="F287" s="8">
        <v>1</v>
      </c>
      <c r="G287" s="8">
        <f>1.2+2*0.6</f>
        <v>2.4</v>
      </c>
      <c r="H287" s="14"/>
      <c r="I287" s="14"/>
      <c r="J287" s="14">
        <f t="shared" si="12"/>
        <v>9.6</v>
      </c>
      <c r="K287" s="157"/>
      <c r="L287" s="157"/>
      <c r="M287" s="141"/>
      <c r="N287" s="141"/>
      <c r="O287" s="141"/>
    </row>
    <row r="288" spans="1:15" ht="14.25">
      <c r="A288" s="10"/>
      <c r="B288" s="10"/>
      <c r="C288" s="9"/>
      <c r="D288" s="8"/>
      <c r="E288" s="8">
        <v>2</v>
      </c>
      <c r="F288" s="8">
        <v>1</v>
      </c>
      <c r="G288" s="8">
        <f>2.63+2*0.6</f>
        <v>3.83</v>
      </c>
      <c r="H288" s="14"/>
      <c r="I288" s="14"/>
      <c r="J288" s="14">
        <f t="shared" si="12"/>
        <v>7.66</v>
      </c>
      <c r="K288" s="157"/>
      <c r="L288" s="157"/>
      <c r="M288" s="141"/>
      <c r="N288" s="141"/>
      <c r="O288" s="141"/>
    </row>
    <row r="289" spans="1:15" ht="14.25">
      <c r="A289" s="10"/>
      <c r="B289" s="10"/>
      <c r="C289" s="9"/>
      <c r="D289" s="8"/>
      <c r="E289" s="8">
        <v>8</v>
      </c>
      <c r="F289" s="8">
        <v>1</v>
      </c>
      <c r="G289" s="8">
        <f>1.08+2*0.6</f>
        <v>2.2800000000000002</v>
      </c>
      <c r="H289" s="14"/>
      <c r="I289" s="14"/>
      <c r="J289" s="14">
        <f t="shared" si="12"/>
        <v>18.240000000000002</v>
      </c>
      <c r="K289" s="157"/>
      <c r="L289" s="157"/>
      <c r="M289" s="141"/>
      <c r="N289" s="141"/>
      <c r="O289" s="141"/>
    </row>
    <row r="290" spans="1:15" ht="14.25">
      <c r="A290" s="10"/>
      <c r="B290" s="10"/>
      <c r="C290" s="9" t="s">
        <v>579</v>
      </c>
      <c r="D290" s="8"/>
      <c r="E290" s="8">
        <v>1</v>
      </c>
      <c r="F290" s="8">
        <v>1</v>
      </c>
      <c r="G290" s="8">
        <f>1.5+2*0.75</f>
        <v>3</v>
      </c>
      <c r="H290" s="14"/>
      <c r="I290" s="14"/>
      <c r="J290" s="14">
        <f t="shared" si="12"/>
        <v>3</v>
      </c>
      <c r="K290" s="157"/>
      <c r="L290" s="157"/>
      <c r="M290" s="141"/>
      <c r="N290" s="141"/>
      <c r="O290" s="141"/>
    </row>
    <row r="291" spans="1:15" ht="14.25">
      <c r="A291" s="10"/>
      <c r="B291" s="10"/>
      <c r="C291" s="9"/>
      <c r="D291" s="8"/>
      <c r="E291" s="8"/>
      <c r="F291" s="8"/>
      <c r="G291" s="8"/>
      <c r="H291" s="8"/>
      <c r="I291" s="8"/>
      <c r="J291" s="14"/>
      <c r="K291" s="157"/>
      <c r="L291" s="157"/>
      <c r="M291" s="141"/>
      <c r="N291" s="141"/>
      <c r="O291" s="141"/>
    </row>
    <row r="292" spans="1:15" ht="14.25">
      <c r="A292" s="10"/>
      <c r="B292" s="10"/>
      <c r="C292" s="9"/>
      <c r="D292" s="8"/>
      <c r="E292" s="8"/>
      <c r="F292" s="8"/>
      <c r="G292" s="8"/>
      <c r="H292" s="8"/>
      <c r="I292" s="23" t="s">
        <v>491</v>
      </c>
      <c r="J292" s="32">
        <f>SUM(J283:J290)</f>
        <v>82.960000000000008</v>
      </c>
      <c r="K292" s="157"/>
      <c r="L292" s="157"/>
      <c r="M292" s="141"/>
      <c r="N292" s="141"/>
      <c r="O292" s="141"/>
    </row>
    <row r="293" spans="1:15" ht="14.25">
      <c r="A293" s="10"/>
      <c r="B293" s="10"/>
      <c r="C293" s="94"/>
      <c r="D293" s="8"/>
      <c r="E293" s="8"/>
      <c r="F293" s="8"/>
      <c r="G293" s="8"/>
      <c r="H293" s="8"/>
      <c r="I293" s="23" t="s">
        <v>492</v>
      </c>
      <c r="J293" s="32">
        <v>83</v>
      </c>
      <c r="K293" s="157"/>
      <c r="L293" s="157"/>
      <c r="M293" s="141"/>
      <c r="N293" s="141"/>
      <c r="O293" s="141"/>
    </row>
    <row r="294" spans="1:15" ht="140.25">
      <c r="A294" s="10" t="s">
        <v>121</v>
      </c>
      <c r="B294" s="10" t="s">
        <v>112</v>
      </c>
      <c r="C294" s="27" t="s">
        <v>580</v>
      </c>
      <c r="D294" s="8"/>
      <c r="E294" s="8"/>
      <c r="F294" s="8"/>
      <c r="G294" s="8"/>
      <c r="H294" s="8"/>
      <c r="I294" s="23"/>
      <c r="J294" s="32"/>
      <c r="K294" s="157"/>
      <c r="L294" s="157"/>
      <c r="M294" s="141"/>
      <c r="N294" s="141"/>
      <c r="O294" s="141"/>
    </row>
    <row r="295" spans="1:15" ht="38.25">
      <c r="A295" s="10"/>
      <c r="B295" s="10"/>
      <c r="C295" s="27" t="s">
        <v>581</v>
      </c>
      <c r="D295" s="8"/>
      <c r="E295" s="8"/>
      <c r="F295" s="8"/>
      <c r="G295" s="8"/>
      <c r="H295" s="8"/>
      <c r="I295" s="23"/>
      <c r="J295" s="32"/>
      <c r="K295" s="157"/>
      <c r="L295" s="157"/>
      <c r="M295" s="141"/>
      <c r="N295" s="141"/>
      <c r="O295" s="141"/>
    </row>
    <row r="296" spans="1:15" ht="14.25">
      <c r="A296" s="10"/>
      <c r="B296" s="10" t="s">
        <v>582</v>
      </c>
      <c r="C296" s="27" t="s">
        <v>583</v>
      </c>
      <c r="D296" s="8"/>
      <c r="E296" s="8"/>
      <c r="F296" s="8"/>
      <c r="G296" s="8"/>
      <c r="H296" s="8"/>
      <c r="I296" s="23"/>
      <c r="J296" s="32"/>
      <c r="K296" s="157"/>
      <c r="L296" s="157"/>
      <c r="M296" s="141"/>
      <c r="N296" s="141"/>
      <c r="O296" s="141"/>
    </row>
    <row r="297" spans="1:15" ht="14.25">
      <c r="A297" s="10"/>
      <c r="B297" s="10"/>
      <c r="C297" s="66" t="s">
        <v>563</v>
      </c>
      <c r="D297" s="8" t="s">
        <v>584</v>
      </c>
      <c r="E297" s="18"/>
      <c r="F297" s="8">
        <v>32</v>
      </c>
      <c r="G297" s="8">
        <v>2.4</v>
      </c>
      <c r="H297" s="8">
        <v>2.4</v>
      </c>
      <c r="I297" s="23">
        <v>0.6</v>
      </c>
      <c r="J297" s="32">
        <f>I297*H297*G297*F297</f>
        <v>110.592</v>
      </c>
      <c r="K297" s="157"/>
      <c r="L297" s="157"/>
      <c r="M297" s="141"/>
      <c r="N297" s="141"/>
      <c r="O297" s="141"/>
    </row>
    <row r="298" spans="1:15" ht="14.25">
      <c r="A298" s="10"/>
      <c r="B298" s="10"/>
      <c r="C298" s="26"/>
      <c r="D298" s="8"/>
      <c r="E298" s="18"/>
      <c r="F298" s="8"/>
      <c r="G298" s="8"/>
      <c r="H298" s="8"/>
      <c r="I298" s="8"/>
      <c r="J298" s="14">
        <f>J297</f>
        <v>110.592</v>
      </c>
      <c r="K298" s="157"/>
      <c r="L298" s="157"/>
      <c r="M298" s="141"/>
      <c r="N298" s="141"/>
      <c r="O298" s="141"/>
    </row>
    <row r="299" spans="1:15" ht="14.25">
      <c r="A299" s="10"/>
      <c r="B299" s="10"/>
      <c r="C299" s="26"/>
      <c r="D299" s="8"/>
      <c r="E299" s="8"/>
      <c r="F299" s="8"/>
      <c r="G299" s="112"/>
      <c r="H299" s="577" t="s">
        <v>585</v>
      </c>
      <c r="I299" s="578"/>
      <c r="J299" s="23">
        <f>SUM(J298:J298)</f>
        <v>110.592</v>
      </c>
      <c r="K299" s="157"/>
      <c r="L299" s="157"/>
      <c r="M299" s="141"/>
      <c r="N299" s="141"/>
      <c r="O299" s="141"/>
    </row>
    <row r="300" spans="1:15" ht="14.25">
      <c r="A300" s="10"/>
      <c r="B300" s="10"/>
      <c r="C300" s="66" t="s">
        <v>499</v>
      </c>
      <c r="D300" s="8" t="s">
        <v>584</v>
      </c>
      <c r="E300" s="8"/>
      <c r="F300" s="119">
        <v>3</v>
      </c>
      <c r="G300" s="119">
        <v>27.37</v>
      </c>
      <c r="H300" s="14">
        <v>0.23</v>
      </c>
      <c r="I300" s="14">
        <v>0.45</v>
      </c>
      <c r="J300" s="14">
        <f t="shared" ref="J300:J316" si="13">I300*H300*G300*F300</f>
        <v>8.4983850000000007</v>
      </c>
      <c r="K300" s="157"/>
      <c r="L300" s="157"/>
      <c r="M300" s="141"/>
      <c r="N300" s="141"/>
      <c r="O300" s="141"/>
    </row>
    <row r="301" spans="1:15" ht="14.25">
      <c r="A301" s="10"/>
      <c r="B301" s="10"/>
      <c r="C301" s="26"/>
      <c r="D301" s="8" t="s">
        <v>584</v>
      </c>
      <c r="E301" s="8"/>
      <c r="F301" s="119">
        <v>6</v>
      </c>
      <c r="G301" s="119">
        <v>3.7</v>
      </c>
      <c r="H301" s="14">
        <v>0.23</v>
      </c>
      <c r="I301" s="14">
        <v>0.45</v>
      </c>
      <c r="J301" s="14">
        <f t="shared" si="13"/>
        <v>2.2977000000000003</v>
      </c>
      <c r="K301" s="157"/>
      <c r="L301" s="157">
        <f t="shared" ref="L301:L316" si="14">F301*G301</f>
        <v>22.200000000000003</v>
      </c>
      <c r="M301" s="141"/>
      <c r="N301" s="141"/>
      <c r="O301" s="141"/>
    </row>
    <row r="302" spans="1:15" ht="14.25">
      <c r="A302" s="10"/>
      <c r="B302" s="10"/>
      <c r="C302" s="26"/>
      <c r="D302" s="8" t="s">
        <v>584</v>
      </c>
      <c r="E302" s="8"/>
      <c r="F302" s="119">
        <v>2</v>
      </c>
      <c r="G302" s="119">
        <v>11.26</v>
      </c>
      <c r="H302" s="14">
        <v>0.23</v>
      </c>
      <c r="I302" s="14">
        <v>0.45</v>
      </c>
      <c r="J302" s="14">
        <f t="shared" si="13"/>
        <v>2.3308200000000001</v>
      </c>
      <c r="K302" s="157"/>
      <c r="L302" s="157">
        <f t="shared" si="14"/>
        <v>22.52</v>
      </c>
      <c r="M302" s="141"/>
      <c r="N302" s="141"/>
      <c r="O302" s="141"/>
    </row>
    <row r="303" spans="1:15" ht="14.25">
      <c r="A303" s="10"/>
      <c r="B303" s="10"/>
      <c r="C303" s="26"/>
      <c r="D303" s="8" t="s">
        <v>584</v>
      </c>
      <c r="E303" s="8"/>
      <c r="F303" s="119">
        <v>2</v>
      </c>
      <c r="G303" s="119">
        <v>10.66</v>
      </c>
      <c r="H303" s="14">
        <v>0.23</v>
      </c>
      <c r="I303" s="14">
        <v>0.45</v>
      </c>
      <c r="J303" s="14">
        <f t="shared" si="13"/>
        <v>2.20662</v>
      </c>
      <c r="K303" s="157"/>
      <c r="L303" s="157">
        <f t="shared" si="14"/>
        <v>21.32</v>
      </c>
      <c r="M303" s="141"/>
      <c r="N303" s="141"/>
      <c r="O303" s="141"/>
    </row>
    <row r="304" spans="1:15" ht="14.25">
      <c r="A304" s="10"/>
      <c r="B304" s="10"/>
      <c r="C304" s="26"/>
      <c r="D304" s="8" t="s">
        <v>584</v>
      </c>
      <c r="E304" s="8"/>
      <c r="F304" s="119">
        <v>2</v>
      </c>
      <c r="G304" s="119">
        <v>4.43</v>
      </c>
      <c r="H304" s="14">
        <v>0.23</v>
      </c>
      <c r="I304" s="14">
        <v>0.45</v>
      </c>
      <c r="J304" s="14">
        <f t="shared" si="13"/>
        <v>0.91700999999999999</v>
      </c>
      <c r="K304" s="157"/>
      <c r="L304" s="157">
        <f t="shared" si="14"/>
        <v>8.86</v>
      </c>
      <c r="M304" s="141"/>
      <c r="N304" s="141"/>
      <c r="O304" s="141"/>
    </row>
    <row r="305" spans="1:15" ht="14.25">
      <c r="A305" s="10"/>
      <c r="B305" s="10"/>
      <c r="C305" s="26"/>
      <c r="D305" s="8" t="s">
        <v>584</v>
      </c>
      <c r="E305" s="8"/>
      <c r="F305" s="119">
        <v>2</v>
      </c>
      <c r="G305" s="119">
        <v>3.83</v>
      </c>
      <c r="H305" s="14">
        <v>0.23</v>
      </c>
      <c r="I305" s="14">
        <v>0.45</v>
      </c>
      <c r="J305" s="14">
        <f t="shared" si="13"/>
        <v>0.79281000000000013</v>
      </c>
      <c r="K305" s="157"/>
      <c r="L305" s="157">
        <f t="shared" si="14"/>
        <v>7.66</v>
      </c>
      <c r="M305" s="141"/>
      <c r="N305" s="141"/>
      <c r="O305" s="141"/>
    </row>
    <row r="306" spans="1:15" ht="14.25">
      <c r="A306" s="10"/>
      <c r="B306" s="10"/>
      <c r="C306" s="26"/>
      <c r="D306" s="8" t="s">
        <v>584</v>
      </c>
      <c r="E306" s="8"/>
      <c r="F306" s="119">
        <v>4</v>
      </c>
      <c r="G306" s="119">
        <v>1.2</v>
      </c>
      <c r="H306" s="14">
        <v>0.23</v>
      </c>
      <c r="I306" s="14">
        <v>0.45</v>
      </c>
      <c r="J306" s="14">
        <f t="shared" si="13"/>
        <v>0.49680000000000002</v>
      </c>
      <c r="K306" s="157"/>
      <c r="L306" s="157">
        <f t="shared" si="14"/>
        <v>4.8</v>
      </c>
      <c r="M306" s="141"/>
      <c r="N306" s="141"/>
      <c r="O306" s="141"/>
    </row>
    <row r="307" spans="1:15" ht="14.25">
      <c r="A307" s="10"/>
      <c r="B307" s="10"/>
      <c r="C307" s="26"/>
      <c r="D307" s="8" t="s">
        <v>584</v>
      </c>
      <c r="E307" s="8"/>
      <c r="F307" s="119">
        <v>2</v>
      </c>
      <c r="G307" s="119">
        <v>8.52</v>
      </c>
      <c r="H307" s="14">
        <v>0.23</v>
      </c>
      <c r="I307" s="14">
        <v>0.45</v>
      </c>
      <c r="J307" s="14">
        <f t="shared" si="13"/>
        <v>1.7636400000000001</v>
      </c>
      <c r="K307" s="157"/>
      <c r="L307" s="157">
        <f t="shared" si="14"/>
        <v>17.04</v>
      </c>
      <c r="M307" s="141"/>
      <c r="N307" s="141"/>
      <c r="O307" s="141"/>
    </row>
    <row r="308" spans="1:15" ht="14.25">
      <c r="A308" s="10"/>
      <c r="B308" s="10"/>
      <c r="C308" s="26"/>
      <c r="D308" s="8" t="s">
        <v>584</v>
      </c>
      <c r="E308" s="8"/>
      <c r="F308" s="119"/>
      <c r="G308" s="119"/>
      <c r="H308" s="14">
        <v>0.23</v>
      </c>
      <c r="I308" s="14">
        <v>0.45</v>
      </c>
      <c r="J308" s="14">
        <f t="shared" si="13"/>
        <v>0</v>
      </c>
      <c r="K308" s="157"/>
      <c r="L308" s="157">
        <f t="shared" si="14"/>
        <v>0</v>
      </c>
      <c r="M308" s="141"/>
      <c r="N308" s="141"/>
      <c r="O308" s="141"/>
    </row>
    <row r="309" spans="1:15" ht="14.25">
      <c r="A309" s="10"/>
      <c r="B309" s="10"/>
      <c r="C309" s="26"/>
      <c r="D309" s="8" t="s">
        <v>584</v>
      </c>
      <c r="E309" s="8"/>
      <c r="F309" s="119">
        <v>3</v>
      </c>
      <c r="G309" s="119">
        <v>26</v>
      </c>
      <c r="H309" s="14">
        <v>0.23</v>
      </c>
      <c r="I309" s="14">
        <v>0.45</v>
      </c>
      <c r="J309" s="14">
        <f t="shared" si="13"/>
        <v>8.0730000000000004</v>
      </c>
      <c r="K309" s="157"/>
      <c r="L309" s="157">
        <f t="shared" si="14"/>
        <v>78</v>
      </c>
      <c r="M309" s="141"/>
      <c r="N309" s="141"/>
      <c r="O309" s="141"/>
    </row>
    <row r="310" spans="1:15" ht="14.25">
      <c r="A310" s="10"/>
      <c r="B310" s="10"/>
      <c r="C310" s="26"/>
      <c r="D310" s="8" t="s">
        <v>584</v>
      </c>
      <c r="E310" s="8"/>
      <c r="F310" s="119">
        <v>6</v>
      </c>
      <c r="G310" s="119">
        <v>3.7</v>
      </c>
      <c r="H310" s="14">
        <v>0.23</v>
      </c>
      <c r="I310" s="14">
        <v>0.45</v>
      </c>
      <c r="J310" s="14">
        <f t="shared" si="13"/>
        <v>2.2977000000000003</v>
      </c>
      <c r="K310" s="157"/>
      <c r="L310" s="157">
        <f t="shared" si="14"/>
        <v>22.200000000000003</v>
      </c>
      <c r="M310" s="141"/>
      <c r="N310" s="141"/>
      <c r="O310" s="141"/>
    </row>
    <row r="311" spans="1:15" ht="14.25">
      <c r="A311" s="10"/>
      <c r="B311" s="10"/>
      <c r="C311" s="26"/>
      <c r="D311" s="8" t="s">
        <v>584</v>
      </c>
      <c r="E311" s="8"/>
      <c r="F311" s="119">
        <v>2</v>
      </c>
      <c r="G311" s="119">
        <v>11.26</v>
      </c>
      <c r="H311" s="14">
        <v>0.23</v>
      </c>
      <c r="I311" s="14">
        <v>0.45</v>
      </c>
      <c r="J311" s="14">
        <f t="shared" si="13"/>
        <v>2.3308200000000001</v>
      </c>
      <c r="K311" s="157"/>
      <c r="L311" s="157">
        <f t="shared" si="14"/>
        <v>22.52</v>
      </c>
      <c r="M311" s="141"/>
      <c r="N311" s="141"/>
      <c r="O311" s="141"/>
    </row>
    <row r="312" spans="1:15" ht="14.25">
      <c r="A312" s="10"/>
      <c r="B312" s="10"/>
      <c r="C312" s="26"/>
      <c r="D312" s="8" t="s">
        <v>584</v>
      </c>
      <c r="E312" s="8"/>
      <c r="F312" s="119">
        <v>2</v>
      </c>
      <c r="G312" s="119">
        <v>10.66</v>
      </c>
      <c r="H312" s="14">
        <v>0.23</v>
      </c>
      <c r="I312" s="14">
        <v>0.45</v>
      </c>
      <c r="J312" s="14">
        <f t="shared" si="13"/>
        <v>2.20662</v>
      </c>
      <c r="K312" s="157"/>
      <c r="L312" s="157">
        <f t="shared" si="14"/>
        <v>21.32</v>
      </c>
      <c r="M312" s="141"/>
      <c r="N312" s="141"/>
      <c r="O312" s="141"/>
    </row>
    <row r="313" spans="1:15" ht="14.25">
      <c r="A313" s="10"/>
      <c r="B313" s="10"/>
      <c r="C313" s="26"/>
      <c r="D313" s="8" t="s">
        <v>584</v>
      </c>
      <c r="E313" s="8"/>
      <c r="F313" s="119">
        <v>2</v>
      </c>
      <c r="G313" s="119">
        <v>4.43</v>
      </c>
      <c r="H313" s="14">
        <v>0.23</v>
      </c>
      <c r="I313" s="14">
        <v>0.45</v>
      </c>
      <c r="J313" s="14">
        <f t="shared" si="13"/>
        <v>0.91700999999999999</v>
      </c>
      <c r="K313" s="157"/>
      <c r="L313" s="157">
        <f t="shared" si="14"/>
        <v>8.86</v>
      </c>
      <c r="M313" s="141"/>
      <c r="N313" s="141"/>
      <c r="O313" s="141"/>
    </row>
    <row r="314" spans="1:15" ht="14.25">
      <c r="A314" s="10"/>
      <c r="B314" s="10"/>
      <c r="C314" s="26"/>
      <c r="D314" s="8" t="s">
        <v>584</v>
      </c>
      <c r="E314" s="8"/>
      <c r="F314" s="119">
        <v>2</v>
      </c>
      <c r="G314" s="119">
        <v>3.83</v>
      </c>
      <c r="H314" s="14">
        <v>0.23</v>
      </c>
      <c r="I314" s="14">
        <v>0.45</v>
      </c>
      <c r="J314" s="14">
        <f t="shared" si="13"/>
        <v>0.79281000000000013</v>
      </c>
      <c r="K314" s="157"/>
      <c r="L314" s="157">
        <f t="shared" si="14"/>
        <v>7.66</v>
      </c>
      <c r="M314" s="141"/>
      <c r="N314" s="141"/>
      <c r="O314" s="141"/>
    </row>
    <row r="315" spans="1:15" ht="14.25">
      <c r="A315" s="10"/>
      <c r="B315" s="10"/>
      <c r="C315" s="26"/>
      <c r="D315" s="8" t="s">
        <v>584</v>
      </c>
      <c r="E315" s="8"/>
      <c r="F315" s="119">
        <v>4</v>
      </c>
      <c r="G315" s="119">
        <v>1.2</v>
      </c>
      <c r="H315" s="14">
        <v>0.23</v>
      </c>
      <c r="I315" s="14">
        <v>0.45</v>
      </c>
      <c r="J315" s="14">
        <f t="shared" si="13"/>
        <v>0.49680000000000002</v>
      </c>
      <c r="K315" s="157"/>
      <c r="L315" s="157">
        <f t="shared" si="14"/>
        <v>4.8</v>
      </c>
      <c r="M315" s="141"/>
      <c r="N315" s="141"/>
      <c r="O315" s="141"/>
    </row>
    <row r="316" spans="1:15" ht="14.25">
      <c r="A316" s="10"/>
      <c r="B316" s="10"/>
      <c r="C316" s="26"/>
      <c r="D316" s="8" t="s">
        <v>584</v>
      </c>
      <c r="E316" s="8"/>
      <c r="F316" s="119">
        <v>2</v>
      </c>
      <c r="G316" s="119">
        <v>8.52</v>
      </c>
      <c r="H316" s="14">
        <v>0.23</v>
      </c>
      <c r="I316" s="14">
        <v>0.45</v>
      </c>
      <c r="J316" s="14">
        <f t="shared" si="13"/>
        <v>1.7636400000000001</v>
      </c>
      <c r="K316" s="157"/>
      <c r="L316" s="157">
        <f t="shared" si="14"/>
        <v>17.04</v>
      </c>
      <c r="M316" s="141"/>
      <c r="N316" s="141"/>
      <c r="O316" s="141"/>
    </row>
    <row r="317" spans="1:15" ht="14.25">
      <c r="A317" s="10"/>
      <c r="B317" s="10"/>
      <c r="C317" s="26"/>
      <c r="D317" s="8"/>
      <c r="E317" s="8"/>
      <c r="F317" s="8"/>
      <c r="G317" s="8"/>
      <c r="H317" s="579" t="s">
        <v>586</v>
      </c>
      <c r="I317" s="580"/>
      <c r="J317" s="32">
        <f>SUM(J300:J316)</f>
        <v>38.182185000000004</v>
      </c>
      <c r="K317" s="157"/>
      <c r="L317" s="157"/>
      <c r="M317" s="141"/>
      <c r="N317" s="141"/>
      <c r="O317" s="141"/>
    </row>
    <row r="318" spans="1:15" ht="14.25">
      <c r="A318" s="10"/>
      <c r="B318" s="10"/>
      <c r="C318" s="66" t="s">
        <v>587</v>
      </c>
      <c r="D318" s="8"/>
      <c r="E318" s="8"/>
      <c r="F318" s="8"/>
      <c r="G318" s="8"/>
      <c r="H318" s="14"/>
      <c r="I318" s="14"/>
      <c r="J318" s="32"/>
      <c r="K318" s="157"/>
      <c r="L318" s="157"/>
      <c r="M318" s="141"/>
      <c r="N318" s="141"/>
      <c r="O318" s="141"/>
    </row>
    <row r="319" spans="1:15" ht="14.25">
      <c r="A319" s="106"/>
      <c r="B319" s="10"/>
      <c r="C319" s="26" t="s">
        <v>588</v>
      </c>
      <c r="D319" s="8"/>
      <c r="E319" s="8"/>
      <c r="F319" s="8"/>
      <c r="G319" s="8"/>
      <c r="H319" s="14"/>
      <c r="I319" s="14"/>
      <c r="J319" s="14">
        <v>276</v>
      </c>
      <c r="K319" s="157"/>
      <c r="L319" s="157"/>
      <c r="M319" s="141"/>
      <c r="N319" s="141"/>
      <c r="O319" s="141"/>
    </row>
    <row r="320" spans="1:15" ht="14.25">
      <c r="A320" s="106"/>
      <c r="B320" s="10"/>
      <c r="C320" s="26"/>
      <c r="D320" s="8"/>
      <c r="E320" s="8"/>
      <c r="F320" s="8"/>
      <c r="G320" s="8"/>
      <c r="H320" s="14"/>
      <c r="I320" s="14"/>
      <c r="J320" s="14"/>
      <c r="K320" s="157"/>
      <c r="L320" s="157"/>
      <c r="M320" s="141"/>
      <c r="N320" s="141"/>
      <c r="O320" s="141"/>
    </row>
    <row r="321" spans="1:15" ht="14.25">
      <c r="A321" s="106" t="s">
        <v>471</v>
      </c>
      <c r="B321" s="10"/>
      <c r="C321" s="26" t="s">
        <v>530</v>
      </c>
      <c r="D321" s="8" t="s">
        <v>584</v>
      </c>
      <c r="E321" s="8">
        <v>2</v>
      </c>
      <c r="F321" s="8">
        <v>1</v>
      </c>
      <c r="G321" s="8">
        <v>3.1</v>
      </c>
      <c r="H321" s="14">
        <v>2.93</v>
      </c>
      <c r="I321" s="14">
        <v>0.1</v>
      </c>
      <c r="J321" s="14">
        <f>I321*H321*G321*F321*E321</f>
        <v>1.8166000000000002</v>
      </c>
      <c r="K321" s="157"/>
      <c r="L321" s="157"/>
      <c r="M321" s="141"/>
      <c r="N321" s="141"/>
      <c r="O321" s="141"/>
    </row>
    <row r="322" spans="1:15" ht="14.25">
      <c r="A322" s="106"/>
      <c r="B322" s="10"/>
      <c r="C322" s="26" t="s">
        <v>531</v>
      </c>
      <c r="D322" s="8" t="s">
        <v>584</v>
      </c>
      <c r="E322" s="8">
        <v>2</v>
      </c>
      <c r="F322" s="8">
        <v>1</v>
      </c>
      <c r="G322" s="8">
        <v>2.93</v>
      </c>
      <c r="H322" s="14">
        <v>1.4</v>
      </c>
      <c r="I322" s="14">
        <v>0.1</v>
      </c>
      <c r="J322" s="14">
        <f>I322*H322*G322*F322*E322</f>
        <v>0.82039999999999991</v>
      </c>
      <c r="K322" s="157"/>
      <c r="L322" s="157"/>
      <c r="M322" s="141"/>
      <c r="N322" s="141"/>
      <c r="O322" s="141"/>
    </row>
    <row r="323" spans="1:15" ht="14.25">
      <c r="A323" s="106"/>
      <c r="B323" s="10"/>
      <c r="C323" s="26"/>
      <c r="D323" s="8"/>
      <c r="E323" s="8"/>
      <c r="F323" s="8"/>
      <c r="G323" s="8"/>
      <c r="H323" s="14"/>
      <c r="I323" s="14"/>
      <c r="J323" s="14"/>
      <c r="K323" s="157"/>
      <c r="L323" s="157"/>
      <c r="M323" s="141"/>
      <c r="N323" s="141"/>
      <c r="O323" s="141"/>
    </row>
    <row r="324" spans="1:15" ht="14.25">
      <c r="A324" s="10"/>
      <c r="B324" s="10"/>
      <c r="C324" s="26"/>
      <c r="D324" s="8"/>
      <c r="E324" s="8"/>
      <c r="F324" s="8"/>
      <c r="G324" s="8"/>
      <c r="H324" s="579" t="s">
        <v>589</v>
      </c>
      <c r="I324" s="580"/>
      <c r="J324" s="32">
        <f>SUM(J319:J323)</f>
        <v>278.637</v>
      </c>
      <c r="K324" s="157"/>
      <c r="L324" s="157"/>
      <c r="M324" s="141"/>
      <c r="N324" s="141"/>
      <c r="O324" s="141"/>
    </row>
    <row r="325" spans="1:15" ht="14.25">
      <c r="A325" s="10"/>
      <c r="B325" s="10"/>
      <c r="C325" s="26"/>
      <c r="D325" s="8"/>
      <c r="E325" s="8"/>
      <c r="F325" s="8"/>
      <c r="G325" s="8"/>
      <c r="H325" s="159"/>
      <c r="I325" s="160"/>
      <c r="J325" s="32"/>
      <c r="K325" s="157"/>
      <c r="L325" s="157"/>
      <c r="M325" s="141"/>
      <c r="N325" s="141"/>
      <c r="O325" s="141"/>
    </row>
    <row r="326" spans="1:15" ht="14.25">
      <c r="A326" s="10"/>
      <c r="B326" s="10"/>
      <c r="C326" s="26"/>
      <c r="D326" s="8"/>
      <c r="E326" s="8"/>
      <c r="F326" s="8"/>
      <c r="G326" s="8"/>
      <c r="H326" s="159"/>
      <c r="I326" s="160"/>
      <c r="J326" s="32">
        <v>0</v>
      </c>
      <c r="K326" s="157"/>
      <c r="L326" s="157"/>
      <c r="M326" s="141"/>
      <c r="N326" s="141"/>
      <c r="O326" s="141"/>
    </row>
    <row r="327" spans="1:15" ht="14.25">
      <c r="A327" s="10"/>
      <c r="B327" s="10"/>
      <c r="C327" s="26"/>
      <c r="D327" s="8"/>
      <c r="E327" s="8"/>
      <c r="F327" s="8"/>
      <c r="G327" s="8"/>
      <c r="H327" s="159"/>
      <c r="I327" s="160"/>
      <c r="J327" s="32"/>
      <c r="K327" s="157"/>
      <c r="L327" s="157"/>
      <c r="M327" s="141"/>
      <c r="N327" s="141"/>
      <c r="O327" s="141"/>
    </row>
    <row r="328" spans="1:15" ht="14.25">
      <c r="A328" s="10"/>
      <c r="B328" s="10"/>
      <c r="C328" s="66" t="s">
        <v>538</v>
      </c>
      <c r="D328" s="8"/>
      <c r="E328" s="8"/>
      <c r="F328" s="8"/>
      <c r="G328" s="8"/>
      <c r="H328" s="8"/>
      <c r="I328" s="8"/>
      <c r="J328" s="14" t="s">
        <v>471</v>
      </c>
      <c r="K328" s="157"/>
      <c r="L328" s="157"/>
      <c r="M328" s="141"/>
      <c r="N328" s="141"/>
      <c r="O328" s="141"/>
    </row>
    <row r="329" spans="1:15" ht="14.25">
      <c r="A329" s="10"/>
      <c r="B329" s="10"/>
      <c r="C329" s="26"/>
      <c r="D329" s="8" t="s">
        <v>584</v>
      </c>
      <c r="E329" s="8">
        <v>32</v>
      </c>
      <c r="F329" s="8">
        <v>1</v>
      </c>
      <c r="G329" s="8">
        <v>0.6</v>
      </c>
      <c r="H329" s="8">
        <v>0.23</v>
      </c>
      <c r="I329" s="8">
        <v>2.85</v>
      </c>
      <c r="J329" s="14">
        <f>I329*H329*G329*F329*E329</f>
        <v>12.585600000000001</v>
      </c>
      <c r="K329" s="157"/>
      <c r="L329" s="157">
        <f>2.9</f>
        <v>2.9</v>
      </c>
      <c r="M329" s="141" t="s">
        <v>590</v>
      </c>
      <c r="N329" s="141"/>
      <c r="O329" s="141"/>
    </row>
    <row r="330" spans="1:15" ht="14.25">
      <c r="A330" s="10"/>
      <c r="B330" s="10"/>
      <c r="C330" s="26"/>
      <c r="D330" s="8"/>
      <c r="E330" s="8"/>
      <c r="F330" s="8"/>
      <c r="G330" s="111"/>
      <c r="H330" s="577" t="s">
        <v>591</v>
      </c>
      <c r="I330" s="578"/>
      <c r="J330" s="23">
        <f>SUM(J329:J329)</f>
        <v>12.585600000000001</v>
      </c>
      <c r="K330" s="157"/>
      <c r="L330" s="157">
        <v>0.15</v>
      </c>
      <c r="M330" s="141" t="s">
        <v>592</v>
      </c>
      <c r="N330" s="141"/>
      <c r="O330" s="141"/>
    </row>
    <row r="331" spans="1:15" ht="14.25">
      <c r="A331" s="10"/>
      <c r="B331" s="10"/>
      <c r="C331" s="26"/>
      <c r="D331" s="8"/>
      <c r="E331" s="8"/>
      <c r="F331" s="8"/>
      <c r="G331" s="111"/>
      <c r="H331" s="577" t="s">
        <v>491</v>
      </c>
      <c r="I331" s="578"/>
      <c r="J331" s="23">
        <f>J330+J324+J317+J299+J326</f>
        <v>439.99678499999999</v>
      </c>
      <c r="K331" s="157"/>
      <c r="L331" s="157">
        <v>0.15</v>
      </c>
      <c r="M331" s="141" t="s">
        <v>593</v>
      </c>
      <c r="N331" s="141"/>
      <c r="O331" s="141"/>
    </row>
    <row r="332" spans="1:15" ht="14.25">
      <c r="A332" s="10"/>
      <c r="B332" s="10"/>
      <c r="C332" s="27"/>
      <c r="D332" s="8"/>
      <c r="E332" s="8"/>
      <c r="F332" s="8"/>
      <c r="G332" s="8"/>
      <c r="H332" s="577" t="s">
        <v>594</v>
      </c>
      <c r="I332" s="578"/>
      <c r="J332" s="32">
        <f>J331</f>
        <v>439.99678499999999</v>
      </c>
      <c r="K332" s="157"/>
      <c r="L332" s="157">
        <v>0.5</v>
      </c>
      <c r="M332" s="141" t="s">
        <v>595</v>
      </c>
      <c r="N332" s="141"/>
      <c r="O332" s="141"/>
    </row>
    <row r="333" spans="1:15" ht="14.25">
      <c r="A333" s="10"/>
      <c r="B333" s="10"/>
      <c r="C333" s="27"/>
      <c r="D333" s="8"/>
      <c r="E333" s="8"/>
      <c r="F333" s="8"/>
      <c r="G333" s="8"/>
      <c r="H333" s="8"/>
      <c r="I333" s="23"/>
      <c r="J333" s="32"/>
      <c r="K333" s="157"/>
      <c r="L333" s="157">
        <f>L330+L331+L332</f>
        <v>0.8</v>
      </c>
      <c r="M333" s="141"/>
      <c r="N333" s="141"/>
      <c r="O333" s="141"/>
    </row>
    <row r="334" spans="1:15" ht="14.25">
      <c r="A334" s="10" t="s">
        <v>351</v>
      </c>
      <c r="B334" s="10" t="s">
        <v>596</v>
      </c>
      <c r="C334" s="27" t="s">
        <v>597</v>
      </c>
      <c r="D334" s="8"/>
      <c r="E334" s="8"/>
      <c r="F334" s="8"/>
      <c r="G334" s="8"/>
      <c r="H334" s="8"/>
      <c r="I334" s="23"/>
      <c r="J334" s="32"/>
      <c r="K334" s="157"/>
      <c r="L334" s="157">
        <f>L329-L333</f>
        <v>2.0999999999999996</v>
      </c>
      <c r="M334" s="141" t="s">
        <v>590</v>
      </c>
      <c r="N334" s="141"/>
      <c r="O334" s="141"/>
    </row>
    <row r="335" spans="1:15" ht="14.25">
      <c r="A335" s="10"/>
      <c r="B335" s="10"/>
      <c r="C335" s="9" t="s">
        <v>598</v>
      </c>
      <c r="D335" s="8"/>
      <c r="E335" s="8"/>
      <c r="F335" s="8"/>
      <c r="G335" s="8"/>
      <c r="H335" s="159"/>
      <c r="I335" s="160"/>
      <c r="J335" s="32"/>
      <c r="K335" s="157"/>
      <c r="L335" s="157">
        <v>0.75</v>
      </c>
      <c r="M335" s="141" t="s">
        <v>599</v>
      </c>
      <c r="N335" s="141"/>
      <c r="O335" s="141"/>
    </row>
    <row r="336" spans="1:15" ht="14.25">
      <c r="A336" s="10"/>
      <c r="B336" s="10"/>
      <c r="C336" s="66"/>
      <c r="D336" s="8" t="s">
        <v>584</v>
      </c>
      <c r="E336" s="8"/>
      <c r="F336" s="119">
        <v>3</v>
      </c>
      <c r="G336" s="119">
        <v>27.37</v>
      </c>
      <c r="H336" s="14">
        <v>0.23</v>
      </c>
      <c r="I336" s="14">
        <v>0.45</v>
      </c>
      <c r="J336" s="14">
        <f t="shared" ref="J336:J343" si="15">I336*H336*G336*F336</f>
        <v>8.4983850000000007</v>
      </c>
      <c r="K336" s="157"/>
      <c r="L336" s="157">
        <f>L335+L334</f>
        <v>2.8499999999999996</v>
      </c>
      <c r="M336" s="141"/>
      <c r="N336" s="141"/>
      <c r="O336" s="141"/>
    </row>
    <row r="337" spans="1:15" ht="14.25">
      <c r="A337" s="10"/>
      <c r="B337" s="10"/>
      <c r="C337" s="26"/>
      <c r="D337" s="8" t="s">
        <v>584</v>
      </c>
      <c r="E337" s="8"/>
      <c r="F337" s="119">
        <v>6</v>
      </c>
      <c r="G337" s="119">
        <v>3.7</v>
      </c>
      <c r="H337" s="14">
        <v>0.23</v>
      </c>
      <c r="I337" s="14">
        <v>0.45</v>
      </c>
      <c r="J337" s="14">
        <f t="shared" si="15"/>
        <v>2.2977000000000003</v>
      </c>
      <c r="K337" s="157"/>
      <c r="L337" s="157"/>
      <c r="M337" s="141"/>
      <c r="N337" s="141"/>
      <c r="O337" s="141"/>
    </row>
    <row r="338" spans="1:15" ht="14.25">
      <c r="A338" s="10"/>
      <c r="B338" s="10"/>
      <c r="C338" s="26"/>
      <c r="D338" s="8" t="s">
        <v>584</v>
      </c>
      <c r="E338" s="8"/>
      <c r="F338" s="119">
        <v>2</v>
      </c>
      <c r="G338" s="119">
        <v>11.26</v>
      </c>
      <c r="H338" s="14">
        <v>0.23</v>
      </c>
      <c r="I338" s="14">
        <v>0.45</v>
      </c>
      <c r="J338" s="14">
        <f t="shared" si="15"/>
        <v>2.3308200000000001</v>
      </c>
      <c r="K338" s="157"/>
      <c r="L338" s="157"/>
      <c r="M338" s="141"/>
      <c r="N338" s="141"/>
      <c r="O338" s="141"/>
    </row>
    <row r="339" spans="1:15" ht="14.25">
      <c r="A339" s="10"/>
      <c r="B339" s="10"/>
      <c r="C339" s="26"/>
      <c r="D339" s="8" t="s">
        <v>584</v>
      </c>
      <c r="E339" s="8"/>
      <c r="F339" s="119">
        <v>2</v>
      </c>
      <c r="G339" s="119">
        <v>10.66</v>
      </c>
      <c r="H339" s="14">
        <v>0.23</v>
      </c>
      <c r="I339" s="14">
        <v>0.45</v>
      </c>
      <c r="J339" s="14">
        <f t="shared" si="15"/>
        <v>2.20662</v>
      </c>
      <c r="K339" s="157"/>
      <c r="L339" s="157"/>
      <c r="M339" s="141"/>
      <c r="N339" s="141"/>
      <c r="O339" s="141"/>
    </row>
    <row r="340" spans="1:15" ht="14.25">
      <c r="A340" s="10"/>
      <c r="B340" s="10"/>
      <c r="C340" s="26"/>
      <c r="D340" s="8" t="s">
        <v>584</v>
      </c>
      <c r="E340" s="8"/>
      <c r="F340" s="119">
        <v>2</v>
      </c>
      <c r="G340" s="119">
        <v>4.5</v>
      </c>
      <c r="H340" s="14">
        <v>0.23</v>
      </c>
      <c r="I340" s="14">
        <v>0.45</v>
      </c>
      <c r="J340" s="14">
        <f t="shared" si="15"/>
        <v>0.93150000000000011</v>
      </c>
      <c r="K340" s="157"/>
      <c r="L340" s="157"/>
      <c r="M340" s="141"/>
      <c r="N340" s="141"/>
      <c r="O340" s="141"/>
    </row>
    <row r="341" spans="1:15" ht="14.25">
      <c r="A341" s="10"/>
      <c r="B341" s="10"/>
      <c r="C341" s="26"/>
      <c r="D341" s="8" t="s">
        <v>584</v>
      </c>
      <c r="E341" s="8"/>
      <c r="F341" s="119">
        <v>2</v>
      </c>
      <c r="G341" s="119">
        <v>3.83</v>
      </c>
      <c r="H341" s="14">
        <v>0.23</v>
      </c>
      <c r="I341" s="14">
        <v>0.45</v>
      </c>
      <c r="J341" s="14">
        <f t="shared" si="15"/>
        <v>0.79281000000000013</v>
      </c>
      <c r="K341" s="157"/>
      <c r="L341" s="157"/>
      <c r="M341" s="141"/>
      <c r="N341" s="141"/>
      <c r="O341" s="141"/>
    </row>
    <row r="342" spans="1:15" ht="14.25">
      <c r="A342" s="10"/>
      <c r="B342" s="10"/>
      <c r="C342" s="26"/>
      <c r="D342" s="8" t="s">
        <v>584</v>
      </c>
      <c r="E342" s="8"/>
      <c r="F342" s="119">
        <v>4</v>
      </c>
      <c r="G342" s="119">
        <v>1.2</v>
      </c>
      <c r="H342" s="14">
        <v>0.23</v>
      </c>
      <c r="I342" s="14">
        <v>0.45</v>
      </c>
      <c r="J342" s="14">
        <f t="shared" si="15"/>
        <v>0.49680000000000002</v>
      </c>
      <c r="K342" s="157"/>
      <c r="L342" s="157"/>
      <c r="M342" s="141"/>
      <c r="N342" s="141"/>
      <c r="O342" s="141"/>
    </row>
    <row r="343" spans="1:15" ht="14.25">
      <c r="A343" s="10"/>
      <c r="B343" s="10"/>
      <c r="C343" s="26"/>
      <c r="D343" s="8" t="s">
        <v>584</v>
      </c>
      <c r="E343" s="8"/>
      <c r="F343" s="119">
        <v>2</v>
      </c>
      <c r="G343" s="119">
        <v>8.52</v>
      </c>
      <c r="H343" s="14">
        <v>0.23</v>
      </c>
      <c r="I343" s="14">
        <v>0.45</v>
      </c>
      <c r="J343" s="14">
        <f t="shared" si="15"/>
        <v>1.7636400000000001</v>
      </c>
      <c r="K343" s="157"/>
      <c r="L343" s="157"/>
      <c r="M343" s="141"/>
      <c r="N343" s="141"/>
      <c r="O343" s="141"/>
    </row>
    <row r="344" spans="1:15" ht="14.25">
      <c r="A344" s="10"/>
      <c r="B344" s="10"/>
      <c r="C344" s="26"/>
      <c r="D344" s="8" t="s">
        <v>584</v>
      </c>
      <c r="E344" s="8"/>
      <c r="F344" s="119"/>
      <c r="G344" s="119"/>
      <c r="H344" s="14"/>
      <c r="I344" s="14">
        <v>0.45</v>
      </c>
      <c r="J344" s="14"/>
      <c r="K344" s="157"/>
      <c r="L344" s="157"/>
      <c r="M344" s="141"/>
      <c r="N344" s="141"/>
      <c r="O344" s="141"/>
    </row>
    <row r="345" spans="1:15" ht="14.25">
      <c r="A345" s="10"/>
      <c r="B345" s="10"/>
      <c r="C345" s="26"/>
      <c r="D345" s="8" t="s">
        <v>584</v>
      </c>
      <c r="E345" s="8"/>
      <c r="F345" s="119">
        <v>3</v>
      </c>
      <c r="G345" s="119">
        <v>27.37</v>
      </c>
      <c r="H345" s="14">
        <v>0.23</v>
      </c>
      <c r="I345" s="14">
        <v>0.45</v>
      </c>
      <c r="J345" s="14">
        <f t="shared" ref="J345:J360" si="16">I345*H345*G345*F345</f>
        <v>8.4983850000000007</v>
      </c>
      <c r="K345" s="157"/>
      <c r="L345" s="157"/>
      <c r="M345" s="141"/>
      <c r="N345" s="141"/>
      <c r="O345" s="141"/>
    </row>
    <row r="346" spans="1:15" ht="14.25">
      <c r="A346" s="10"/>
      <c r="B346" s="10"/>
      <c r="C346" s="26"/>
      <c r="D346" s="8" t="s">
        <v>584</v>
      </c>
      <c r="E346" s="8"/>
      <c r="F346" s="119">
        <v>6</v>
      </c>
      <c r="G346" s="119">
        <v>3.7</v>
      </c>
      <c r="H346" s="14">
        <v>0.23</v>
      </c>
      <c r="I346" s="14">
        <v>0.45</v>
      </c>
      <c r="J346" s="14">
        <f t="shared" si="16"/>
        <v>2.2977000000000003</v>
      </c>
      <c r="K346" s="157"/>
      <c r="L346" s="157"/>
      <c r="M346" s="141"/>
      <c r="N346" s="141"/>
      <c r="O346" s="141"/>
    </row>
    <row r="347" spans="1:15" ht="14.25">
      <c r="A347" s="10"/>
      <c r="B347" s="10"/>
      <c r="C347" s="26"/>
      <c r="D347" s="8" t="s">
        <v>584</v>
      </c>
      <c r="E347" s="8"/>
      <c r="F347" s="119">
        <v>2</v>
      </c>
      <c r="G347" s="119">
        <v>11.26</v>
      </c>
      <c r="H347" s="14">
        <v>0.23</v>
      </c>
      <c r="I347" s="14">
        <v>0.45</v>
      </c>
      <c r="J347" s="14">
        <f t="shared" si="16"/>
        <v>2.3308200000000001</v>
      </c>
      <c r="K347" s="157"/>
      <c r="L347" s="157"/>
      <c r="M347" s="141"/>
      <c r="N347" s="141"/>
      <c r="O347" s="141"/>
    </row>
    <row r="348" spans="1:15" ht="14.25">
      <c r="A348" s="10"/>
      <c r="B348" s="10"/>
      <c r="C348" s="26"/>
      <c r="D348" s="8" t="s">
        <v>584</v>
      </c>
      <c r="E348" s="8"/>
      <c r="F348" s="119">
        <v>2</v>
      </c>
      <c r="G348" s="119">
        <v>10.66</v>
      </c>
      <c r="H348" s="14">
        <v>0.23</v>
      </c>
      <c r="I348" s="14">
        <v>0.45</v>
      </c>
      <c r="J348" s="14">
        <f t="shared" si="16"/>
        <v>2.20662</v>
      </c>
      <c r="K348" s="157"/>
      <c r="L348" s="157"/>
      <c r="M348" s="141"/>
      <c r="N348" s="141"/>
      <c r="O348" s="141"/>
    </row>
    <row r="349" spans="1:15" ht="14.25">
      <c r="A349" s="10"/>
      <c r="B349" s="10"/>
      <c r="C349" s="26"/>
      <c r="D349" s="8" t="s">
        <v>584</v>
      </c>
      <c r="E349" s="8"/>
      <c r="F349" s="119">
        <v>2</v>
      </c>
      <c r="G349" s="119">
        <v>4.43</v>
      </c>
      <c r="H349" s="14">
        <v>0.23</v>
      </c>
      <c r="I349" s="14">
        <v>0.45</v>
      </c>
      <c r="J349" s="14">
        <f t="shared" si="16"/>
        <v>0.91700999999999999</v>
      </c>
      <c r="K349" s="157"/>
      <c r="L349" s="157"/>
      <c r="M349" s="141"/>
      <c r="N349" s="141"/>
      <c r="O349" s="141"/>
    </row>
    <row r="350" spans="1:15" ht="14.25">
      <c r="A350" s="10"/>
      <c r="B350" s="10"/>
      <c r="C350" s="26"/>
      <c r="D350" s="8" t="s">
        <v>584</v>
      </c>
      <c r="E350" s="8"/>
      <c r="F350" s="119">
        <v>2</v>
      </c>
      <c r="G350" s="119">
        <v>3.83</v>
      </c>
      <c r="H350" s="14">
        <v>0.23</v>
      </c>
      <c r="I350" s="14">
        <v>0.45</v>
      </c>
      <c r="J350" s="14">
        <f t="shared" si="16"/>
        <v>0.79281000000000013</v>
      </c>
      <c r="K350" s="157"/>
      <c r="L350" s="157"/>
      <c r="M350" s="141"/>
      <c r="N350" s="141"/>
      <c r="O350" s="141"/>
    </row>
    <row r="351" spans="1:15" ht="14.25">
      <c r="A351" s="10"/>
      <c r="B351" s="10"/>
      <c r="C351" s="26"/>
      <c r="D351" s="8" t="s">
        <v>584</v>
      </c>
      <c r="E351" s="8"/>
      <c r="F351" s="119">
        <v>4</v>
      </c>
      <c r="G351" s="119">
        <v>1.2</v>
      </c>
      <c r="H351" s="14">
        <v>0.23</v>
      </c>
      <c r="I351" s="14">
        <v>0.45</v>
      </c>
      <c r="J351" s="14">
        <f t="shared" si="16"/>
        <v>0.49680000000000002</v>
      </c>
      <c r="K351" s="157"/>
      <c r="L351" s="157"/>
      <c r="M351" s="141"/>
      <c r="N351" s="141"/>
      <c r="O351" s="141"/>
    </row>
    <row r="352" spans="1:15" ht="14.25">
      <c r="A352" s="10"/>
      <c r="B352" s="10"/>
      <c r="C352" s="26"/>
      <c r="D352" s="8" t="s">
        <v>584</v>
      </c>
      <c r="E352" s="8"/>
      <c r="F352" s="119">
        <v>2</v>
      </c>
      <c r="G352" s="119">
        <v>8.52</v>
      </c>
      <c r="H352" s="14">
        <v>0.23</v>
      </c>
      <c r="I352" s="14">
        <v>0.45</v>
      </c>
      <c r="J352" s="14">
        <f t="shared" si="16"/>
        <v>1.7636400000000001</v>
      </c>
      <c r="K352" s="157"/>
      <c r="L352" s="157"/>
      <c r="M352" s="141"/>
      <c r="N352" s="141"/>
      <c r="O352" s="141"/>
    </row>
    <row r="353" spans="1:15" ht="14.25">
      <c r="A353" s="10"/>
      <c r="B353" s="10"/>
      <c r="C353" s="9" t="s">
        <v>600</v>
      </c>
      <c r="D353" s="8" t="s">
        <v>584</v>
      </c>
      <c r="E353" s="8"/>
      <c r="F353" s="119">
        <v>3</v>
      </c>
      <c r="G353" s="119">
        <v>25.4</v>
      </c>
      <c r="H353" s="14">
        <v>0.23</v>
      </c>
      <c r="I353" s="14">
        <v>0.45</v>
      </c>
      <c r="J353" s="14">
        <f t="shared" si="16"/>
        <v>7.8867000000000012</v>
      </c>
      <c r="K353" s="157"/>
      <c r="L353" s="157"/>
      <c r="M353" s="141"/>
      <c r="N353" s="141"/>
      <c r="O353" s="141"/>
    </row>
    <row r="354" spans="1:15" ht="14.25">
      <c r="A354" s="10"/>
      <c r="B354" s="10"/>
      <c r="C354" s="26"/>
      <c r="D354" s="8" t="s">
        <v>584</v>
      </c>
      <c r="E354" s="8"/>
      <c r="F354" s="119">
        <v>6</v>
      </c>
      <c r="G354" s="119">
        <v>3.7</v>
      </c>
      <c r="H354" s="14">
        <v>0.23</v>
      </c>
      <c r="I354" s="14">
        <v>0.45</v>
      </c>
      <c r="J354" s="14">
        <f t="shared" si="16"/>
        <v>2.2977000000000003</v>
      </c>
      <c r="K354" s="157"/>
      <c r="L354" s="157"/>
      <c r="M354" s="141"/>
      <c r="N354" s="141"/>
      <c r="O354" s="141"/>
    </row>
    <row r="355" spans="1:15" ht="14.25">
      <c r="A355" s="10"/>
      <c r="B355" s="10"/>
      <c r="C355" s="26"/>
      <c r="D355" s="8" t="s">
        <v>584</v>
      </c>
      <c r="E355" s="8"/>
      <c r="F355" s="119">
        <v>2</v>
      </c>
      <c r="G355" s="119">
        <v>11.26</v>
      </c>
      <c r="H355" s="14">
        <v>0.23</v>
      </c>
      <c r="I355" s="14">
        <v>0.45</v>
      </c>
      <c r="J355" s="14">
        <f t="shared" si="16"/>
        <v>2.3308200000000001</v>
      </c>
      <c r="K355" s="157"/>
      <c r="L355" s="157"/>
      <c r="M355" s="141"/>
      <c r="N355" s="141"/>
      <c r="O355" s="141"/>
    </row>
    <row r="356" spans="1:15" ht="14.25">
      <c r="A356" s="10"/>
      <c r="B356" s="10"/>
      <c r="C356" s="26"/>
      <c r="D356" s="8" t="s">
        <v>584</v>
      </c>
      <c r="E356" s="8"/>
      <c r="F356" s="119">
        <v>2</v>
      </c>
      <c r="G356" s="119">
        <v>10.66</v>
      </c>
      <c r="H356" s="14">
        <v>0.23</v>
      </c>
      <c r="I356" s="14">
        <v>0.45</v>
      </c>
      <c r="J356" s="14">
        <f t="shared" si="16"/>
        <v>2.20662</v>
      </c>
      <c r="K356" s="157"/>
      <c r="L356" s="157"/>
      <c r="M356" s="141"/>
      <c r="N356" s="141"/>
      <c r="O356" s="141"/>
    </row>
    <row r="357" spans="1:15" ht="14.25">
      <c r="A357" s="10"/>
      <c r="B357" s="10"/>
      <c r="C357" s="26"/>
      <c r="D357" s="8" t="s">
        <v>584</v>
      </c>
      <c r="E357" s="8"/>
      <c r="F357" s="119">
        <v>2</v>
      </c>
      <c r="G357" s="119">
        <v>4.5</v>
      </c>
      <c r="H357" s="14">
        <v>0.23</v>
      </c>
      <c r="I357" s="14">
        <v>0.45</v>
      </c>
      <c r="J357" s="14">
        <f t="shared" si="16"/>
        <v>0.93150000000000011</v>
      </c>
      <c r="K357" s="157"/>
      <c r="L357" s="157"/>
      <c r="M357" s="141"/>
      <c r="N357" s="141"/>
      <c r="O357" s="141"/>
    </row>
    <row r="358" spans="1:15" ht="14.25">
      <c r="A358" s="10"/>
      <c r="B358" s="10"/>
      <c r="C358" s="26"/>
      <c r="D358" s="8" t="s">
        <v>584</v>
      </c>
      <c r="E358" s="8"/>
      <c r="F358" s="119">
        <v>2</v>
      </c>
      <c r="G358" s="119">
        <v>3.83</v>
      </c>
      <c r="H358" s="14">
        <v>0.23</v>
      </c>
      <c r="I358" s="14">
        <v>0.45</v>
      </c>
      <c r="J358" s="14">
        <f t="shared" si="16"/>
        <v>0.79281000000000013</v>
      </c>
      <c r="K358" s="157"/>
      <c r="L358" s="157"/>
      <c r="M358" s="141"/>
      <c r="N358" s="141"/>
      <c r="O358" s="141"/>
    </row>
    <row r="359" spans="1:15" ht="14.25">
      <c r="A359" s="10"/>
      <c r="B359" s="10"/>
      <c r="C359" s="26"/>
      <c r="D359" s="8" t="s">
        <v>584</v>
      </c>
      <c r="E359" s="8"/>
      <c r="F359" s="119">
        <v>2</v>
      </c>
      <c r="G359" s="119">
        <v>1.2</v>
      </c>
      <c r="H359" s="14">
        <v>0.23</v>
      </c>
      <c r="I359" s="14">
        <v>0.45</v>
      </c>
      <c r="J359" s="14">
        <f t="shared" si="16"/>
        <v>0.24840000000000001</v>
      </c>
      <c r="K359" s="157"/>
      <c r="L359" s="157"/>
      <c r="M359" s="141"/>
      <c r="N359" s="141"/>
      <c r="O359" s="141"/>
    </row>
    <row r="360" spans="1:15" ht="14.25">
      <c r="A360" s="10"/>
      <c r="B360" s="10"/>
      <c r="C360" s="26"/>
      <c r="D360" s="8" t="s">
        <v>584</v>
      </c>
      <c r="E360" s="8"/>
      <c r="F360" s="119">
        <v>2</v>
      </c>
      <c r="G360" s="119">
        <v>8.52</v>
      </c>
      <c r="H360" s="14">
        <v>0.23</v>
      </c>
      <c r="I360" s="14">
        <v>0.45</v>
      </c>
      <c r="J360" s="14">
        <f t="shared" si="16"/>
        <v>1.7636400000000001</v>
      </c>
      <c r="K360" s="157"/>
      <c r="L360" s="157"/>
      <c r="M360" s="141"/>
      <c r="N360" s="141"/>
      <c r="O360" s="141"/>
    </row>
    <row r="361" spans="1:15" ht="14.25">
      <c r="A361" s="10"/>
      <c r="B361" s="10"/>
      <c r="C361" s="26"/>
      <c r="D361" s="8" t="s">
        <v>584</v>
      </c>
      <c r="E361" s="8"/>
      <c r="F361" s="119"/>
      <c r="G361" s="119"/>
      <c r="H361" s="14"/>
      <c r="I361" s="14">
        <v>0.45</v>
      </c>
      <c r="J361" s="14"/>
      <c r="K361" s="157"/>
      <c r="L361" s="157"/>
      <c r="M361" s="141"/>
      <c r="N361" s="141"/>
      <c r="O361" s="141"/>
    </row>
    <row r="362" spans="1:15" ht="14.25">
      <c r="A362" s="10"/>
      <c r="B362" s="10"/>
      <c r="C362" s="26"/>
      <c r="D362" s="8" t="s">
        <v>584</v>
      </c>
      <c r="E362" s="8"/>
      <c r="F362" s="119">
        <v>3</v>
      </c>
      <c r="G362" s="119">
        <v>27.37</v>
      </c>
      <c r="H362" s="14">
        <v>0.23</v>
      </c>
      <c r="I362" s="14">
        <v>0.45</v>
      </c>
      <c r="J362" s="14">
        <f t="shared" ref="J362:J377" si="17">I362*H362*G362*F362</f>
        <v>8.4983850000000007</v>
      </c>
      <c r="K362" s="157"/>
      <c r="L362" s="157"/>
      <c r="M362" s="141"/>
      <c r="N362" s="141"/>
      <c r="O362" s="141"/>
    </row>
    <row r="363" spans="1:15" ht="14.25">
      <c r="A363" s="10"/>
      <c r="B363" s="10"/>
      <c r="C363" s="26"/>
      <c r="D363" s="8" t="s">
        <v>584</v>
      </c>
      <c r="E363" s="8"/>
      <c r="F363" s="119">
        <v>6</v>
      </c>
      <c r="G363" s="119">
        <v>3.7</v>
      </c>
      <c r="H363" s="14">
        <v>0.23</v>
      </c>
      <c r="I363" s="14">
        <v>0.45</v>
      </c>
      <c r="J363" s="14">
        <f t="shared" si="17"/>
        <v>2.2977000000000003</v>
      </c>
      <c r="K363" s="157"/>
      <c r="L363" s="157"/>
      <c r="M363" s="141"/>
      <c r="N363" s="141"/>
      <c r="O363" s="141"/>
    </row>
    <row r="364" spans="1:15" ht="14.25">
      <c r="A364" s="10"/>
      <c r="B364" s="10"/>
      <c r="C364" s="26"/>
      <c r="D364" s="8" t="s">
        <v>584</v>
      </c>
      <c r="E364" s="8"/>
      <c r="F364" s="119">
        <v>2</v>
      </c>
      <c r="G364" s="119">
        <v>11.26</v>
      </c>
      <c r="H364" s="14">
        <v>0.23</v>
      </c>
      <c r="I364" s="14">
        <v>0.45</v>
      </c>
      <c r="J364" s="14">
        <f t="shared" si="17"/>
        <v>2.3308200000000001</v>
      </c>
      <c r="K364" s="157"/>
      <c r="L364" s="157"/>
      <c r="M364" s="141"/>
      <c r="N364" s="141"/>
      <c r="O364" s="141"/>
    </row>
    <row r="365" spans="1:15" ht="14.25">
      <c r="A365" s="10"/>
      <c r="B365" s="10"/>
      <c r="C365" s="26"/>
      <c r="D365" s="8" t="s">
        <v>584</v>
      </c>
      <c r="E365" s="8"/>
      <c r="F365" s="119">
        <v>2</v>
      </c>
      <c r="G365" s="119">
        <v>10.66</v>
      </c>
      <c r="H365" s="14">
        <v>0.23</v>
      </c>
      <c r="I365" s="14">
        <v>0.45</v>
      </c>
      <c r="J365" s="14">
        <f t="shared" si="17"/>
        <v>2.20662</v>
      </c>
      <c r="K365" s="157"/>
      <c r="L365" s="157"/>
      <c r="M365" s="141"/>
      <c r="N365" s="141"/>
      <c r="O365" s="141"/>
    </row>
    <row r="366" spans="1:15" ht="14.25">
      <c r="A366" s="10"/>
      <c r="B366" s="10"/>
      <c r="C366" s="26"/>
      <c r="D366" s="8" t="s">
        <v>584</v>
      </c>
      <c r="E366" s="8"/>
      <c r="F366" s="119">
        <v>2</v>
      </c>
      <c r="G366" s="119">
        <v>4.5</v>
      </c>
      <c r="H366" s="14">
        <v>0.23</v>
      </c>
      <c r="I366" s="14">
        <v>0.45</v>
      </c>
      <c r="J366" s="14">
        <f t="shared" si="17"/>
        <v>0.93150000000000011</v>
      </c>
      <c r="K366" s="157"/>
      <c r="L366" s="157"/>
      <c r="M366" s="141"/>
      <c r="N366" s="141"/>
      <c r="O366" s="141"/>
    </row>
    <row r="367" spans="1:15" ht="14.25">
      <c r="A367" s="10"/>
      <c r="B367" s="10"/>
      <c r="C367" s="26"/>
      <c r="D367" s="8" t="s">
        <v>584</v>
      </c>
      <c r="E367" s="8"/>
      <c r="F367" s="119">
        <v>2</v>
      </c>
      <c r="G367" s="119">
        <v>3.83</v>
      </c>
      <c r="H367" s="14">
        <v>0.23</v>
      </c>
      <c r="I367" s="14">
        <v>0.45</v>
      </c>
      <c r="J367" s="14">
        <f t="shared" si="17"/>
        <v>0.79281000000000013</v>
      </c>
      <c r="K367" s="157"/>
      <c r="L367" s="157"/>
      <c r="M367" s="141"/>
      <c r="N367" s="141"/>
      <c r="O367" s="141"/>
    </row>
    <row r="368" spans="1:15" ht="14.25">
      <c r="A368" s="10"/>
      <c r="B368" s="10"/>
      <c r="C368" s="26"/>
      <c r="D368" s="8" t="s">
        <v>584</v>
      </c>
      <c r="E368" s="8"/>
      <c r="F368" s="119">
        <v>2</v>
      </c>
      <c r="G368" s="119">
        <v>1.2</v>
      </c>
      <c r="H368" s="14">
        <v>0.23</v>
      </c>
      <c r="I368" s="14">
        <v>0.45</v>
      </c>
      <c r="J368" s="14">
        <f t="shared" si="17"/>
        <v>0.24840000000000001</v>
      </c>
      <c r="K368" s="157"/>
      <c r="L368" s="157"/>
      <c r="M368" s="141"/>
      <c r="N368" s="141"/>
      <c r="O368" s="141"/>
    </row>
    <row r="369" spans="1:15" ht="14.25">
      <c r="A369" s="10"/>
      <c r="B369" s="10"/>
      <c r="C369" s="26"/>
      <c r="D369" s="8" t="s">
        <v>584</v>
      </c>
      <c r="E369" s="8"/>
      <c r="F369" s="119">
        <v>2</v>
      </c>
      <c r="G369" s="119">
        <v>8.52</v>
      </c>
      <c r="H369" s="14">
        <v>0.23</v>
      </c>
      <c r="I369" s="14">
        <v>0.45</v>
      </c>
      <c r="J369" s="14">
        <f t="shared" si="17"/>
        <v>1.7636400000000001</v>
      </c>
      <c r="K369" s="157"/>
      <c r="L369" s="157"/>
      <c r="M369" s="141"/>
      <c r="N369" s="141"/>
      <c r="O369" s="141"/>
    </row>
    <row r="370" spans="1:15" ht="14.25">
      <c r="A370" s="10"/>
      <c r="B370" s="10"/>
      <c r="C370" s="9" t="s">
        <v>601</v>
      </c>
      <c r="D370" s="8" t="s">
        <v>584</v>
      </c>
      <c r="E370" s="8"/>
      <c r="F370" s="119">
        <v>3</v>
      </c>
      <c r="G370" s="119">
        <v>25.4</v>
      </c>
      <c r="H370" s="14">
        <v>0.23</v>
      </c>
      <c r="I370" s="14">
        <v>0.45</v>
      </c>
      <c r="J370" s="14">
        <f t="shared" si="17"/>
        <v>7.8867000000000012</v>
      </c>
      <c r="K370" s="157"/>
      <c r="L370" s="157"/>
      <c r="M370" s="141"/>
      <c r="N370" s="141"/>
      <c r="O370" s="141"/>
    </row>
    <row r="371" spans="1:15" ht="14.25">
      <c r="A371" s="10"/>
      <c r="B371" s="10"/>
      <c r="C371" s="26"/>
      <c r="D371" s="8" t="s">
        <v>584</v>
      </c>
      <c r="E371" s="8"/>
      <c r="F371" s="119">
        <v>6</v>
      </c>
      <c r="G371" s="119">
        <v>3.7</v>
      </c>
      <c r="H371" s="14">
        <v>0.23</v>
      </c>
      <c r="I371" s="14">
        <v>0.45</v>
      </c>
      <c r="J371" s="14">
        <f t="shared" si="17"/>
        <v>2.2977000000000003</v>
      </c>
      <c r="K371" s="157"/>
      <c r="L371" s="157"/>
      <c r="M371" s="141"/>
      <c r="N371" s="141"/>
      <c r="O371" s="141"/>
    </row>
    <row r="372" spans="1:15" ht="14.25">
      <c r="A372" s="10"/>
      <c r="B372" s="10"/>
      <c r="C372" s="26"/>
      <c r="D372" s="8" t="s">
        <v>584</v>
      </c>
      <c r="E372" s="8"/>
      <c r="F372" s="119">
        <v>2</v>
      </c>
      <c r="G372" s="119">
        <v>11.26</v>
      </c>
      <c r="H372" s="14">
        <v>0.23</v>
      </c>
      <c r="I372" s="14">
        <v>0.45</v>
      </c>
      <c r="J372" s="14">
        <f t="shared" si="17"/>
        <v>2.3308200000000001</v>
      </c>
      <c r="K372" s="157"/>
      <c r="L372" s="157"/>
      <c r="M372" s="141"/>
      <c r="N372" s="141"/>
      <c r="O372" s="141"/>
    </row>
    <row r="373" spans="1:15" ht="14.25">
      <c r="A373" s="10"/>
      <c r="B373" s="10"/>
      <c r="C373" s="26"/>
      <c r="D373" s="8" t="s">
        <v>584</v>
      </c>
      <c r="E373" s="8"/>
      <c r="F373" s="119">
        <v>2</v>
      </c>
      <c r="G373" s="119">
        <v>10.66</v>
      </c>
      <c r="H373" s="14">
        <v>0.23</v>
      </c>
      <c r="I373" s="14">
        <v>0.45</v>
      </c>
      <c r="J373" s="14">
        <f t="shared" si="17"/>
        <v>2.20662</v>
      </c>
      <c r="K373" s="157"/>
      <c r="L373" s="157"/>
      <c r="M373" s="141"/>
      <c r="N373" s="141"/>
      <c r="O373" s="141"/>
    </row>
    <row r="374" spans="1:15" ht="14.25">
      <c r="A374" s="10"/>
      <c r="B374" s="10"/>
      <c r="C374" s="26"/>
      <c r="D374" s="8" t="s">
        <v>584</v>
      </c>
      <c r="E374" s="8"/>
      <c r="F374" s="119">
        <v>2</v>
      </c>
      <c r="G374" s="119">
        <v>4.5</v>
      </c>
      <c r="H374" s="14">
        <v>0.23</v>
      </c>
      <c r="I374" s="14">
        <v>0.45</v>
      </c>
      <c r="J374" s="14">
        <f t="shared" si="17"/>
        <v>0.93150000000000011</v>
      </c>
      <c r="K374" s="157"/>
      <c r="L374" s="157"/>
      <c r="M374" s="141"/>
      <c r="N374" s="141"/>
      <c r="O374" s="141"/>
    </row>
    <row r="375" spans="1:15" ht="14.25">
      <c r="A375" s="10"/>
      <c r="B375" s="10"/>
      <c r="C375" s="26"/>
      <c r="D375" s="8" t="s">
        <v>584</v>
      </c>
      <c r="E375" s="8"/>
      <c r="F375" s="119">
        <v>2</v>
      </c>
      <c r="G375" s="119">
        <v>3.83</v>
      </c>
      <c r="H375" s="14">
        <v>0.23</v>
      </c>
      <c r="I375" s="14">
        <v>0.45</v>
      </c>
      <c r="J375" s="14">
        <f t="shared" si="17"/>
        <v>0.79281000000000013</v>
      </c>
      <c r="K375" s="157"/>
      <c r="L375" s="157"/>
      <c r="M375" s="141"/>
      <c r="N375" s="141"/>
      <c r="O375" s="141"/>
    </row>
    <row r="376" spans="1:15" ht="14.25">
      <c r="A376" s="10"/>
      <c r="B376" s="10"/>
      <c r="C376" s="26"/>
      <c r="D376" s="8" t="s">
        <v>584</v>
      </c>
      <c r="E376" s="8"/>
      <c r="F376" s="119">
        <v>4</v>
      </c>
      <c r="G376" s="119">
        <v>1.2</v>
      </c>
      <c r="H376" s="14">
        <v>0.23</v>
      </c>
      <c r="I376" s="14">
        <v>0.45</v>
      </c>
      <c r="J376" s="14">
        <f t="shared" si="17"/>
        <v>0.49680000000000002</v>
      </c>
      <c r="K376" s="157"/>
      <c r="L376" s="157"/>
      <c r="M376" s="141"/>
      <c r="N376" s="141"/>
      <c r="O376" s="141"/>
    </row>
    <row r="377" spans="1:15" ht="14.25">
      <c r="A377" s="10"/>
      <c r="B377" s="10"/>
      <c r="C377" s="26"/>
      <c r="D377" s="8" t="s">
        <v>584</v>
      </c>
      <c r="E377" s="8"/>
      <c r="F377" s="119">
        <v>2</v>
      </c>
      <c r="G377" s="119">
        <v>8.52</v>
      </c>
      <c r="H377" s="14">
        <v>0.23</v>
      </c>
      <c r="I377" s="14">
        <v>0.45</v>
      </c>
      <c r="J377" s="14">
        <f t="shared" si="17"/>
        <v>1.7636400000000001</v>
      </c>
      <c r="K377" s="157"/>
      <c r="L377" s="157"/>
      <c r="M377" s="141"/>
      <c r="N377" s="141"/>
      <c r="O377" s="141"/>
    </row>
    <row r="378" spans="1:15" ht="14.25">
      <c r="A378" s="10"/>
      <c r="B378" s="10"/>
      <c r="C378" s="26"/>
      <c r="D378" s="8" t="s">
        <v>584</v>
      </c>
      <c r="E378" s="8"/>
      <c r="F378" s="119"/>
      <c r="G378" s="119"/>
      <c r="H378" s="14"/>
      <c r="I378" s="14">
        <v>0.45</v>
      </c>
      <c r="J378" s="14"/>
      <c r="K378" s="157"/>
      <c r="L378" s="157"/>
      <c r="M378" s="141"/>
      <c r="N378" s="141"/>
      <c r="O378" s="141"/>
    </row>
    <row r="379" spans="1:15" ht="14.25">
      <c r="A379" s="10"/>
      <c r="B379" s="10"/>
      <c r="C379" s="26"/>
      <c r="D379" s="8" t="s">
        <v>584</v>
      </c>
      <c r="E379" s="8"/>
      <c r="F379" s="119">
        <v>3</v>
      </c>
      <c r="G379" s="119">
        <v>27.37</v>
      </c>
      <c r="H379" s="14">
        <v>0.23</v>
      </c>
      <c r="I379" s="14">
        <v>0.45</v>
      </c>
      <c r="J379" s="14">
        <f t="shared" ref="J379:J386" si="18">I379*H379*G379*F379</f>
        <v>8.4983850000000007</v>
      </c>
      <c r="K379" s="157"/>
      <c r="L379" s="157"/>
      <c r="M379" s="141"/>
      <c r="N379" s="141"/>
      <c r="O379" s="141"/>
    </row>
    <row r="380" spans="1:15" ht="14.25">
      <c r="A380" s="10"/>
      <c r="B380" s="10"/>
      <c r="C380" s="26"/>
      <c r="D380" s="8" t="s">
        <v>584</v>
      </c>
      <c r="E380" s="8"/>
      <c r="F380" s="119">
        <v>6</v>
      </c>
      <c r="G380" s="119">
        <v>3.7</v>
      </c>
      <c r="H380" s="14">
        <v>0.23</v>
      </c>
      <c r="I380" s="14">
        <v>0.45</v>
      </c>
      <c r="J380" s="14">
        <f t="shared" si="18"/>
        <v>2.2977000000000003</v>
      </c>
      <c r="K380" s="157"/>
      <c r="L380" s="157"/>
      <c r="M380" s="141"/>
      <c r="N380" s="141"/>
      <c r="O380" s="141"/>
    </row>
    <row r="381" spans="1:15" ht="14.25">
      <c r="A381" s="10"/>
      <c r="B381" s="10"/>
      <c r="C381" s="26"/>
      <c r="D381" s="8" t="s">
        <v>584</v>
      </c>
      <c r="E381" s="8"/>
      <c r="F381" s="119">
        <v>2</v>
      </c>
      <c r="G381" s="119">
        <v>11.26</v>
      </c>
      <c r="H381" s="14">
        <v>0.23</v>
      </c>
      <c r="I381" s="14">
        <v>0.45</v>
      </c>
      <c r="J381" s="14">
        <f t="shared" si="18"/>
        <v>2.3308200000000001</v>
      </c>
      <c r="K381" s="157"/>
      <c r="L381" s="157"/>
      <c r="M381" s="141"/>
      <c r="N381" s="141"/>
      <c r="O381" s="141"/>
    </row>
    <row r="382" spans="1:15" ht="14.25">
      <c r="A382" s="10"/>
      <c r="B382" s="10"/>
      <c r="C382" s="26"/>
      <c r="D382" s="8" t="s">
        <v>584</v>
      </c>
      <c r="E382" s="8"/>
      <c r="F382" s="119">
        <v>2</v>
      </c>
      <c r="G382" s="119">
        <v>10.66</v>
      </c>
      <c r="H382" s="14">
        <v>0.23</v>
      </c>
      <c r="I382" s="14">
        <v>0.45</v>
      </c>
      <c r="J382" s="14">
        <f t="shared" si="18"/>
        <v>2.20662</v>
      </c>
      <c r="K382" s="157"/>
      <c r="L382" s="157"/>
      <c r="M382" s="141"/>
      <c r="N382" s="141"/>
      <c r="O382" s="141"/>
    </row>
    <row r="383" spans="1:15" ht="14.25">
      <c r="A383" s="10"/>
      <c r="B383" s="10"/>
      <c r="C383" s="26"/>
      <c r="D383" s="8" t="s">
        <v>584</v>
      </c>
      <c r="E383" s="8"/>
      <c r="F383" s="119">
        <v>2</v>
      </c>
      <c r="G383" s="119">
        <v>4.5</v>
      </c>
      <c r="H383" s="14">
        <v>0.23</v>
      </c>
      <c r="I383" s="14">
        <v>0.45</v>
      </c>
      <c r="J383" s="14">
        <f t="shared" si="18"/>
        <v>0.93150000000000011</v>
      </c>
      <c r="K383" s="157"/>
      <c r="L383" s="157"/>
      <c r="M383" s="141"/>
      <c r="N383" s="141"/>
      <c r="O383" s="141"/>
    </row>
    <row r="384" spans="1:15" ht="14.25">
      <c r="A384" s="10"/>
      <c r="B384" s="10"/>
      <c r="C384" s="26"/>
      <c r="D384" s="8" t="s">
        <v>584</v>
      </c>
      <c r="E384" s="8"/>
      <c r="F384" s="119">
        <v>2</v>
      </c>
      <c r="G384" s="119">
        <v>3.83</v>
      </c>
      <c r="H384" s="14">
        <v>0.23</v>
      </c>
      <c r="I384" s="14">
        <v>0.45</v>
      </c>
      <c r="J384" s="14">
        <f t="shared" si="18"/>
        <v>0.79281000000000013</v>
      </c>
      <c r="K384" s="157"/>
      <c r="L384" s="157"/>
      <c r="M384" s="141"/>
      <c r="N384" s="141"/>
      <c r="O384" s="141"/>
    </row>
    <row r="385" spans="1:15" ht="14.25">
      <c r="A385" s="10"/>
      <c r="B385" s="10"/>
      <c r="C385" s="26"/>
      <c r="D385" s="8" t="s">
        <v>584</v>
      </c>
      <c r="E385" s="8"/>
      <c r="F385" s="119">
        <v>4</v>
      </c>
      <c r="G385" s="119">
        <v>1.2</v>
      </c>
      <c r="H385" s="14">
        <v>0.23</v>
      </c>
      <c r="I385" s="14">
        <v>0.45</v>
      </c>
      <c r="J385" s="14">
        <f t="shared" si="18"/>
        <v>0.49680000000000002</v>
      </c>
      <c r="K385" s="157"/>
      <c r="L385" s="157"/>
      <c r="M385" s="141"/>
      <c r="N385" s="141"/>
      <c r="O385" s="141"/>
    </row>
    <row r="386" spans="1:15" ht="14.25">
      <c r="A386" s="10"/>
      <c r="B386" s="10"/>
      <c r="C386" s="26"/>
      <c r="D386" s="8" t="s">
        <v>584</v>
      </c>
      <c r="E386" s="8"/>
      <c r="F386" s="119">
        <v>2</v>
      </c>
      <c r="G386" s="119">
        <v>8.52</v>
      </c>
      <c r="H386" s="14">
        <v>0.23</v>
      </c>
      <c r="I386" s="14">
        <v>0.45</v>
      </c>
      <c r="J386" s="14">
        <f t="shared" si="18"/>
        <v>1.7636400000000001</v>
      </c>
      <c r="K386" s="157"/>
      <c r="L386" s="157"/>
      <c r="M386" s="141"/>
      <c r="N386" s="141"/>
      <c r="O386" s="141"/>
    </row>
    <row r="387" spans="1:15" ht="14.25">
      <c r="A387" s="10"/>
      <c r="B387" s="10"/>
      <c r="C387" s="26"/>
      <c r="D387" s="8"/>
      <c r="E387" s="8"/>
      <c r="F387" s="120"/>
      <c r="G387" s="120"/>
      <c r="H387" s="159"/>
      <c r="I387" s="14">
        <v>0.45</v>
      </c>
      <c r="J387" s="14"/>
      <c r="K387" s="157"/>
      <c r="L387" s="157"/>
      <c r="M387" s="141"/>
      <c r="N387" s="141"/>
      <c r="O387" s="141"/>
    </row>
    <row r="388" spans="1:15" ht="14.25">
      <c r="A388" s="10"/>
      <c r="B388" s="10"/>
      <c r="C388" s="9" t="s">
        <v>537</v>
      </c>
      <c r="D388" s="8" t="s">
        <v>584</v>
      </c>
      <c r="E388" s="8"/>
      <c r="F388" s="119">
        <v>2</v>
      </c>
      <c r="G388" s="119">
        <v>7.32</v>
      </c>
      <c r="H388" s="14">
        <v>0.23</v>
      </c>
      <c r="I388" s="14">
        <v>0.45</v>
      </c>
      <c r="J388" s="14">
        <f>I388*H388*G388*F388</f>
        <v>1.5152400000000001</v>
      </c>
      <c r="K388" s="157"/>
      <c r="L388" s="157"/>
      <c r="M388" s="141"/>
      <c r="N388" s="141"/>
      <c r="O388" s="141"/>
    </row>
    <row r="389" spans="1:15" ht="14.25">
      <c r="A389" s="10"/>
      <c r="B389" s="10"/>
      <c r="C389" s="26"/>
      <c r="D389" s="8" t="s">
        <v>584</v>
      </c>
      <c r="E389" s="8"/>
      <c r="F389" s="119">
        <v>2</v>
      </c>
      <c r="G389" s="119">
        <v>3.36</v>
      </c>
      <c r="H389" s="14">
        <v>0.23</v>
      </c>
      <c r="I389" s="14">
        <v>0.45</v>
      </c>
      <c r="J389" s="14">
        <f>I389*H389*G389*F389</f>
        <v>0.69552000000000003</v>
      </c>
      <c r="K389" s="157"/>
      <c r="L389" s="157"/>
      <c r="M389" s="141"/>
      <c r="N389" s="141"/>
      <c r="O389" s="141"/>
    </row>
    <row r="390" spans="1:15" ht="14.25">
      <c r="A390" s="10"/>
      <c r="B390" s="10"/>
      <c r="C390" s="9"/>
      <c r="D390" s="8"/>
      <c r="E390" s="8"/>
      <c r="F390" s="8"/>
      <c r="G390" s="8"/>
      <c r="H390" s="579" t="s">
        <v>602</v>
      </c>
      <c r="I390" s="580"/>
      <c r="J390" s="32">
        <f>SUM(J336:J389)</f>
        <v>116.38575000000004</v>
      </c>
      <c r="K390" s="157"/>
      <c r="L390" s="157"/>
      <c r="M390" s="141"/>
      <c r="N390" s="141"/>
      <c r="O390" s="141"/>
    </row>
    <row r="391" spans="1:15" ht="14.25">
      <c r="A391" s="10"/>
      <c r="B391" s="10"/>
      <c r="C391" s="9"/>
      <c r="D391" s="8"/>
      <c r="E391" s="8"/>
      <c r="F391" s="8"/>
      <c r="G391" s="8"/>
      <c r="H391" s="159"/>
      <c r="I391" s="160"/>
      <c r="J391" s="32"/>
      <c r="K391" s="157"/>
      <c r="L391" s="157"/>
      <c r="M391" s="141"/>
      <c r="N391" s="141"/>
      <c r="O391" s="141"/>
    </row>
    <row r="392" spans="1:15" ht="14.25">
      <c r="A392" s="10"/>
      <c r="B392" s="10"/>
      <c r="C392" s="9" t="s">
        <v>603</v>
      </c>
      <c r="D392" s="8"/>
      <c r="E392" s="8"/>
      <c r="F392" s="8"/>
      <c r="G392" s="8"/>
      <c r="H392" s="159"/>
      <c r="I392" s="160"/>
      <c r="J392" s="32"/>
      <c r="K392" s="157"/>
      <c r="L392" s="157"/>
      <c r="M392" s="141"/>
      <c r="N392" s="141"/>
      <c r="O392" s="141"/>
    </row>
    <row r="393" spans="1:15" ht="14.25">
      <c r="A393" s="10"/>
      <c r="B393" s="10"/>
      <c r="C393" s="26"/>
      <c r="D393" s="8" t="s">
        <v>584</v>
      </c>
      <c r="E393" s="8"/>
      <c r="F393" s="8">
        <v>6</v>
      </c>
      <c r="G393" s="8"/>
      <c r="H393" s="14">
        <v>0.12</v>
      </c>
      <c r="I393" s="14">
        <f>104.76+3.2+3.2+3.15+3.62</f>
        <v>117.93000000000002</v>
      </c>
      <c r="J393" s="14">
        <f>I393*H393*F393</f>
        <v>84.909600000000012</v>
      </c>
      <c r="K393" s="157"/>
      <c r="L393" s="157"/>
      <c r="M393" s="141"/>
      <c r="N393" s="141"/>
      <c r="O393" s="141"/>
    </row>
    <row r="394" spans="1:15" ht="14.25">
      <c r="A394" s="10"/>
      <c r="B394" s="10"/>
      <c r="C394" s="26"/>
      <c r="D394" s="8"/>
      <c r="E394" s="8"/>
      <c r="F394" s="8"/>
      <c r="G394" s="8"/>
      <c r="H394" s="14"/>
      <c r="I394" s="14"/>
      <c r="J394" s="14"/>
      <c r="K394" s="157"/>
      <c r="L394" s="157"/>
      <c r="M394" s="141"/>
      <c r="N394" s="141"/>
      <c r="O394" s="141"/>
    </row>
    <row r="395" spans="1:15" ht="14.25">
      <c r="A395" s="10"/>
      <c r="B395" s="10"/>
      <c r="C395" s="26" t="s">
        <v>530</v>
      </c>
      <c r="D395" s="8" t="s">
        <v>584</v>
      </c>
      <c r="E395" s="8">
        <v>2</v>
      </c>
      <c r="F395" s="8">
        <v>1</v>
      </c>
      <c r="G395" s="8">
        <v>3.1</v>
      </c>
      <c r="H395" s="14">
        <v>2.93</v>
      </c>
      <c r="I395" s="14">
        <v>0.12</v>
      </c>
      <c r="J395" s="14">
        <f>I395*H395*G395*F395*E395</f>
        <v>2.1799200000000001</v>
      </c>
      <c r="K395" s="157"/>
      <c r="L395" s="157"/>
      <c r="M395" s="141"/>
      <c r="N395" s="141"/>
      <c r="O395" s="141"/>
    </row>
    <row r="396" spans="1:15" ht="14.25">
      <c r="A396" s="10"/>
      <c r="B396" s="10"/>
      <c r="C396" s="26" t="s">
        <v>531</v>
      </c>
      <c r="D396" s="8" t="s">
        <v>584</v>
      </c>
      <c r="E396" s="8">
        <v>2</v>
      </c>
      <c r="F396" s="8">
        <v>1</v>
      </c>
      <c r="G396" s="8">
        <v>2.93</v>
      </c>
      <c r="H396" s="14">
        <v>1.4</v>
      </c>
      <c r="I396" s="14">
        <v>0.12</v>
      </c>
      <c r="J396" s="14">
        <f>I396*H396*G396*F396*E396</f>
        <v>0.98447999999999991</v>
      </c>
      <c r="K396" s="157"/>
      <c r="L396" s="157"/>
      <c r="M396" s="141"/>
      <c r="N396" s="141"/>
      <c r="O396" s="141"/>
    </row>
    <row r="397" spans="1:15" ht="14.25">
      <c r="A397" s="10"/>
      <c r="B397" s="10"/>
      <c r="C397" s="26"/>
      <c r="D397" s="8"/>
      <c r="E397" s="8"/>
      <c r="F397" s="8"/>
      <c r="G397" s="8"/>
      <c r="H397" s="159"/>
      <c r="I397" s="160"/>
      <c r="J397" s="14"/>
      <c r="K397" s="157"/>
      <c r="L397" s="157"/>
      <c r="M397" s="141"/>
      <c r="N397" s="141"/>
      <c r="O397" s="141"/>
    </row>
    <row r="398" spans="1:15" ht="14.25">
      <c r="A398" s="10"/>
      <c r="B398" s="10"/>
      <c r="C398" s="26" t="s">
        <v>530</v>
      </c>
      <c r="D398" s="8" t="s">
        <v>584</v>
      </c>
      <c r="E398" s="8">
        <v>2</v>
      </c>
      <c r="F398" s="8">
        <v>1</v>
      </c>
      <c r="G398" s="8">
        <v>3.1</v>
      </c>
      <c r="H398" s="14">
        <v>2.93</v>
      </c>
      <c r="I398" s="14">
        <v>0.12</v>
      </c>
      <c r="J398" s="14">
        <f>I398*H398*G398*F398*E398</f>
        <v>2.1799200000000001</v>
      </c>
      <c r="K398" s="157"/>
      <c r="L398" s="157"/>
      <c r="M398" s="141"/>
      <c r="N398" s="141"/>
      <c r="O398" s="141"/>
    </row>
    <row r="399" spans="1:15" ht="14.25">
      <c r="A399" s="10"/>
      <c r="B399" s="10"/>
      <c r="C399" s="26" t="s">
        <v>531</v>
      </c>
      <c r="D399" s="8" t="s">
        <v>584</v>
      </c>
      <c r="E399" s="8">
        <v>2</v>
      </c>
      <c r="F399" s="8">
        <v>1</v>
      </c>
      <c r="G399" s="8">
        <v>2.93</v>
      </c>
      <c r="H399" s="14">
        <v>1.4</v>
      </c>
      <c r="I399" s="14">
        <v>0.12</v>
      </c>
      <c r="J399" s="14">
        <f>I399*H399*G399*F399*E399</f>
        <v>0.98447999999999991</v>
      </c>
      <c r="K399" s="157"/>
      <c r="L399" s="157"/>
      <c r="M399" s="141"/>
      <c r="N399" s="141"/>
      <c r="O399" s="141"/>
    </row>
    <row r="400" spans="1:15" ht="14.25">
      <c r="A400" s="10"/>
      <c r="B400" s="10"/>
      <c r="C400" s="26"/>
      <c r="D400" s="8"/>
      <c r="E400" s="8"/>
      <c r="F400" s="8"/>
      <c r="G400" s="8"/>
      <c r="H400" s="109"/>
      <c r="I400" s="14"/>
      <c r="J400" s="14"/>
      <c r="K400" s="157"/>
      <c r="L400" s="157"/>
      <c r="M400" s="141"/>
      <c r="N400" s="141"/>
      <c r="O400" s="141"/>
    </row>
    <row r="401" spans="1:15" ht="14.25">
      <c r="A401" s="10"/>
      <c r="B401" s="10"/>
      <c r="C401" s="9"/>
      <c r="D401" s="8"/>
      <c r="E401" s="8"/>
      <c r="F401" s="8"/>
      <c r="G401" s="8"/>
      <c r="H401" s="159"/>
      <c r="I401" s="160"/>
      <c r="J401" s="32"/>
      <c r="K401" s="157"/>
      <c r="L401" s="157"/>
      <c r="M401" s="141"/>
      <c r="N401" s="141"/>
      <c r="O401" s="141"/>
    </row>
    <row r="402" spans="1:15" ht="14.25">
      <c r="A402" s="10"/>
      <c r="B402" s="10"/>
      <c r="C402" s="26" t="s">
        <v>604</v>
      </c>
      <c r="D402" s="8" t="s">
        <v>495</v>
      </c>
      <c r="E402" s="8"/>
      <c r="F402" s="8">
        <v>6</v>
      </c>
      <c r="G402" s="8">
        <v>3.1549999999999998</v>
      </c>
      <c r="H402" s="14">
        <v>1.5</v>
      </c>
      <c r="I402" s="14">
        <v>0.15</v>
      </c>
      <c r="J402" s="14">
        <f>F402*G402*H402*I402</f>
        <v>4.2592499999999998</v>
      </c>
      <c r="K402" s="157"/>
      <c r="L402" s="157"/>
      <c r="M402" s="141"/>
      <c r="N402" s="141"/>
      <c r="O402" s="141"/>
    </row>
    <row r="403" spans="1:15" ht="14.25">
      <c r="A403" s="10"/>
      <c r="B403" s="10"/>
      <c r="C403" s="9" t="s">
        <v>532</v>
      </c>
      <c r="D403" s="8" t="s">
        <v>495</v>
      </c>
      <c r="E403" s="8"/>
      <c r="F403" s="8">
        <v>1</v>
      </c>
      <c r="G403" s="8">
        <v>3.18</v>
      </c>
      <c r="H403" s="14">
        <v>7.32</v>
      </c>
      <c r="I403" s="14">
        <v>0.15</v>
      </c>
      <c r="J403" s="14">
        <f>F403*G403*H403*I403</f>
        <v>3.4916400000000003</v>
      </c>
      <c r="K403" s="157"/>
      <c r="L403" s="157"/>
      <c r="M403" s="141"/>
      <c r="N403" s="141"/>
      <c r="O403" s="141"/>
    </row>
    <row r="404" spans="1:15" ht="14.25">
      <c r="A404" s="10"/>
      <c r="B404" s="10"/>
      <c r="C404" s="9"/>
      <c r="D404" s="8"/>
      <c r="E404" s="8"/>
      <c r="F404" s="8"/>
      <c r="G404" s="8"/>
      <c r="H404" s="14"/>
      <c r="I404" s="14"/>
      <c r="J404" s="14"/>
      <c r="K404" s="157"/>
      <c r="L404" s="157"/>
      <c r="M404" s="141"/>
      <c r="N404" s="141"/>
      <c r="O404" s="141"/>
    </row>
    <row r="405" spans="1:15" ht="14.25">
      <c r="A405" s="10"/>
      <c r="B405" s="10"/>
      <c r="C405" s="9"/>
      <c r="D405" s="8"/>
      <c r="E405" s="8"/>
      <c r="F405" s="8"/>
      <c r="G405" s="8"/>
      <c r="H405" s="159"/>
      <c r="I405" s="160"/>
      <c r="J405" s="32"/>
      <c r="K405" s="157"/>
      <c r="L405" s="157"/>
      <c r="M405" s="141"/>
      <c r="N405" s="141"/>
      <c r="O405" s="141"/>
    </row>
    <row r="406" spans="1:15" ht="14.25">
      <c r="A406" s="10"/>
      <c r="B406" s="10"/>
      <c r="C406" s="9" t="s">
        <v>605</v>
      </c>
      <c r="D406" s="8" t="s">
        <v>495</v>
      </c>
      <c r="E406" s="8">
        <v>4</v>
      </c>
      <c r="F406" s="8">
        <v>1</v>
      </c>
      <c r="G406" s="8">
        <v>3.6</v>
      </c>
      <c r="H406" s="14">
        <v>0.6</v>
      </c>
      <c r="I406" s="109">
        <v>7.4999999999999997E-2</v>
      </c>
      <c r="J406" s="14">
        <f>E406*F406*G406*H406*I406</f>
        <v>0.64800000000000002</v>
      </c>
      <c r="K406" s="157"/>
      <c r="L406" s="157"/>
      <c r="M406" s="141"/>
      <c r="N406" s="141"/>
      <c r="O406" s="141"/>
    </row>
    <row r="407" spans="1:15" ht="14.25">
      <c r="A407" s="10"/>
      <c r="B407" s="10"/>
      <c r="C407" s="9" t="s">
        <v>606</v>
      </c>
      <c r="D407" s="8" t="s">
        <v>495</v>
      </c>
      <c r="E407" s="8">
        <v>4</v>
      </c>
      <c r="F407" s="8">
        <v>1</v>
      </c>
      <c r="G407" s="8">
        <v>3.6</v>
      </c>
      <c r="H407" s="14">
        <v>0.45</v>
      </c>
      <c r="I407" s="109">
        <v>7.4999999999999997E-2</v>
      </c>
      <c r="J407" s="14">
        <f>E407*F407*G407*H407*I407</f>
        <v>0.48599999999999999</v>
      </c>
      <c r="K407" s="157"/>
      <c r="L407" s="157"/>
      <c r="M407" s="141"/>
      <c r="N407" s="141"/>
      <c r="O407" s="141"/>
    </row>
    <row r="408" spans="1:15" ht="14.25">
      <c r="A408" s="10"/>
      <c r="B408" s="10"/>
      <c r="C408" s="9" t="s">
        <v>607</v>
      </c>
      <c r="D408" s="8" t="s">
        <v>495</v>
      </c>
      <c r="E408" s="8">
        <v>1</v>
      </c>
      <c r="F408" s="8">
        <v>1</v>
      </c>
      <c r="G408" s="8">
        <v>2.4</v>
      </c>
      <c r="H408" s="14">
        <v>0.1</v>
      </c>
      <c r="I408" s="14">
        <v>0.3</v>
      </c>
      <c r="J408" s="14">
        <f>E408*F408*G408*H408*I408</f>
        <v>7.1999999999999995E-2</v>
      </c>
      <c r="K408" s="157"/>
      <c r="L408" s="157"/>
      <c r="M408" s="141"/>
      <c r="N408" s="141"/>
      <c r="O408" s="141"/>
    </row>
    <row r="409" spans="1:15" ht="14.25">
      <c r="A409" s="10"/>
      <c r="B409" s="10"/>
      <c r="C409" s="9" t="s">
        <v>549</v>
      </c>
      <c r="D409" s="8" t="s">
        <v>495</v>
      </c>
      <c r="E409" s="8">
        <v>44</v>
      </c>
      <c r="F409" s="8">
        <v>1</v>
      </c>
      <c r="G409" s="8">
        <v>1.5</v>
      </c>
      <c r="H409" s="8">
        <v>0.115</v>
      </c>
      <c r="I409" s="8">
        <v>0.15</v>
      </c>
      <c r="J409" s="14">
        <f>E409*F409*G409*H409*I409</f>
        <v>1.1385000000000001</v>
      </c>
      <c r="K409" s="157"/>
      <c r="L409" s="157"/>
      <c r="M409" s="141"/>
      <c r="N409" s="141"/>
      <c r="O409" s="141"/>
    </row>
    <row r="410" spans="1:15" ht="14.25">
      <c r="A410" s="10"/>
      <c r="B410" s="10"/>
      <c r="C410" s="26"/>
      <c r="D410" s="8"/>
      <c r="E410" s="8"/>
      <c r="F410" s="8"/>
      <c r="G410" s="8"/>
      <c r="H410" s="579" t="s">
        <v>608</v>
      </c>
      <c r="I410" s="580"/>
      <c r="J410" s="32">
        <f>SUM(J393:J409)</f>
        <v>101.33379000000001</v>
      </c>
      <c r="K410" s="157"/>
      <c r="L410" s="157"/>
      <c r="M410" s="141"/>
      <c r="N410" s="141"/>
      <c r="O410" s="141"/>
    </row>
    <row r="411" spans="1:15" ht="14.25">
      <c r="A411" s="10"/>
      <c r="B411" s="10"/>
      <c r="C411" s="9" t="s">
        <v>609</v>
      </c>
      <c r="D411" s="8" t="s">
        <v>495</v>
      </c>
      <c r="E411" s="8">
        <v>22</v>
      </c>
      <c r="F411" s="8">
        <v>0.6</v>
      </c>
      <c r="G411" s="8">
        <v>0.3</v>
      </c>
      <c r="H411" s="8">
        <v>3.15</v>
      </c>
      <c r="I411" s="8">
        <v>3</v>
      </c>
      <c r="J411" s="14">
        <f>I411*H411*G411*F411*E411</f>
        <v>37.42199999999999</v>
      </c>
      <c r="K411" s="157"/>
      <c r="L411" s="157"/>
      <c r="M411" s="141"/>
      <c r="N411" s="141"/>
      <c r="O411" s="141"/>
    </row>
    <row r="412" spans="1:15" ht="14.25">
      <c r="A412" s="10"/>
      <c r="B412" s="10"/>
      <c r="C412" s="26" t="s">
        <v>610</v>
      </c>
      <c r="D412" s="8" t="s">
        <v>495</v>
      </c>
      <c r="E412" s="8"/>
      <c r="F412" s="8">
        <v>12</v>
      </c>
      <c r="G412" s="8">
        <v>0.23</v>
      </c>
      <c r="H412" s="8">
        <v>0.45</v>
      </c>
      <c r="I412" s="8">
        <v>1.05</v>
      </c>
      <c r="J412" s="14">
        <f>F412*G412*H412*I412</f>
        <v>1.3041000000000003</v>
      </c>
      <c r="K412" s="157"/>
      <c r="L412" s="157"/>
      <c r="M412" s="141"/>
      <c r="N412" s="141"/>
      <c r="O412" s="141"/>
    </row>
    <row r="413" spans="1:15" ht="14.25">
      <c r="A413" s="10"/>
      <c r="B413" s="10"/>
      <c r="C413" s="26" t="s">
        <v>611</v>
      </c>
      <c r="D413" s="8" t="s">
        <v>495</v>
      </c>
      <c r="E413" s="8"/>
      <c r="F413" s="8">
        <v>4</v>
      </c>
      <c r="G413" s="8">
        <v>0.23</v>
      </c>
      <c r="H413" s="8">
        <v>0.45</v>
      </c>
      <c r="I413" s="8">
        <v>3.9249999999999998</v>
      </c>
      <c r="J413" s="14">
        <f>F413*G413*H413*I413</f>
        <v>1.6249500000000001</v>
      </c>
      <c r="K413" s="157"/>
      <c r="L413" s="157"/>
      <c r="M413" s="141"/>
      <c r="N413" s="141"/>
      <c r="O413" s="141"/>
    </row>
    <row r="414" spans="1:15" ht="14.25">
      <c r="A414" s="10"/>
      <c r="B414" s="10"/>
      <c r="C414" s="9"/>
      <c r="D414" s="8"/>
      <c r="E414" s="8"/>
      <c r="F414" s="8"/>
      <c r="G414" s="8"/>
      <c r="H414" s="579" t="s">
        <v>612</v>
      </c>
      <c r="I414" s="580"/>
      <c r="J414" s="32">
        <f>SUM(J411:J413)</f>
        <v>40.351049999999987</v>
      </c>
      <c r="K414" s="157"/>
      <c r="L414" s="157"/>
      <c r="M414" s="141"/>
      <c r="N414" s="141"/>
      <c r="O414" s="141"/>
    </row>
    <row r="415" spans="1:15" ht="14.25">
      <c r="A415" s="10"/>
      <c r="B415" s="10"/>
      <c r="C415" s="9" t="s">
        <v>613</v>
      </c>
      <c r="D415" s="8"/>
      <c r="E415" s="8">
        <v>12</v>
      </c>
      <c r="F415" s="8">
        <v>1.5</v>
      </c>
      <c r="G415" s="8">
        <v>0.6</v>
      </c>
      <c r="H415" s="159">
        <v>0.125</v>
      </c>
      <c r="I415" s="160"/>
      <c r="J415" s="32">
        <f>H415*G415*F415*E415</f>
        <v>1.3499999999999999</v>
      </c>
      <c r="K415" s="157"/>
      <c r="L415" s="157"/>
      <c r="M415" s="141"/>
      <c r="N415" s="141"/>
      <c r="O415" s="141"/>
    </row>
    <row r="416" spans="1:15" ht="14.25">
      <c r="A416" s="10"/>
      <c r="B416" s="10"/>
      <c r="C416" s="9"/>
      <c r="D416" s="8"/>
      <c r="E416" s="8">
        <v>12</v>
      </c>
      <c r="F416" s="8">
        <v>0.9</v>
      </c>
      <c r="G416" s="8">
        <v>0.6</v>
      </c>
      <c r="H416" s="159">
        <v>0.125</v>
      </c>
      <c r="I416" s="160"/>
      <c r="J416" s="32">
        <f>H416*G416*F416*E416</f>
        <v>0.81</v>
      </c>
      <c r="K416" s="157"/>
      <c r="L416" s="157"/>
      <c r="M416" s="141"/>
      <c r="N416" s="141"/>
      <c r="O416" s="141"/>
    </row>
    <row r="417" spans="1:15" ht="14.25">
      <c r="A417" s="10"/>
      <c r="B417" s="10"/>
      <c r="C417" s="9" t="s">
        <v>614</v>
      </c>
      <c r="D417" s="8"/>
      <c r="E417" s="8"/>
      <c r="F417" s="8"/>
      <c r="G417" s="8"/>
      <c r="H417" s="159"/>
      <c r="I417" s="160"/>
      <c r="J417" s="32">
        <f>J416+J415</f>
        <v>2.16</v>
      </c>
      <c r="K417" s="157"/>
      <c r="L417" s="157"/>
      <c r="M417" s="141"/>
      <c r="N417" s="141"/>
      <c r="O417" s="141"/>
    </row>
    <row r="418" spans="1:15" ht="14.25">
      <c r="A418" s="10"/>
      <c r="B418" s="10"/>
      <c r="C418" s="9"/>
      <c r="D418" s="8"/>
      <c r="E418" s="8"/>
      <c r="F418" s="8"/>
      <c r="G418" s="8"/>
      <c r="H418" s="159"/>
      <c r="I418" s="160"/>
      <c r="J418" s="32"/>
      <c r="K418" s="157"/>
      <c r="L418" s="157"/>
      <c r="M418" s="141"/>
      <c r="N418" s="141"/>
      <c r="O418" s="141"/>
    </row>
    <row r="419" spans="1:15" ht="14.25">
      <c r="A419" s="10"/>
      <c r="B419" s="10"/>
      <c r="C419" s="9"/>
      <c r="D419" s="8"/>
      <c r="E419" s="8"/>
      <c r="F419" s="8"/>
      <c r="G419" s="8"/>
      <c r="H419" s="579" t="s">
        <v>491</v>
      </c>
      <c r="I419" s="580"/>
      <c r="J419" s="32">
        <f>J414+J410+J390+J417</f>
        <v>260.23059000000006</v>
      </c>
      <c r="K419" s="157"/>
      <c r="L419" s="157"/>
      <c r="M419" s="141"/>
      <c r="N419" s="141"/>
      <c r="O419" s="141"/>
    </row>
    <row r="420" spans="1:15" ht="14.25">
      <c r="A420" s="10"/>
      <c r="B420" s="10"/>
      <c r="C420" s="94"/>
      <c r="D420" s="8"/>
      <c r="E420" s="8"/>
      <c r="F420" s="8"/>
      <c r="G420" s="8"/>
      <c r="H420" s="579" t="s">
        <v>594</v>
      </c>
      <c r="I420" s="580"/>
      <c r="J420" s="32">
        <f>J419</f>
        <v>260.23059000000006</v>
      </c>
      <c r="K420" s="157"/>
      <c r="L420" s="157"/>
      <c r="M420" s="141"/>
      <c r="N420" s="141"/>
      <c r="O420" s="141"/>
    </row>
    <row r="421" spans="1:15" ht="14.25">
      <c r="A421" s="10"/>
      <c r="B421" s="10"/>
      <c r="C421" s="94"/>
      <c r="D421" s="8"/>
      <c r="E421" s="8"/>
      <c r="F421" s="8"/>
      <c r="G421" s="8"/>
      <c r="H421" s="8"/>
      <c r="I421" s="23"/>
      <c r="J421" s="32"/>
      <c r="K421" s="157"/>
      <c r="L421" s="157"/>
      <c r="M421" s="141"/>
      <c r="N421" s="141"/>
      <c r="O421" s="141"/>
    </row>
    <row r="422" spans="1:15" ht="25.5">
      <c r="A422" s="10" t="s">
        <v>125</v>
      </c>
      <c r="B422" s="10" t="s">
        <v>114</v>
      </c>
      <c r="C422" s="27" t="s">
        <v>115</v>
      </c>
      <c r="D422" s="18" t="s">
        <v>615</v>
      </c>
      <c r="E422" s="18"/>
      <c r="F422" s="8"/>
      <c r="G422" s="8"/>
      <c r="H422" s="8"/>
      <c r="I422" s="23"/>
      <c r="J422" s="32"/>
      <c r="K422" s="157"/>
      <c r="L422" s="157"/>
      <c r="M422" s="141"/>
      <c r="N422" s="141"/>
      <c r="O422" s="141"/>
    </row>
    <row r="423" spans="1:15" ht="14.25" customHeight="1">
      <c r="A423" s="10"/>
      <c r="B423" s="10"/>
      <c r="C423" s="26" t="s">
        <v>616</v>
      </c>
      <c r="D423" s="18" t="s">
        <v>615</v>
      </c>
      <c r="E423" s="18"/>
      <c r="F423" s="14">
        <f>J332</f>
        <v>439.99678499999999</v>
      </c>
      <c r="G423" s="583" t="s">
        <v>617</v>
      </c>
      <c r="H423" s="584"/>
      <c r="I423" s="23"/>
      <c r="J423" s="83">
        <f>F423*0.5</f>
        <v>219.99839249999999</v>
      </c>
      <c r="K423" s="157"/>
      <c r="L423" s="157"/>
      <c r="M423" s="141"/>
      <c r="N423" s="141"/>
      <c r="O423" s="141"/>
    </row>
    <row r="424" spans="1:15" ht="14.25" customHeight="1">
      <c r="A424" s="10"/>
      <c r="B424" s="10"/>
      <c r="C424" s="26" t="s">
        <v>618</v>
      </c>
      <c r="D424" s="18" t="s">
        <v>615</v>
      </c>
      <c r="E424" s="18"/>
      <c r="F424" s="14">
        <f>J420</f>
        <v>260.23059000000006</v>
      </c>
      <c r="G424" s="583" t="s">
        <v>617</v>
      </c>
      <c r="H424" s="584"/>
      <c r="I424" s="23"/>
      <c r="J424" s="83">
        <f>F424*0.5</f>
        <v>130.11529500000003</v>
      </c>
      <c r="K424" s="157"/>
      <c r="L424" s="157"/>
      <c r="M424" s="141"/>
      <c r="N424" s="141"/>
      <c r="O424" s="141"/>
    </row>
    <row r="425" spans="1:15" ht="14.25">
      <c r="A425" s="10"/>
      <c r="B425" s="10"/>
      <c r="C425" s="27"/>
      <c r="D425" s="18"/>
      <c r="E425" s="18"/>
      <c r="F425" s="8"/>
      <c r="G425" s="8"/>
      <c r="H425" s="8"/>
      <c r="I425" s="23" t="s">
        <v>491</v>
      </c>
      <c r="J425" s="32">
        <f>SUM(J423:J424)</f>
        <v>350.11368750000003</v>
      </c>
      <c r="K425" s="157"/>
      <c r="L425" s="157"/>
      <c r="M425" s="141"/>
      <c r="N425" s="141"/>
      <c r="O425" s="141"/>
    </row>
    <row r="426" spans="1:15" ht="14.25">
      <c r="A426" s="10"/>
      <c r="B426" s="10"/>
      <c r="C426" s="27"/>
      <c r="D426" s="18"/>
      <c r="E426" s="18"/>
      <c r="F426" s="8"/>
      <c r="G426" s="8"/>
      <c r="H426" s="8"/>
      <c r="I426" s="23" t="s">
        <v>492</v>
      </c>
      <c r="J426" s="32">
        <f>J425</f>
        <v>350.11368750000003</v>
      </c>
      <c r="K426" s="157"/>
      <c r="L426" s="157"/>
      <c r="M426" s="141"/>
      <c r="N426" s="141"/>
      <c r="O426" s="141"/>
    </row>
    <row r="427" spans="1:15" ht="14.25">
      <c r="A427" s="10"/>
      <c r="B427" s="10"/>
      <c r="C427" s="27"/>
      <c r="D427" s="18"/>
      <c r="E427" s="18"/>
      <c r="F427" s="8"/>
      <c r="G427" s="8"/>
      <c r="H427" s="8"/>
      <c r="I427" s="23"/>
      <c r="J427" s="32"/>
      <c r="K427" s="157"/>
      <c r="L427" s="157"/>
      <c r="M427" s="141"/>
      <c r="N427" s="141"/>
      <c r="O427" s="141"/>
    </row>
    <row r="428" spans="1:15" ht="38.25">
      <c r="A428" s="10" t="s">
        <v>129</v>
      </c>
      <c r="B428" s="10" t="s">
        <v>117</v>
      </c>
      <c r="C428" s="163" t="s">
        <v>118</v>
      </c>
      <c r="D428" s="18"/>
      <c r="E428" s="18"/>
      <c r="F428" s="8"/>
      <c r="G428" s="8"/>
      <c r="H428" s="8"/>
      <c r="I428" s="23"/>
      <c r="J428" s="32"/>
      <c r="K428" s="157"/>
      <c r="L428" s="157"/>
      <c r="M428" s="141"/>
      <c r="N428" s="141"/>
      <c r="O428" s="141"/>
    </row>
    <row r="429" spans="1:15" ht="14.25">
      <c r="A429" s="10"/>
      <c r="B429" s="10" t="s">
        <v>119</v>
      </c>
      <c r="C429" s="163" t="s">
        <v>120</v>
      </c>
      <c r="D429" s="18"/>
      <c r="E429" s="18"/>
      <c r="F429" s="8"/>
      <c r="G429" s="8"/>
      <c r="H429" s="8"/>
      <c r="I429" s="23"/>
      <c r="J429" s="32"/>
      <c r="K429" s="157"/>
      <c r="L429" s="157"/>
      <c r="M429" s="141"/>
      <c r="N429" s="141"/>
      <c r="O429" s="141"/>
    </row>
    <row r="430" spans="1:15" ht="14.25">
      <c r="A430" s="10"/>
      <c r="B430" s="10"/>
      <c r="C430" s="26" t="s">
        <v>619</v>
      </c>
      <c r="D430" s="31" t="s">
        <v>504</v>
      </c>
      <c r="E430" s="31"/>
      <c r="F430" s="8">
        <v>2</v>
      </c>
      <c r="G430" s="8">
        <f>2*(21+14)</f>
        <v>70</v>
      </c>
      <c r="H430" s="8">
        <v>0.23</v>
      </c>
      <c r="I430" s="8">
        <v>0.3</v>
      </c>
      <c r="J430" s="14">
        <f>F430*G430*H430*I430</f>
        <v>9.66</v>
      </c>
      <c r="K430" s="157"/>
      <c r="L430" s="157"/>
      <c r="M430" s="141"/>
      <c r="N430" s="141"/>
      <c r="O430" s="141"/>
    </row>
    <row r="431" spans="1:15" ht="14.25">
      <c r="A431" s="10"/>
      <c r="B431" s="10"/>
      <c r="C431" s="26" t="s">
        <v>620</v>
      </c>
      <c r="D431" s="31" t="s">
        <v>504</v>
      </c>
      <c r="E431" s="31"/>
      <c r="F431" s="8">
        <v>1</v>
      </c>
      <c r="G431" s="8">
        <v>80</v>
      </c>
      <c r="H431" s="8">
        <v>0.23</v>
      </c>
      <c r="I431" s="8">
        <v>1</v>
      </c>
      <c r="J431" s="14">
        <f>F431*G431*H431*I431</f>
        <v>18.400000000000002</v>
      </c>
      <c r="K431" s="157"/>
      <c r="L431" s="157"/>
      <c r="M431" s="141"/>
      <c r="N431" s="141"/>
      <c r="O431" s="141"/>
    </row>
    <row r="432" spans="1:15" ht="14.25">
      <c r="A432" s="10"/>
      <c r="B432" s="10"/>
      <c r="C432" s="9"/>
      <c r="D432" s="31"/>
      <c r="E432" s="31"/>
      <c r="F432" s="31"/>
      <c r="G432" s="31"/>
      <c r="H432" s="31"/>
      <c r="I432" s="23" t="s">
        <v>491</v>
      </c>
      <c r="J432" s="32">
        <f>SUM(J430:J431)</f>
        <v>28.060000000000002</v>
      </c>
      <c r="K432" s="157"/>
      <c r="L432" s="157"/>
      <c r="M432" s="141"/>
      <c r="N432" s="141"/>
      <c r="O432" s="141"/>
    </row>
    <row r="433" spans="1:15" ht="14.25">
      <c r="A433" s="10"/>
      <c r="B433" s="10"/>
      <c r="C433" s="28"/>
      <c r="D433" s="76"/>
      <c r="E433" s="8"/>
      <c r="F433" s="8"/>
      <c r="G433" s="8"/>
      <c r="H433" s="8"/>
      <c r="I433" s="23" t="s">
        <v>492</v>
      </c>
      <c r="J433" s="32">
        <f>J432</f>
        <v>28.060000000000002</v>
      </c>
      <c r="K433" s="157"/>
      <c r="L433" s="157"/>
      <c r="M433" s="141"/>
      <c r="N433" s="141"/>
      <c r="O433" s="141"/>
    </row>
    <row r="434" spans="1:15" ht="51">
      <c r="A434" s="10" t="s">
        <v>621</v>
      </c>
      <c r="B434" s="10" t="s">
        <v>122</v>
      </c>
      <c r="C434" s="28" t="s">
        <v>622</v>
      </c>
      <c r="D434" s="76"/>
      <c r="E434" s="8"/>
      <c r="F434" s="8"/>
      <c r="G434" s="8"/>
      <c r="H434" s="8"/>
      <c r="I434" s="23"/>
      <c r="J434" s="32"/>
      <c r="K434" s="157"/>
      <c r="L434" s="157"/>
      <c r="M434" s="141"/>
      <c r="N434" s="141"/>
      <c r="O434" s="141"/>
    </row>
    <row r="435" spans="1:15" ht="14.25">
      <c r="A435" s="10"/>
      <c r="B435" s="10" t="s">
        <v>124</v>
      </c>
      <c r="C435" s="28" t="s">
        <v>120</v>
      </c>
      <c r="D435" s="76" t="s">
        <v>584</v>
      </c>
      <c r="E435" s="8">
        <v>3</v>
      </c>
      <c r="F435" s="8">
        <v>100</v>
      </c>
      <c r="G435" s="8">
        <v>0.23</v>
      </c>
      <c r="H435" s="8">
        <v>3</v>
      </c>
      <c r="I435" s="23"/>
      <c r="J435" s="32">
        <f>H435*G435*F435*E435</f>
        <v>207</v>
      </c>
      <c r="K435" s="157"/>
      <c r="L435" s="157"/>
      <c r="M435" s="141"/>
      <c r="N435" s="141"/>
      <c r="O435" s="141"/>
    </row>
    <row r="436" spans="1:15" ht="14.25">
      <c r="A436" s="10"/>
      <c r="B436" s="10"/>
      <c r="C436" s="28" t="s">
        <v>623</v>
      </c>
      <c r="D436" s="76"/>
      <c r="E436" s="8">
        <v>3</v>
      </c>
      <c r="F436" s="8">
        <v>30</v>
      </c>
      <c r="G436" s="8"/>
      <c r="H436" s="8"/>
      <c r="I436" s="23"/>
      <c r="J436" s="32">
        <f>-F436*E436</f>
        <v>-90</v>
      </c>
      <c r="K436" s="157"/>
      <c r="L436" s="157"/>
      <c r="M436" s="141"/>
      <c r="N436" s="141"/>
      <c r="O436" s="141"/>
    </row>
    <row r="437" spans="1:15" ht="14.25">
      <c r="A437" s="10"/>
      <c r="B437" s="10"/>
      <c r="C437" s="27"/>
      <c r="D437" s="18"/>
      <c r="E437" s="18"/>
      <c r="F437" s="8"/>
      <c r="G437" s="8"/>
      <c r="H437" s="8"/>
      <c r="I437" s="23"/>
      <c r="J437" s="32">
        <f>SUM(J435:J436)</f>
        <v>117</v>
      </c>
      <c r="K437" s="157"/>
      <c r="L437" s="157"/>
      <c r="M437" s="141"/>
      <c r="N437" s="141"/>
      <c r="O437" s="141"/>
    </row>
    <row r="438" spans="1:15" ht="38.25">
      <c r="A438" s="10" t="s">
        <v>624</v>
      </c>
      <c r="B438" s="76">
        <v>6.13</v>
      </c>
      <c r="C438" s="28" t="s">
        <v>126</v>
      </c>
      <c r="D438" s="76"/>
      <c r="E438" s="8"/>
      <c r="F438" s="8"/>
      <c r="G438" s="8"/>
      <c r="H438" s="8"/>
      <c r="I438" s="23"/>
      <c r="J438" s="32"/>
      <c r="K438" s="157"/>
      <c r="L438" s="157"/>
      <c r="M438" s="141"/>
      <c r="N438" s="141"/>
      <c r="O438" s="141"/>
    </row>
    <row r="439" spans="1:15" ht="14.25">
      <c r="A439" s="10"/>
      <c r="B439" s="76" t="s">
        <v>127</v>
      </c>
      <c r="C439" s="28" t="s">
        <v>128</v>
      </c>
      <c r="D439" s="76"/>
      <c r="E439" s="8"/>
      <c r="F439" s="8"/>
      <c r="G439" s="8"/>
      <c r="H439" s="8"/>
      <c r="I439" s="23"/>
      <c r="J439" s="32"/>
      <c r="K439" s="157"/>
      <c r="L439" s="157"/>
      <c r="M439" s="141"/>
      <c r="N439" s="141"/>
      <c r="O439" s="141"/>
    </row>
    <row r="440" spans="1:15" ht="14.25">
      <c r="A440" s="10"/>
      <c r="B440" s="76"/>
      <c r="C440" s="26" t="s">
        <v>625</v>
      </c>
      <c r="D440" s="121">
        <v>2</v>
      </c>
      <c r="E440" s="119" t="s">
        <v>626</v>
      </c>
      <c r="F440" s="119">
        <v>9</v>
      </c>
      <c r="G440" s="119" t="s">
        <v>626</v>
      </c>
      <c r="H440" s="119">
        <v>2.5499999999999998</v>
      </c>
      <c r="I440" s="119" t="s">
        <v>627</v>
      </c>
      <c r="J440" s="122">
        <f t="shared" ref="J440:J452" si="19">H440*F440*D440</f>
        <v>45.9</v>
      </c>
      <c r="M440" s="141"/>
      <c r="N440" s="141"/>
      <c r="O440" s="141"/>
    </row>
    <row r="441" spans="1:15" ht="14.25">
      <c r="A441" s="10"/>
      <c r="B441" s="76"/>
      <c r="C441" s="26"/>
      <c r="D441" s="121">
        <v>2</v>
      </c>
      <c r="E441" s="119" t="s">
        <v>626</v>
      </c>
      <c r="F441" s="119">
        <v>4.5</v>
      </c>
      <c r="G441" s="119" t="s">
        <v>626</v>
      </c>
      <c r="H441" s="119">
        <v>2.5499999999999998</v>
      </c>
      <c r="I441" s="119" t="s">
        <v>627</v>
      </c>
      <c r="J441" s="122">
        <f t="shared" si="19"/>
        <v>22.95</v>
      </c>
      <c r="M441" s="141"/>
      <c r="N441" s="141"/>
      <c r="O441" s="141"/>
    </row>
    <row r="442" spans="1:15" ht="14.25">
      <c r="A442" s="10"/>
      <c r="B442" s="76"/>
      <c r="C442" s="26"/>
      <c r="D442" s="121">
        <v>2</v>
      </c>
      <c r="E442" s="119" t="s">
        <v>626</v>
      </c>
      <c r="F442" s="119">
        <v>8.6300000000000008</v>
      </c>
      <c r="G442" s="119" t="s">
        <v>626</v>
      </c>
      <c r="H442" s="119">
        <v>2.5499999999999998</v>
      </c>
      <c r="I442" s="119" t="s">
        <v>627</v>
      </c>
      <c r="J442" s="122">
        <f t="shared" si="19"/>
        <v>44.012999999999998</v>
      </c>
      <c r="M442" s="141"/>
      <c r="N442" s="141"/>
      <c r="O442" s="141"/>
    </row>
    <row r="443" spans="1:15" ht="14.25">
      <c r="A443" s="10"/>
      <c r="B443" s="76"/>
      <c r="C443" s="26"/>
      <c r="D443" s="121">
        <v>2</v>
      </c>
      <c r="E443" s="119" t="s">
        <v>626</v>
      </c>
      <c r="F443" s="119">
        <v>3.5</v>
      </c>
      <c r="G443" s="119" t="s">
        <v>626</v>
      </c>
      <c r="H443" s="119">
        <v>2.5499999999999998</v>
      </c>
      <c r="I443" s="119" t="s">
        <v>627</v>
      </c>
      <c r="J443" s="122">
        <f t="shared" si="19"/>
        <v>17.849999999999998</v>
      </c>
      <c r="M443" s="141"/>
      <c r="N443" s="141"/>
      <c r="O443" s="141"/>
    </row>
    <row r="444" spans="1:15" ht="14.25">
      <c r="A444" s="10"/>
      <c r="B444" s="76"/>
      <c r="C444" s="26"/>
      <c r="D444" s="121">
        <v>-12</v>
      </c>
      <c r="E444" s="119" t="s">
        <v>626</v>
      </c>
      <c r="F444" s="119">
        <v>0.9</v>
      </c>
      <c r="G444" s="119" t="s">
        <v>626</v>
      </c>
      <c r="H444" s="119">
        <v>2.1</v>
      </c>
      <c r="I444" s="119" t="s">
        <v>627</v>
      </c>
      <c r="J444" s="122">
        <f t="shared" si="19"/>
        <v>-22.68</v>
      </c>
      <c r="M444" s="141"/>
      <c r="N444" s="141"/>
      <c r="O444" s="141"/>
    </row>
    <row r="445" spans="1:15" ht="14.25">
      <c r="A445" s="10"/>
      <c r="B445" s="76"/>
      <c r="C445" s="26" t="s">
        <v>628</v>
      </c>
      <c r="D445" s="121">
        <v>2</v>
      </c>
      <c r="E445" s="119" t="s">
        <v>626</v>
      </c>
      <c r="F445" s="119">
        <v>9</v>
      </c>
      <c r="G445" s="119" t="s">
        <v>626</v>
      </c>
      <c r="H445" s="119">
        <v>2.5499999999999998</v>
      </c>
      <c r="I445" s="119" t="s">
        <v>627</v>
      </c>
      <c r="J445" s="122">
        <f t="shared" si="19"/>
        <v>45.9</v>
      </c>
      <c r="K445" s="157"/>
      <c r="L445" s="157"/>
      <c r="M445" s="141"/>
      <c r="N445" s="141"/>
      <c r="O445" s="141"/>
    </row>
    <row r="446" spans="1:15" ht="14.25">
      <c r="A446" s="10"/>
      <c r="B446" s="76"/>
      <c r="C446" s="26"/>
      <c r="D446" s="121">
        <v>2</v>
      </c>
      <c r="E446" s="119" t="s">
        <v>626</v>
      </c>
      <c r="F446" s="119">
        <v>3.7</v>
      </c>
      <c r="G446" s="119" t="s">
        <v>626</v>
      </c>
      <c r="H446" s="119">
        <v>2.5499999999999998</v>
      </c>
      <c r="I446" s="119" t="s">
        <v>627</v>
      </c>
      <c r="J446" s="122">
        <f t="shared" si="19"/>
        <v>18.87</v>
      </c>
      <c r="K446" s="157"/>
      <c r="L446" s="157"/>
      <c r="M446" s="141"/>
      <c r="N446" s="141"/>
      <c r="O446" s="141"/>
    </row>
    <row r="447" spans="1:15" ht="14.25">
      <c r="A447" s="10"/>
      <c r="B447" s="76"/>
      <c r="C447" s="26"/>
      <c r="D447" s="121">
        <v>2</v>
      </c>
      <c r="E447" s="119" t="s">
        <v>626</v>
      </c>
      <c r="F447" s="119">
        <v>8.6300000000000008</v>
      </c>
      <c r="G447" s="119" t="s">
        <v>626</v>
      </c>
      <c r="H447" s="119">
        <v>2.5499999999999998</v>
      </c>
      <c r="I447" s="119" t="s">
        <v>627</v>
      </c>
      <c r="J447" s="122">
        <f t="shared" si="19"/>
        <v>44.012999999999998</v>
      </c>
      <c r="K447" s="157"/>
      <c r="L447" s="157"/>
      <c r="M447" s="141"/>
      <c r="N447" s="141"/>
      <c r="O447" s="141"/>
    </row>
    <row r="448" spans="1:15" ht="14.25">
      <c r="A448" s="10"/>
      <c r="B448" s="76"/>
      <c r="C448" s="26"/>
      <c r="D448" s="121">
        <v>2</v>
      </c>
      <c r="E448" s="119" t="s">
        <v>626</v>
      </c>
      <c r="F448" s="119">
        <v>3.43</v>
      </c>
      <c r="G448" s="119" t="s">
        <v>626</v>
      </c>
      <c r="H448" s="119">
        <v>2.5499999999999998</v>
      </c>
      <c r="I448" s="119" t="s">
        <v>627</v>
      </c>
      <c r="J448" s="122">
        <f t="shared" si="19"/>
        <v>17.492999999999999</v>
      </c>
      <c r="K448" s="157"/>
      <c r="L448" s="157"/>
      <c r="M448" s="141"/>
      <c r="N448" s="141"/>
      <c r="O448" s="141"/>
    </row>
    <row r="449" spans="1:15" ht="14.25">
      <c r="A449" s="10"/>
      <c r="B449" s="76"/>
      <c r="C449" s="26"/>
      <c r="D449" s="121">
        <v>-12</v>
      </c>
      <c r="E449" s="119" t="s">
        <v>626</v>
      </c>
      <c r="F449" s="119">
        <v>0.9</v>
      </c>
      <c r="G449" s="119" t="s">
        <v>626</v>
      </c>
      <c r="H449" s="119">
        <v>2.1</v>
      </c>
      <c r="I449" s="119" t="s">
        <v>627</v>
      </c>
      <c r="J449" s="122">
        <f t="shared" si="19"/>
        <v>-22.68</v>
      </c>
      <c r="K449" s="157"/>
      <c r="L449" s="157"/>
      <c r="M449" s="141"/>
      <c r="N449" s="141"/>
      <c r="O449" s="141"/>
    </row>
    <row r="450" spans="1:15" ht="14.25">
      <c r="A450" s="10"/>
      <c r="B450" s="76"/>
      <c r="C450" s="26"/>
      <c r="D450" s="121">
        <v>2</v>
      </c>
      <c r="E450" s="119" t="s">
        <v>626</v>
      </c>
      <c r="F450" s="119">
        <v>4.5</v>
      </c>
      <c r="G450" s="119" t="s">
        <v>626</v>
      </c>
      <c r="H450" s="119">
        <v>2.5499999999999998</v>
      </c>
      <c r="I450" s="119" t="s">
        <v>627</v>
      </c>
      <c r="J450" s="122">
        <f t="shared" si="19"/>
        <v>22.95</v>
      </c>
      <c r="K450" s="157"/>
      <c r="L450" s="157"/>
      <c r="M450" s="141"/>
      <c r="N450" s="141"/>
      <c r="O450" s="141"/>
    </row>
    <row r="451" spans="1:15" ht="14.25">
      <c r="A451" s="10"/>
      <c r="B451" s="76"/>
      <c r="C451" s="26" t="s">
        <v>629</v>
      </c>
      <c r="D451" s="31">
        <v>2</v>
      </c>
      <c r="E451" s="31" t="s">
        <v>626</v>
      </c>
      <c r="F451" s="8">
        <v>7.32</v>
      </c>
      <c r="G451" s="109" t="s">
        <v>626</v>
      </c>
      <c r="H451" s="8">
        <v>2.4</v>
      </c>
      <c r="I451" s="109" t="s">
        <v>627</v>
      </c>
      <c r="J451" s="62">
        <f t="shared" si="19"/>
        <v>35.136000000000003</v>
      </c>
      <c r="K451" s="157"/>
      <c r="L451" s="157"/>
      <c r="M451" s="141"/>
      <c r="N451" s="141"/>
      <c r="O451" s="141"/>
    </row>
    <row r="452" spans="1:15" ht="14.25">
      <c r="A452" s="10"/>
      <c r="B452" s="76"/>
      <c r="C452" s="26"/>
      <c r="D452" s="31">
        <v>2</v>
      </c>
      <c r="E452" s="31" t="s">
        <v>626</v>
      </c>
      <c r="F452" s="8">
        <v>3.15</v>
      </c>
      <c r="G452" s="8" t="s">
        <v>626</v>
      </c>
      <c r="H452" s="8">
        <v>1.5</v>
      </c>
      <c r="I452" s="8" t="s">
        <v>627</v>
      </c>
      <c r="J452" s="62">
        <f t="shared" si="19"/>
        <v>9.4499999999999993</v>
      </c>
      <c r="K452" s="157"/>
      <c r="L452" s="157"/>
      <c r="M452" s="141"/>
      <c r="N452" s="141"/>
      <c r="O452" s="141"/>
    </row>
    <row r="453" spans="1:15" ht="14.25">
      <c r="A453" s="10"/>
      <c r="B453" s="76"/>
      <c r="C453" s="26"/>
      <c r="D453" s="8"/>
      <c r="E453" s="8"/>
      <c r="F453" s="110"/>
      <c r="G453" s="31"/>
      <c r="H453" s="31"/>
      <c r="I453" s="23" t="s">
        <v>491</v>
      </c>
      <c r="J453" s="32">
        <f>SUM(J440:J452)</f>
        <v>279.16499999999996</v>
      </c>
      <c r="K453" s="157"/>
      <c r="L453" s="157"/>
      <c r="M453" s="141"/>
      <c r="N453" s="141"/>
      <c r="O453" s="141"/>
    </row>
    <row r="454" spans="1:15" ht="14.25">
      <c r="A454" s="10"/>
      <c r="B454" s="76"/>
      <c r="C454" s="28"/>
      <c r="D454" s="76"/>
      <c r="E454" s="8"/>
      <c r="F454" s="8"/>
      <c r="G454" s="8"/>
      <c r="H454" s="8"/>
      <c r="I454" s="23" t="s">
        <v>492</v>
      </c>
      <c r="J454" s="32">
        <f>J453</f>
        <v>279.16499999999996</v>
      </c>
      <c r="K454" s="157"/>
      <c r="L454" s="157"/>
      <c r="M454" s="141"/>
      <c r="N454" s="141"/>
      <c r="O454" s="141"/>
    </row>
    <row r="455" spans="1:15" ht="14.25">
      <c r="A455" s="10"/>
      <c r="B455" s="10"/>
      <c r="C455" s="27"/>
      <c r="D455" s="18"/>
      <c r="E455" s="18"/>
      <c r="F455" s="8"/>
      <c r="G455" s="8"/>
      <c r="H455" s="8"/>
      <c r="I455" s="23"/>
      <c r="J455" s="32"/>
      <c r="K455" s="157"/>
      <c r="L455" s="157"/>
      <c r="M455" s="141"/>
      <c r="N455" s="141"/>
      <c r="O455" s="141"/>
    </row>
    <row r="456" spans="1:15" ht="38.25">
      <c r="A456" s="10" t="s">
        <v>131</v>
      </c>
      <c r="B456" s="10" t="s">
        <v>130</v>
      </c>
      <c r="C456" s="27" t="s">
        <v>630</v>
      </c>
      <c r="D456" s="8" t="s">
        <v>525</v>
      </c>
      <c r="E456" s="8"/>
      <c r="F456" s="81" t="s">
        <v>631</v>
      </c>
      <c r="G456" s="8"/>
      <c r="H456" s="8"/>
      <c r="I456" s="8"/>
      <c r="J456" s="23">
        <f>J454</f>
        <v>279.16499999999996</v>
      </c>
      <c r="K456" s="157"/>
      <c r="L456" s="157"/>
      <c r="M456" s="141"/>
      <c r="N456" s="141"/>
      <c r="O456" s="141"/>
    </row>
    <row r="457" spans="1:15" ht="14.25">
      <c r="A457" s="10"/>
      <c r="B457" s="10"/>
      <c r="C457" s="163"/>
      <c r="D457" s="18"/>
      <c r="E457" s="18"/>
      <c r="F457" s="8"/>
      <c r="G457" s="8"/>
      <c r="H457" s="8"/>
      <c r="I457" s="23"/>
      <c r="J457" s="32"/>
      <c r="K457" s="157"/>
      <c r="L457" s="157"/>
      <c r="M457" s="141"/>
      <c r="N457" s="141"/>
      <c r="O457" s="141"/>
    </row>
    <row r="458" spans="1:15" ht="51">
      <c r="A458" s="10" t="s">
        <v>632</v>
      </c>
      <c r="B458" s="10" t="s">
        <v>633</v>
      </c>
      <c r="C458" s="163" t="s">
        <v>634</v>
      </c>
      <c r="D458" s="18"/>
      <c r="E458" s="18"/>
      <c r="F458" s="8"/>
      <c r="G458" s="8"/>
      <c r="H458" s="8"/>
      <c r="I458" s="23"/>
      <c r="J458" s="32"/>
      <c r="K458" s="157"/>
      <c r="L458" s="157"/>
      <c r="M458" s="141"/>
      <c r="N458" s="141"/>
      <c r="O458" s="141"/>
    </row>
    <row r="459" spans="1:15" ht="14.25">
      <c r="A459" s="10"/>
      <c r="B459" s="10"/>
      <c r="C459" s="163" t="e">
        <v>#REF!</v>
      </c>
      <c r="D459" s="18" t="s">
        <v>635</v>
      </c>
      <c r="E459" s="18">
        <v>32</v>
      </c>
      <c r="F459" s="8">
        <v>2.5</v>
      </c>
      <c r="G459" s="8">
        <v>2.5</v>
      </c>
      <c r="H459" s="8">
        <v>0.3</v>
      </c>
      <c r="I459" s="23"/>
      <c r="J459" s="32">
        <f>E459*F459-G459-H459</f>
        <v>77.2</v>
      </c>
      <c r="K459" s="157"/>
      <c r="L459" s="157"/>
      <c r="M459" s="141"/>
      <c r="N459" s="141"/>
      <c r="O459" s="141"/>
    </row>
    <row r="460" spans="1:15" ht="14.25">
      <c r="A460" s="10"/>
      <c r="B460" s="10"/>
      <c r="C460" s="163"/>
      <c r="D460" s="18"/>
      <c r="E460" s="18"/>
      <c r="F460" s="8"/>
      <c r="G460" s="8"/>
      <c r="H460" s="8"/>
      <c r="I460" s="23"/>
      <c r="J460" s="32"/>
      <c r="K460" s="157"/>
      <c r="L460" s="157"/>
      <c r="M460" s="141"/>
      <c r="N460" s="141"/>
      <c r="O460" s="141"/>
    </row>
    <row r="461" spans="1:15" ht="76.5">
      <c r="A461" s="10" t="s">
        <v>636</v>
      </c>
      <c r="B461" s="10" t="s">
        <v>637</v>
      </c>
      <c r="C461" s="163" t="s">
        <v>638</v>
      </c>
      <c r="D461" s="18"/>
      <c r="E461" s="18"/>
      <c r="F461" s="8"/>
      <c r="G461" s="8"/>
      <c r="H461" s="8"/>
      <c r="I461" s="23"/>
      <c r="J461" s="32"/>
      <c r="K461" s="157"/>
      <c r="L461" s="157"/>
      <c r="M461" s="141"/>
      <c r="N461" s="141"/>
      <c r="O461" s="141"/>
    </row>
    <row r="462" spans="1:15" ht="14.25">
      <c r="A462" s="10"/>
      <c r="B462" s="10"/>
      <c r="C462" s="163"/>
      <c r="D462" s="18"/>
      <c r="E462" s="18"/>
      <c r="F462" s="8"/>
      <c r="G462" s="8"/>
      <c r="H462" s="8"/>
      <c r="I462" s="23"/>
      <c r="J462" s="32"/>
      <c r="K462" s="157"/>
      <c r="L462" s="157"/>
      <c r="M462" s="141"/>
      <c r="N462" s="141"/>
      <c r="O462" s="141"/>
    </row>
    <row r="463" spans="1:15" ht="14.25">
      <c r="A463" s="10"/>
      <c r="B463" s="10"/>
      <c r="C463" s="163"/>
      <c r="D463" s="18" t="s">
        <v>635</v>
      </c>
      <c r="E463" s="18">
        <v>32</v>
      </c>
      <c r="F463" s="8">
        <v>2.5</v>
      </c>
      <c r="G463" s="8">
        <v>2.5</v>
      </c>
      <c r="H463" s="8">
        <v>0.3</v>
      </c>
      <c r="I463" s="23">
        <v>0.2</v>
      </c>
      <c r="J463" s="32">
        <f>I463*H463*G463*F463*E463</f>
        <v>12</v>
      </c>
      <c r="K463" s="157"/>
      <c r="L463" s="157"/>
      <c r="M463" s="141"/>
      <c r="N463" s="141"/>
      <c r="O463" s="141"/>
    </row>
    <row r="464" spans="1:15" ht="14.25">
      <c r="A464" s="10"/>
      <c r="B464" s="10"/>
      <c r="C464" s="163"/>
      <c r="D464" s="18"/>
      <c r="E464" s="18"/>
      <c r="F464" s="8"/>
      <c r="G464" s="8"/>
      <c r="H464" s="8"/>
      <c r="I464" s="23"/>
      <c r="J464" s="32"/>
      <c r="K464" s="157"/>
      <c r="L464" s="157"/>
      <c r="M464" s="141"/>
      <c r="N464" s="141"/>
      <c r="O464" s="141"/>
    </row>
    <row r="465" spans="1:15" ht="14.25">
      <c r="A465" s="10"/>
      <c r="B465" s="10"/>
      <c r="C465" s="9"/>
      <c r="D465" s="8"/>
      <c r="E465" s="8"/>
      <c r="F465" s="8"/>
      <c r="G465" s="8"/>
      <c r="H465" s="8"/>
      <c r="I465" s="8"/>
      <c r="J465" s="14"/>
      <c r="K465" s="157"/>
      <c r="L465" s="157"/>
      <c r="M465" s="141"/>
      <c r="N465" s="141"/>
      <c r="O465" s="141"/>
    </row>
    <row r="466" spans="1:15" ht="127.5">
      <c r="A466" s="10" t="s">
        <v>146</v>
      </c>
      <c r="B466" s="10" t="s">
        <v>132</v>
      </c>
      <c r="C466" s="27" t="s">
        <v>639</v>
      </c>
      <c r="D466" s="8"/>
      <c r="E466" s="8"/>
      <c r="F466" s="8"/>
      <c r="G466" s="8"/>
      <c r="H466" s="8"/>
      <c r="I466" s="8"/>
      <c r="J466" s="14"/>
      <c r="K466" s="157"/>
      <c r="L466" s="157"/>
      <c r="M466" s="141"/>
      <c r="N466" s="141"/>
      <c r="O466" s="141"/>
    </row>
    <row r="467" spans="1:15" ht="25.5">
      <c r="A467" s="106" t="s">
        <v>640</v>
      </c>
      <c r="B467" s="10" t="s">
        <v>133</v>
      </c>
      <c r="C467" s="27" t="s">
        <v>134</v>
      </c>
      <c r="D467" s="8"/>
      <c r="E467" s="8"/>
      <c r="F467" s="8"/>
      <c r="G467" s="8"/>
      <c r="H467" s="8"/>
      <c r="I467" s="8"/>
      <c r="J467" s="14"/>
      <c r="K467" s="157"/>
      <c r="L467" s="157"/>
      <c r="M467" s="141"/>
      <c r="N467" s="141"/>
      <c r="O467" s="141"/>
    </row>
    <row r="468" spans="1:15" ht="14.25">
      <c r="A468" s="106" t="s">
        <v>135</v>
      </c>
      <c r="B468" s="10" t="s">
        <v>136</v>
      </c>
      <c r="C468" s="27" t="s">
        <v>137</v>
      </c>
      <c r="D468" s="8" t="s">
        <v>525</v>
      </c>
      <c r="E468" s="8">
        <v>1</v>
      </c>
      <c r="F468" s="8">
        <v>10</v>
      </c>
      <c r="G468" s="8">
        <v>0.5</v>
      </c>
      <c r="H468" s="8"/>
      <c r="I468" s="8"/>
      <c r="J468" s="14">
        <f>G468*F468*E468</f>
        <v>5</v>
      </c>
      <c r="K468" s="157"/>
      <c r="L468" s="157"/>
      <c r="M468" s="141"/>
      <c r="N468" s="141"/>
      <c r="O468" s="141"/>
    </row>
    <row r="469" spans="1:15" ht="14.25">
      <c r="A469" s="106" t="s">
        <v>471</v>
      </c>
      <c r="B469" s="10"/>
      <c r="C469" s="9"/>
      <c r="D469" s="8"/>
      <c r="E469" s="8"/>
      <c r="F469" s="8"/>
      <c r="G469" s="8"/>
      <c r="H469" s="8"/>
      <c r="I469" s="24" t="s">
        <v>492</v>
      </c>
      <c r="J469" s="23">
        <f>J468</f>
        <v>5</v>
      </c>
      <c r="K469" s="157"/>
      <c r="L469" s="157"/>
      <c r="M469" s="141"/>
      <c r="N469" s="141"/>
      <c r="O469" s="141"/>
    </row>
    <row r="470" spans="1:15" ht="14.25">
      <c r="A470" s="106"/>
      <c r="B470" s="10"/>
      <c r="C470" s="9"/>
      <c r="D470" s="8"/>
      <c r="E470" s="8"/>
      <c r="F470" s="8"/>
      <c r="G470" s="8"/>
      <c r="H470" s="8"/>
      <c r="I470" s="24"/>
      <c r="J470" s="23"/>
      <c r="K470" s="157"/>
      <c r="L470" s="157"/>
      <c r="M470" s="141"/>
      <c r="N470" s="141"/>
      <c r="O470" s="141"/>
    </row>
    <row r="471" spans="1:15" ht="14.25">
      <c r="A471" s="106" t="s">
        <v>138</v>
      </c>
      <c r="B471" s="10" t="s">
        <v>139</v>
      </c>
      <c r="C471" s="9" t="s">
        <v>140</v>
      </c>
      <c r="D471" s="8" t="s">
        <v>525</v>
      </c>
      <c r="E471" s="8"/>
      <c r="F471" s="8"/>
      <c r="G471" s="8"/>
      <c r="H471" s="8"/>
      <c r="I471" s="24"/>
      <c r="J471" s="23"/>
      <c r="K471" s="157"/>
      <c r="L471" s="157"/>
      <c r="M471" s="141"/>
      <c r="N471" s="141"/>
      <c r="O471" s="141"/>
    </row>
    <row r="472" spans="1:15" ht="14.25">
      <c r="A472" s="106"/>
      <c r="B472" s="10"/>
      <c r="C472" s="9" t="s">
        <v>641</v>
      </c>
      <c r="D472" s="8" t="s">
        <v>525</v>
      </c>
      <c r="E472" s="8">
        <v>1</v>
      </c>
      <c r="F472" s="8">
        <v>4</v>
      </c>
      <c r="G472" s="8">
        <v>2.5</v>
      </c>
      <c r="H472" s="8">
        <v>0.45</v>
      </c>
      <c r="I472" s="24"/>
      <c r="J472" s="14">
        <f>PRODUCT(E472:I472)</f>
        <v>4.5</v>
      </c>
      <c r="K472" s="157"/>
      <c r="L472" s="157"/>
      <c r="M472" s="141"/>
      <c r="N472" s="141"/>
      <c r="O472" s="141"/>
    </row>
    <row r="473" spans="1:15" ht="14.25">
      <c r="A473" s="106"/>
      <c r="B473" s="10"/>
      <c r="C473" s="9" t="s">
        <v>642</v>
      </c>
      <c r="D473" s="8" t="s">
        <v>525</v>
      </c>
      <c r="E473" s="8">
        <v>1</v>
      </c>
      <c r="F473" s="8">
        <v>4</v>
      </c>
      <c r="G473" s="8">
        <v>1.2</v>
      </c>
      <c r="H473" s="8">
        <v>0.45</v>
      </c>
      <c r="I473" s="24"/>
      <c r="J473" s="14">
        <f>PRODUCT(E473:I473)</f>
        <v>2.16</v>
      </c>
      <c r="K473" s="157"/>
      <c r="L473" s="157"/>
      <c r="M473" s="141"/>
      <c r="N473" s="141"/>
      <c r="O473" s="141"/>
    </row>
    <row r="474" spans="1:15" ht="14.25">
      <c r="A474" s="106"/>
      <c r="B474" s="10"/>
      <c r="C474" s="9"/>
      <c r="D474" s="8"/>
      <c r="E474" s="8"/>
      <c r="F474" s="8"/>
      <c r="G474" s="8"/>
      <c r="H474" s="8"/>
      <c r="I474" s="24" t="s">
        <v>491</v>
      </c>
      <c r="J474" s="23">
        <f>SUM(J472:J473)</f>
        <v>6.66</v>
      </c>
      <c r="K474" s="157"/>
      <c r="L474" s="157"/>
      <c r="M474" s="141"/>
      <c r="N474" s="141"/>
      <c r="O474" s="141"/>
    </row>
    <row r="475" spans="1:15" ht="14.25">
      <c r="A475" s="106"/>
      <c r="B475" s="10"/>
      <c r="C475" s="9"/>
      <c r="D475" s="8"/>
      <c r="E475" s="8"/>
      <c r="F475" s="8"/>
      <c r="G475" s="8"/>
      <c r="H475" s="8"/>
      <c r="I475" s="24"/>
      <c r="J475" s="23"/>
      <c r="K475" s="157"/>
      <c r="L475" s="157"/>
      <c r="M475" s="141"/>
      <c r="N475" s="141"/>
      <c r="O475" s="141"/>
    </row>
    <row r="476" spans="1:15" ht="14.25">
      <c r="A476" s="106" t="s">
        <v>643</v>
      </c>
      <c r="B476" s="10" t="s">
        <v>141</v>
      </c>
      <c r="C476" s="27" t="s">
        <v>142</v>
      </c>
      <c r="D476" s="12"/>
      <c r="E476" s="12"/>
      <c r="F476" s="12"/>
      <c r="G476" s="12"/>
      <c r="H476" s="12"/>
      <c r="I476" s="107"/>
      <c r="J476" s="12"/>
      <c r="K476" s="157"/>
      <c r="L476" s="157"/>
      <c r="M476" s="141"/>
      <c r="N476" s="141"/>
      <c r="O476" s="141"/>
    </row>
    <row r="477" spans="1:15" ht="14.25">
      <c r="A477" s="106" t="s">
        <v>135</v>
      </c>
      <c r="B477" s="10" t="s">
        <v>143</v>
      </c>
      <c r="C477" s="27" t="s">
        <v>137</v>
      </c>
      <c r="D477" s="8" t="s">
        <v>525</v>
      </c>
      <c r="E477" s="8">
        <v>8</v>
      </c>
      <c r="F477" s="8">
        <v>1.5</v>
      </c>
      <c r="G477" s="8">
        <v>0.23</v>
      </c>
      <c r="H477" s="8"/>
      <c r="I477" s="24"/>
      <c r="J477" s="14">
        <f>G477*F477*E477</f>
        <v>2.7600000000000002</v>
      </c>
      <c r="K477" s="157"/>
      <c r="L477" s="157"/>
      <c r="M477" s="141"/>
      <c r="N477" s="141"/>
      <c r="O477" s="141"/>
    </row>
    <row r="478" spans="1:15" ht="14.25">
      <c r="A478" s="106"/>
      <c r="B478" s="10"/>
      <c r="C478" s="27" t="s">
        <v>644</v>
      </c>
      <c r="D478" s="8"/>
      <c r="E478" s="8">
        <v>12</v>
      </c>
      <c r="F478" s="8">
        <v>0.9</v>
      </c>
      <c r="G478" s="8">
        <v>0.23</v>
      </c>
      <c r="H478" s="8"/>
      <c r="I478" s="24"/>
      <c r="J478" s="14">
        <f>G478*F478*E478</f>
        <v>2.484</v>
      </c>
      <c r="K478" s="157"/>
      <c r="L478" s="157"/>
      <c r="M478" s="141"/>
      <c r="N478" s="141"/>
      <c r="O478" s="141"/>
    </row>
    <row r="479" spans="1:15" ht="14.25">
      <c r="A479" s="106"/>
      <c r="B479" s="10"/>
      <c r="C479" s="27"/>
      <c r="D479" s="8"/>
      <c r="E479" s="8">
        <v>12</v>
      </c>
      <c r="F479" s="8">
        <v>0.6</v>
      </c>
      <c r="G479" s="8">
        <v>0.23</v>
      </c>
      <c r="H479" s="8"/>
      <c r="I479" s="24"/>
      <c r="J479" s="14">
        <f>G479*F479*E479</f>
        <v>1.6560000000000001</v>
      </c>
      <c r="K479" s="157"/>
      <c r="L479" s="157"/>
      <c r="M479" s="141"/>
      <c r="N479" s="141"/>
      <c r="O479" s="141"/>
    </row>
    <row r="480" spans="1:15" ht="14.25">
      <c r="A480" s="106"/>
      <c r="B480" s="10"/>
      <c r="C480" s="27"/>
      <c r="D480" s="8"/>
      <c r="E480" s="8">
        <v>8</v>
      </c>
      <c r="F480" s="8">
        <v>1.2</v>
      </c>
      <c r="G480" s="8">
        <v>0.23</v>
      </c>
      <c r="H480" s="8"/>
      <c r="I480" s="24"/>
      <c r="J480" s="14">
        <f>G480*F480*E480</f>
        <v>2.2080000000000002</v>
      </c>
      <c r="K480" s="157"/>
      <c r="L480" s="157"/>
      <c r="M480" s="141"/>
      <c r="N480" s="141"/>
      <c r="O480" s="141"/>
    </row>
    <row r="481" spans="1:15" ht="14.25">
      <c r="A481" s="106"/>
      <c r="B481" s="10"/>
      <c r="C481" s="27"/>
      <c r="D481" s="8"/>
      <c r="E481" s="8">
        <v>4</v>
      </c>
      <c r="F481" s="8">
        <v>3.6</v>
      </c>
      <c r="G481" s="8">
        <v>0.15</v>
      </c>
      <c r="H481" s="8"/>
      <c r="I481" s="24"/>
      <c r="J481" s="14">
        <f>G481*F481*E481</f>
        <v>2.16</v>
      </c>
      <c r="K481" s="157"/>
      <c r="L481" s="157"/>
      <c r="M481" s="141"/>
      <c r="N481" s="141"/>
      <c r="O481" s="141"/>
    </row>
    <row r="482" spans="1:15" ht="14.25">
      <c r="A482" s="106" t="s">
        <v>471</v>
      </c>
      <c r="B482" s="10"/>
      <c r="C482" s="27"/>
      <c r="D482" s="8"/>
      <c r="E482" s="8"/>
      <c r="F482" s="8"/>
      <c r="G482" s="8"/>
      <c r="H482" s="8"/>
      <c r="I482" s="24" t="s">
        <v>492</v>
      </c>
      <c r="J482" s="23">
        <f>SUM(J477:J481)</f>
        <v>11.268000000000001</v>
      </c>
      <c r="K482" s="157"/>
      <c r="L482" s="157"/>
      <c r="M482" s="141"/>
      <c r="N482" s="141"/>
      <c r="O482" s="141"/>
    </row>
    <row r="483" spans="1:15" ht="14.25">
      <c r="A483" s="106"/>
      <c r="B483" s="10"/>
      <c r="C483" s="27"/>
      <c r="D483" s="8"/>
      <c r="E483" s="8"/>
      <c r="F483" s="8"/>
      <c r="G483" s="8"/>
      <c r="H483" s="8"/>
      <c r="I483" s="24"/>
      <c r="J483" s="23"/>
      <c r="K483" s="157"/>
      <c r="L483" s="157"/>
      <c r="M483" s="141"/>
      <c r="N483" s="141"/>
      <c r="O483" s="141"/>
    </row>
    <row r="484" spans="1:15" ht="14.25">
      <c r="A484" s="106" t="s">
        <v>138</v>
      </c>
      <c r="B484" s="10" t="s">
        <v>144</v>
      </c>
      <c r="C484" s="27" t="s">
        <v>645</v>
      </c>
      <c r="D484" s="8" t="s">
        <v>525</v>
      </c>
      <c r="E484" s="8">
        <v>4</v>
      </c>
      <c r="F484" s="8">
        <v>1</v>
      </c>
      <c r="G484" s="8">
        <v>3.6</v>
      </c>
      <c r="H484" s="8">
        <v>0.75</v>
      </c>
      <c r="I484" s="24"/>
      <c r="J484" s="14">
        <f>E484*F484*G484*H484</f>
        <v>10.8</v>
      </c>
      <c r="K484" s="157"/>
      <c r="L484" s="157"/>
      <c r="M484" s="141"/>
      <c r="N484" s="141"/>
      <c r="O484" s="141"/>
    </row>
    <row r="485" spans="1:15" ht="14.25">
      <c r="A485" s="106"/>
      <c r="B485" s="108"/>
      <c r="C485" s="108"/>
      <c r="D485" s="12"/>
      <c r="E485" s="12"/>
      <c r="F485" s="12"/>
      <c r="G485" s="12"/>
      <c r="H485" s="12"/>
      <c r="I485" s="107" t="s">
        <v>492</v>
      </c>
      <c r="J485" s="32">
        <f>J484</f>
        <v>10.8</v>
      </c>
      <c r="K485" s="157"/>
      <c r="L485" s="157"/>
      <c r="M485" s="141"/>
      <c r="N485" s="141"/>
      <c r="O485" s="141"/>
    </row>
    <row r="486" spans="1:15" ht="51">
      <c r="A486" s="106" t="s">
        <v>646</v>
      </c>
      <c r="B486" s="100">
        <v>8.4</v>
      </c>
      <c r="C486" s="105" t="s">
        <v>145</v>
      </c>
      <c r="D486" s="99" t="s">
        <v>111</v>
      </c>
      <c r="E486" s="99">
        <v>4</v>
      </c>
      <c r="F486" s="99">
        <v>1</v>
      </c>
      <c r="G486" s="99">
        <v>3.6</v>
      </c>
      <c r="H486" s="99"/>
      <c r="I486" s="99"/>
      <c r="J486" s="17">
        <f>E486*F486*G486</f>
        <v>14.4</v>
      </c>
      <c r="K486" s="157"/>
      <c r="L486" s="157"/>
      <c r="M486" s="141"/>
      <c r="N486" s="141"/>
      <c r="O486" s="141"/>
    </row>
    <row r="487" spans="1:15" ht="14.25">
      <c r="A487" s="10"/>
      <c r="B487" s="104"/>
      <c r="C487" s="103"/>
      <c r="D487" s="102"/>
      <c r="E487" s="102"/>
      <c r="F487" s="102"/>
      <c r="G487" s="102"/>
      <c r="H487" s="102"/>
      <c r="I487" s="102"/>
      <c r="J487" s="101"/>
      <c r="K487" s="157"/>
      <c r="L487" s="157"/>
      <c r="M487" s="141"/>
      <c r="N487" s="141"/>
      <c r="O487" s="141"/>
    </row>
    <row r="488" spans="1:15" ht="76.5">
      <c r="A488" s="21" t="s">
        <v>151</v>
      </c>
      <c r="B488" s="100">
        <v>8.5</v>
      </c>
      <c r="C488" s="90" t="s">
        <v>147</v>
      </c>
      <c r="D488" s="99" t="s">
        <v>148</v>
      </c>
      <c r="E488" s="99">
        <v>8</v>
      </c>
      <c r="F488" s="99">
        <v>1</v>
      </c>
      <c r="G488" s="99">
        <v>1</v>
      </c>
      <c r="H488" s="99"/>
      <c r="I488" s="99"/>
      <c r="J488" s="17">
        <f>E488*F488*G488</f>
        <v>8</v>
      </c>
      <c r="K488" s="157"/>
      <c r="L488" s="157"/>
      <c r="M488" s="141"/>
      <c r="N488" s="141"/>
      <c r="O488" s="141"/>
    </row>
    <row r="489" spans="1:15" ht="14.25">
      <c r="A489" s="21"/>
      <c r="B489" s="10"/>
      <c r="C489" s="27"/>
      <c r="D489" s="8"/>
      <c r="E489" s="8"/>
      <c r="F489" s="8"/>
      <c r="G489" s="8"/>
      <c r="H489" s="8"/>
      <c r="I489" s="8"/>
      <c r="J489" s="14"/>
      <c r="K489" s="157"/>
      <c r="L489" s="157"/>
      <c r="M489" s="141"/>
      <c r="N489" s="141"/>
      <c r="O489" s="141"/>
    </row>
    <row r="490" spans="1:15" ht="14.25">
      <c r="A490" s="10" t="s">
        <v>647</v>
      </c>
      <c r="B490" s="10"/>
      <c r="C490" s="27"/>
      <c r="D490" s="8"/>
      <c r="E490" s="8"/>
      <c r="F490" s="8"/>
      <c r="G490" s="8"/>
      <c r="H490" s="8"/>
      <c r="I490" s="24"/>
      <c r="J490" s="17"/>
      <c r="K490" s="157"/>
      <c r="L490" s="157"/>
      <c r="M490" s="141"/>
      <c r="N490" s="141"/>
      <c r="O490" s="141"/>
    </row>
    <row r="491" spans="1:15" ht="14.25">
      <c r="A491" s="10"/>
      <c r="B491" s="10"/>
      <c r="C491" s="26"/>
      <c r="D491" s="8"/>
      <c r="E491" s="8"/>
      <c r="F491" s="8"/>
      <c r="G491" s="8"/>
      <c r="H491" s="8"/>
      <c r="I491" s="24"/>
      <c r="J491" s="17"/>
      <c r="K491" s="157"/>
      <c r="L491" s="157"/>
      <c r="M491" s="141"/>
      <c r="N491" s="141"/>
      <c r="O491" s="141"/>
    </row>
    <row r="492" spans="1:15" ht="14.25">
      <c r="A492" s="10" t="s">
        <v>159</v>
      </c>
      <c r="B492" s="10"/>
      <c r="C492" s="163"/>
      <c r="D492" s="8"/>
      <c r="E492" s="8"/>
      <c r="F492" s="8"/>
      <c r="G492" s="8"/>
      <c r="H492" s="8"/>
      <c r="I492" s="24"/>
      <c r="J492" s="17"/>
      <c r="K492" s="157"/>
      <c r="L492" s="157"/>
      <c r="M492" s="141"/>
      <c r="N492" s="141"/>
      <c r="O492" s="141"/>
    </row>
    <row r="493" spans="1:15" ht="14.25">
      <c r="A493" s="10"/>
      <c r="B493" s="10"/>
      <c r="C493" s="204"/>
      <c r="D493" s="8"/>
      <c r="E493" s="8"/>
      <c r="F493" s="8"/>
      <c r="G493" s="8"/>
      <c r="H493" s="8"/>
      <c r="I493" s="24"/>
      <c r="J493" s="17"/>
      <c r="K493" s="157"/>
      <c r="L493" s="157"/>
      <c r="M493" s="141"/>
      <c r="N493" s="141"/>
      <c r="O493" s="141"/>
    </row>
    <row r="494" spans="1:15" ht="63.75">
      <c r="A494" s="10" t="s">
        <v>164</v>
      </c>
      <c r="B494" s="2" t="s">
        <v>188</v>
      </c>
      <c r="C494" s="28" t="s">
        <v>648</v>
      </c>
      <c r="D494" s="14"/>
      <c r="E494" s="14"/>
      <c r="F494" s="14"/>
      <c r="G494" s="14"/>
      <c r="H494" s="14"/>
      <c r="I494" s="24"/>
      <c r="J494" s="17"/>
      <c r="K494" s="157"/>
      <c r="L494" s="157"/>
      <c r="M494" s="141"/>
      <c r="N494" s="141"/>
      <c r="O494" s="141"/>
    </row>
    <row r="495" spans="1:15" ht="30">
      <c r="A495" s="10"/>
      <c r="B495" s="2" t="s">
        <v>188</v>
      </c>
      <c r="C495" s="28" t="s">
        <v>158</v>
      </c>
      <c r="D495" s="14"/>
      <c r="E495" s="14"/>
      <c r="F495" s="14"/>
      <c r="G495" s="14"/>
      <c r="H495" s="14"/>
      <c r="I495" s="24"/>
      <c r="J495" s="17"/>
      <c r="K495" s="157"/>
      <c r="L495" s="157"/>
      <c r="M495" s="141"/>
      <c r="N495" s="141"/>
      <c r="O495" s="141"/>
    </row>
    <row r="496" spans="1:15" ht="14.25">
      <c r="A496" s="10"/>
      <c r="B496" s="76"/>
      <c r="C496" s="82" t="s">
        <v>649</v>
      </c>
      <c r="D496" s="92" t="s">
        <v>518</v>
      </c>
      <c r="E496" s="92">
        <v>4</v>
      </c>
      <c r="F496" s="92">
        <v>1</v>
      </c>
      <c r="G496" s="92">
        <v>1.05</v>
      </c>
      <c r="H496" s="92"/>
      <c r="I496" s="92">
        <v>2.1</v>
      </c>
      <c r="J496" s="22">
        <f>E496*F496*G496*I496</f>
        <v>8.82</v>
      </c>
      <c r="K496" s="157"/>
      <c r="L496" s="157"/>
      <c r="M496" s="141"/>
      <c r="N496" s="141"/>
      <c r="O496" s="141"/>
    </row>
    <row r="497" spans="1:18" ht="14.25">
      <c r="A497" s="10"/>
      <c r="B497" s="76"/>
      <c r="C497" s="82"/>
      <c r="D497" s="92"/>
      <c r="E497" s="92"/>
      <c r="F497" s="92"/>
      <c r="G497" s="92"/>
      <c r="H497" s="92"/>
      <c r="I497" s="17" t="s">
        <v>491</v>
      </c>
      <c r="J497" s="87">
        <f>SUM(J496:J496)</f>
        <v>8.82</v>
      </c>
      <c r="K497" s="157"/>
      <c r="L497" s="157"/>
      <c r="M497" s="141"/>
      <c r="N497" s="141"/>
      <c r="O497" s="141"/>
    </row>
    <row r="498" spans="1:18" ht="14.25">
      <c r="A498" s="10"/>
      <c r="B498" s="76"/>
      <c r="C498" s="82"/>
      <c r="D498" s="92"/>
      <c r="E498" s="92"/>
      <c r="F498" s="92"/>
      <c r="G498" s="92"/>
      <c r="H498" s="92"/>
      <c r="I498" s="17" t="s">
        <v>492</v>
      </c>
      <c r="J498" s="87">
        <f>J497</f>
        <v>8.82</v>
      </c>
      <c r="K498" s="157"/>
      <c r="L498" s="157"/>
      <c r="M498" s="141"/>
      <c r="N498" s="141"/>
      <c r="O498" s="141"/>
    </row>
    <row r="499" spans="1:18" ht="14.25">
      <c r="A499" s="10"/>
      <c r="B499" s="10"/>
      <c r="C499" s="9"/>
      <c r="D499" s="8"/>
      <c r="E499" s="8"/>
      <c r="F499" s="8"/>
      <c r="G499" s="8"/>
      <c r="H499" s="8"/>
      <c r="I499" s="8"/>
      <c r="J499" s="14"/>
      <c r="K499" s="157"/>
      <c r="L499" s="157"/>
      <c r="M499" s="141"/>
      <c r="N499" s="141"/>
      <c r="O499" s="141"/>
    </row>
    <row r="500" spans="1:18" ht="51">
      <c r="A500" s="10" t="s">
        <v>170</v>
      </c>
      <c r="B500" s="10" t="s">
        <v>160</v>
      </c>
      <c r="C500" s="28" t="s">
        <v>161</v>
      </c>
      <c r="D500" s="8"/>
      <c r="E500" s="8"/>
      <c r="F500" s="8"/>
      <c r="G500" s="8"/>
      <c r="H500" s="8"/>
      <c r="I500" s="8"/>
      <c r="J500" s="14"/>
      <c r="K500" s="164"/>
      <c r="L500" s="157"/>
      <c r="M500" s="141"/>
      <c r="N500" s="141"/>
      <c r="O500" s="141"/>
    </row>
    <row r="501" spans="1:18" ht="14.25">
      <c r="A501" s="10"/>
      <c r="B501" s="10" t="s">
        <v>162</v>
      </c>
      <c r="C501" s="75" t="s">
        <v>163</v>
      </c>
      <c r="D501" s="8" t="s">
        <v>650</v>
      </c>
      <c r="E501" s="8"/>
      <c r="F501" s="8"/>
      <c r="G501" s="8"/>
      <c r="H501" s="8"/>
      <c r="I501" s="8"/>
      <c r="J501" s="22"/>
      <c r="K501" s="164"/>
      <c r="L501" s="157"/>
      <c r="M501" s="141"/>
      <c r="N501" s="141"/>
      <c r="O501" s="141"/>
    </row>
    <row r="502" spans="1:18" ht="14.25">
      <c r="A502" s="10" t="s">
        <v>471</v>
      </c>
      <c r="B502" s="10"/>
      <c r="C502" s="26"/>
      <c r="D502" s="8"/>
      <c r="E502" s="8"/>
      <c r="F502" s="8"/>
      <c r="G502" s="8"/>
      <c r="H502" s="8"/>
      <c r="I502" s="8"/>
      <c r="J502" s="22"/>
      <c r="K502" s="164"/>
      <c r="L502" s="157"/>
      <c r="M502" s="141"/>
      <c r="N502" s="141"/>
      <c r="O502" s="141"/>
    </row>
    <row r="503" spans="1:18" ht="14.25">
      <c r="A503" s="10"/>
      <c r="B503" s="10"/>
      <c r="C503" s="26" t="s">
        <v>651</v>
      </c>
      <c r="D503" s="8"/>
      <c r="E503" s="8">
        <v>4</v>
      </c>
      <c r="F503" s="8">
        <v>8</v>
      </c>
      <c r="G503" s="8">
        <v>1.5</v>
      </c>
      <c r="H503" s="8"/>
      <c r="I503" s="8"/>
      <c r="J503" s="22">
        <f>E503*F503*G503</f>
        <v>48</v>
      </c>
      <c r="K503" s="164"/>
      <c r="L503" s="157"/>
      <c r="M503" s="141"/>
      <c r="N503" s="141"/>
      <c r="O503" s="141"/>
    </row>
    <row r="504" spans="1:18" ht="14.25">
      <c r="A504" s="10"/>
      <c r="B504" s="10"/>
      <c r="C504" s="9"/>
      <c r="D504" s="8"/>
      <c r="E504" s="8"/>
      <c r="F504" s="8"/>
      <c r="G504" s="8"/>
      <c r="H504" s="8"/>
      <c r="I504" s="24" t="s">
        <v>491</v>
      </c>
      <c r="J504" s="17">
        <f>SUM(J502:J503)</f>
        <v>48</v>
      </c>
      <c r="K504" s="164"/>
      <c r="L504" s="157"/>
      <c r="M504" s="141"/>
      <c r="N504" s="141"/>
      <c r="O504" s="141"/>
    </row>
    <row r="505" spans="1:18" ht="12.75" customHeight="1">
      <c r="A505" s="10"/>
      <c r="B505" s="10"/>
      <c r="C505" s="9"/>
      <c r="D505" s="8"/>
      <c r="E505" s="8"/>
      <c r="F505" s="8"/>
      <c r="G505" s="8"/>
      <c r="H505" s="8"/>
      <c r="I505" s="24" t="s">
        <v>492</v>
      </c>
      <c r="J505" s="17">
        <f>J504</f>
        <v>48</v>
      </c>
      <c r="K505" s="164"/>
      <c r="L505" s="157"/>
      <c r="M505" s="141"/>
      <c r="N505" s="141"/>
      <c r="O505" s="141"/>
    </row>
    <row r="506" spans="1:18" ht="51">
      <c r="A506" s="10" t="s">
        <v>172</v>
      </c>
      <c r="B506" s="10" t="s">
        <v>165</v>
      </c>
      <c r="C506" s="27" t="s">
        <v>166</v>
      </c>
      <c r="D506" s="8"/>
      <c r="E506" s="8"/>
      <c r="F506" s="8"/>
      <c r="G506" s="8"/>
      <c r="H506" s="8"/>
      <c r="I506" s="8"/>
      <c r="J506" s="14"/>
      <c r="K506" s="164"/>
      <c r="L506" s="157"/>
      <c r="M506" s="141"/>
      <c r="N506" s="141"/>
      <c r="O506" s="141"/>
    </row>
    <row r="507" spans="1:18" ht="25.5">
      <c r="A507" s="10"/>
      <c r="B507" s="10" t="s">
        <v>168</v>
      </c>
      <c r="C507" s="27" t="s">
        <v>169</v>
      </c>
      <c r="D507" s="18"/>
      <c r="E507" s="18"/>
      <c r="F507" s="18"/>
      <c r="G507" s="77"/>
      <c r="H507" s="18"/>
      <c r="I507" s="18"/>
      <c r="J507" s="22"/>
      <c r="K507" s="164"/>
      <c r="L507" s="157"/>
      <c r="M507" s="141"/>
      <c r="N507" s="141"/>
      <c r="O507" s="141"/>
    </row>
    <row r="508" spans="1:18" ht="14.25">
      <c r="A508" s="10"/>
      <c r="B508" s="10"/>
      <c r="C508" s="9" t="s">
        <v>652</v>
      </c>
      <c r="D508" s="95" t="s">
        <v>197</v>
      </c>
      <c r="E508" s="95">
        <v>4</v>
      </c>
      <c r="F508" s="18">
        <f>3.68+1.2+1.2</f>
        <v>6.08</v>
      </c>
      <c r="G508" s="18"/>
      <c r="H508" s="581" t="s">
        <v>653</v>
      </c>
      <c r="I508" s="582"/>
      <c r="J508" s="22">
        <f>F508*E508*18</f>
        <v>437.76</v>
      </c>
      <c r="K508" s="157"/>
      <c r="L508" s="157" t="s">
        <v>471</v>
      </c>
      <c r="M508" s="141" t="s">
        <v>654</v>
      </c>
      <c r="N508" s="141"/>
      <c r="O508" s="141" t="s">
        <v>655</v>
      </c>
      <c r="Q508" s="7">
        <v>3</v>
      </c>
      <c r="R508" s="7">
        <f>Q508*2.41</f>
        <v>7.23</v>
      </c>
    </row>
    <row r="509" spans="1:18" ht="14.25" customHeight="1">
      <c r="A509" s="10"/>
      <c r="B509" s="10"/>
      <c r="C509" s="9" t="s">
        <v>656</v>
      </c>
      <c r="D509" s="95" t="s">
        <v>197</v>
      </c>
      <c r="E509" s="95">
        <v>4</v>
      </c>
      <c r="F509" s="18">
        <f>3.4+1.2+1.2+1+1</f>
        <v>7.8</v>
      </c>
      <c r="G509" s="18"/>
      <c r="H509" s="581" t="s">
        <v>653</v>
      </c>
      <c r="I509" s="582"/>
      <c r="J509" s="22">
        <f>F509*E509*18</f>
        <v>561.6</v>
      </c>
      <c r="K509" s="157"/>
      <c r="L509" s="157"/>
      <c r="M509" s="141" t="s">
        <v>657</v>
      </c>
      <c r="N509" s="141"/>
      <c r="O509" s="141"/>
    </row>
    <row r="510" spans="1:18" ht="14.25" customHeight="1">
      <c r="A510" s="10"/>
      <c r="B510" s="10"/>
      <c r="C510" s="9" t="s">
        <v>656</v>
      </c>
      <c r="D510" s="95" t="s">
        <v>197</v>
      </c>
      <c r="E510" s="95">
        <v>4</v>
      </c>
      <c r="F510" s="18">
        <f>4.2+1.2+1.2+1+1</f>
        <v>8.6000000000000014</v>
      </c>
      <c r="G510" s="18"/>
      <c r="H510" s="581" t="s">
        <v>653</v>
      </c>
      <c r="I510" s="582"/>
      <c r="J510" s="22">
        <f>F510*E510*18</f>
        <v>619.20000000000005</v>
      </c>
      <c r="K510" s="157"/>
      <c r="L510" s="157"/>
      <c r="M510" s="141" t="s">
        <v>658</v>
      </c>
      <c r="N510" s="141"/>
      <c r="O510" s="141" t="s">
        <v>659</v>
      </c>
      <c r="Q510" s="133">
        <v>1</v>
      </c>
      <c r="R510" s="7">
        <v>3.36</v>
      </c>
    </row>
    <row r="511" spans="1:18" ht="14.25">
      <c r="A511" s="10" t="s">
        <v>471</v>
      </c>
      <c r="B511" s="10"/>
      <c r="C511" s="135" t="s">
        <v>660</v>
      </c>
      <c r="D511" s="18" t="s">
        <v>167</v>
      </c>
      <c r="E511" s="18"/>
      <c r="F511" s="22">
        <f>J840</f>
        <v>113.77799999999999</v>
      </c>
      <c r="G511" s="77"/>
      <c r="H511" s="581" t="s">
        <v>661</v>
      </c>
      <c r="I511" s="582"/>
      <c r="J511" s="22">
        <f>F511*15</f>
        <v>1706.6699999999998</v>
      </c>
      <c r="K511" s="164"/>
      <c r="L511" s="157"/>
      <c r="M511" s="141"/>
      <c r="N511" s="141"/>
      <c r="O511" s="141"/>
    </row>
    <row r="512" spans="1:18" ht="14.25">
      <c r="A512" s="10"/>
      <c r="B512" s="10"/>
      <c r="C512" s="9"/>
      <c r="D512" s="18"/>
      <c r="E512" s="18"/>
      <c r="F512" s="18"/>
      <c r="G512" s="77"/>
      <c r="H512" s="18"/>
      <c r="I512" s="65" t="s">
        <v>491</v>
      </c>
      <c r="J512" s="17">
        <f>SUM(J508:J511)</f>
        <v>3325.2299999999996</v>
      </c>
      <c r="K512" s="164"/>
      <c r="L512" s="157"/>
      <c r="M512" s="141"/>
      <c r="N512" s="141"/>
      <c r="O512" s="141"/>
    </row>
    <row r="513" spans="1:15" ht="14.25">
      <c r="A513" s="10"/>
      <c r="B513" s="10"/>
      <c r="C513" s="9"/>
      <c r="D513" s="18"/>
      <c r="E513" s="18"/>
      <c r="F513" s="18"/>
      <c r="G513" s="77"/>
      <c r="H513" s="18"/>
      <c r="I513" s="65"/>
      <c r="J513" s="17"/>
      <c r="K513" s="164"/>
      <c r="L513" s="157"/>
      <c r="M513" s="141"/>
      <c r="N513" s="141"/>
      <c r="O513" s="141"/>
    </row>
    <row r="514" spans="1:15" ht="14.25">
      <c r="A514" s="10" t="s">
        <v>471</v>
      </c>
      <c r="B514" s="10"/>
      <c r="C514" s="9"/>
      <c r="D514" s="8"/>
      <c r="E514" s="8"/>
      <c r="F514" s="8"/>
      <c r="G514" s="8"/>
      <c r="H514" s="8"/>
      <c r="I514" s="8"/>
      <c r="J514" s="14"/>
      <c r="K514" s="157"/>
      <c r="L514" s="157"/>
      <c r="M514" s="141"/>
      <c r="N514" s="141"/>
      <c r="O514" s="141"/>
    </row>
    <row r="515" spans="1:15" ht="14.25">
      <c r="A515" s="10"/>
      <c r="B515" s="16"/>
      <c r="C515" s="98"/>
      <c r="D515" s="70"/>
      <c r="E515" s="70"/>
      <c r="F515" s="70"/>
      <c r="G515" s="70"/>
      <c r="H515" s="70"/>
      <c r="I515" s="70"/>
      <c r="J515" s="97"/>
      <c r="K515" s="157"/>
      <c r="L515" s="157"/>
      <c r="M515" s="141"/>
      <c r="N515" s="141"/>
      <c r="O515" s="141"/>
    </row>
    <row r="516" spans="1:15" ht="153">
      <c r="A516" s="10" t="s">
        <v>662</v>
      </c>
      <c r="B516" s="91" t="s">
        <v>181</v>
      </c>
      <c r="C516" s="90" t="s">
        <v>182</v>
      </c>
      <c r="D516" s="96" t="s">
        <v>650</v>
      </c>
      <c r="E516" s="96"/>
      <c r="F516" s="18"/>
      <c r="G516" s="18"/>
      <c r="H516" s="18"/>
      <c r="I516" s="18"/>
      <c r="J516" s="22"/>
      <c r="K516" s="157"/>
      <c r="L516" s="157"/>
      <c r="M516" s="141"/>
      <c r="N516" s="141"/>
      <c r="O516" s="141"/>
    </row>
    <row r="517" spans="1:15" ht="14.25">
      <c r="A517" s="10"/>
      <c r="B517" s="91"/>
      <c r="C517" s="82" t="s">
        <v>663</v>
      </c>
      <c r="D517" s="96" t="s">
        <v>650</v>
      </c>
      <c r="E517" s="96">
        <v>4</v>
      </c>
      <c r="F517" s="18">
        <v>3</v>
      </c>
      <c r="G517" s="18">
        <f>2.1+2.1+0.75</f>
        <v>4.95</v>
      </c>
      <c r="H517" s="18"/>
      <c r="I517" s="18"/>
      <c r="J517" s="17">
        <f>G517*F517*E517</f>
        <v>59.400000000000006</v>
      </c>
      <c r="K517" s="157"/>
      <c r="L517" s="157"/>
      <c r="M517" s="141"/>
      <c r="N517" s="141"/>
      <c r="O517" s="141"/>
    </row>
    <row r="518" spans="1:15" ht="14.25">
      <c r="A518" s="10"/>
      <c r="B518" s="91"/>
      <c r="C518" s="90"/>
      <c r="D518" s="96"/>
      <c r="E518" s="96"/>
      <c r="F518" s="18"/>
      <c r="G518" s="18"/>
      <c r="H518" s="18"/>
      <c r="I518" s="65" t="s">
        <v>492</v>
      </c>
      <c r="J518" s="17">
        <f>J517</f>
        <v>59.400000000000006</v>
      </c>
      <c r="K518" s="157"/>
      <c r="L518" s="157"/>
      <c r="M518" s="141"/>
      <c r="N518" s="141"/>
      <c r="O518" s="141"/>
    </row>
    <row r="519" spans="1:15" ht="253.5" customHeight="1">
      <c r="A519" s="10" t="s">
        <v>173</v>
      </c>
      <c r="B519" s="91" t="s">
        <v>184</v>
      </c>
      <c r="C519" s="90" t="s">
        <v>664</v>
      </c>
      <c r="D519" s="96"/>
      <c r="E519" s="96"/>
      <c r="F519" s="18"/>
      <c r="G519" s="18"/>
      <c r="H519" s="18"/>
      <c r="I519" s="18"/>
      <c r="J519" s="22"/>
      <c r="K519" s="157"/>
      <c r="L519" s="157"/>
      <c r="M519" s="141"/>
      <c r="N519" s="141"/>
      <c r="O519" s="141"/>
    </row>
    <row r="520" spans="1:15" ht="14.25">
      <c r="A520" s="10"/>
      <c r="B520" s="91" t="s">
        <v>185</v>
      </c>
      <c r="C520" s="90" t="s">
        <v>665</v>
      </c>
      <c r="D520" s="96" t="s">
        <v>518</v>
      </c>
      <c r="E520" s="96"/>
      <c r="F520" s="18"/>
      <c r="G520" s="18"/>
      <c r="H520" s="18"/>
      <c r="I520" s="18"/>
      <c r="J520" s="22"/>
      <c r="K520" s="157"/>
      <c r="L520" s="157"/>
      <c r="M520" s="141"/>
      <c r="N520" s="141"/>
      <c r="O520" s="141"/>
    </row>
    <row r="521" spans="1:15" ht="14.25">
      <c r="A521" s="10"/>
      <c r="B521" s="10"/>
      <c r="C521" s="82" t="s">
        <v>663</v>
      </c>
      <c r="D521" s="96" t="s">
        <v>518</v>
      </c>
      <c r="E521" s="96">
        <v>4</v>
      </c>
      <c r="F521" s="18">
        <v>1</v>
      </c>
      <c r="G521" s="18">
        <v>2.1</v>
      </c>
      <c r="H521" s="18">
        <v>0.75</v>
      </c>
      <c r="I521" s="18"/>
      <c r="J521" s="17">
        <f>H521*G521*F521*E521</f>
        <v>6.3000000000000007</v>
      </c>
      <c r="K521" s="157"/>
      <c r="L521" s="157"/>
      <c r="M521" s="141"/>
      <c r="N521" s="141"/>
      <c r="O521" s="141"/>
    </row>
    <row r="522" spans="1:15" ht="14.25">
      <c r="A522" s="10"/>
      <c r="B522" s="10"/>
      <c r="C522" s="82"/>
      <c r="D522" s="96"/>
      <c r="E522" s="96"/>
      <c r="F522" s="18"/>
      <c r="G522" s="18"/>
      <c r="H522" s="18"/>
      <c r="I522" s="18" t="s">
        <v>492</v>
      </c>
      <c r="J522" s="17">
        <f>J521</f>
        <v>6.3000000000000007</v>
      </c>
      <c r="K522" s="157"/>
      <c r="L522" s="157"/>
      <c r="M522" s="141"/>
      <c r="N522" s="141"/>
      <c r="O522" s="141"/>
    </row>
    <row r="523" spans="1:15" ht="14.25">
      <c r="A523" s="10"/>
      <c r="B523" s="10"/>
      <c r="C523" s="82"/>
      <c r="D523" s="96"/>
      <c r="E523" s="96"/>
      <c r="F523" s="18"/>
      <c r="G523" s="18"/>
      <c r="H523" s="18"/>
      <c r="I523" s="18"/>
      <c r="J523" s="17"/>
      <c r="K523" s="157"/>
      <c r="L523" s="157"/>
      <c r="M523" s="141"/>
      <c r="N523" s="141"/>
      <c r="O523" s="141"/>
    </row>
    <row r="524" spans="1:15" ht="93.6" customHeight="1">
      <c r="A524" s="10" t="s">
        <v>174</v>
      </c>
      <c r="B524" s="10" t="s">
        <v>149</v>
      </c>
      <c r="C524" s="90" t="s">
        <v>666</v>
      </c>
      <c r="D524" s="96"/>
      <c r="E524" s="96"/>
      <c r="F524" s="18"/>
      <c r="G524" s="18"/>
      <c r="H524" s="18"/>
      <c r="I524" s="18"/>
      <c r="J524" s="17"/>
      <c r="K524" s="157"/>
      <c r="L524" s="157"/>
      <c r="M524" s="141"/>
      <c r="N524" s="141"/>
      <c r="O524" s="141"/>
    </row>
    <row r="525" spans="1:15" ht="38.25">
      <c r="A525" s="10"/>
      <c r="B525" s="10" t="s">
        <v>150</v>
      </c>
      <c r="C525" s="90" t="s">
        <v>667</v>
      </c>
      <c r="D525" s="96"/>
      <c r="E525" s="96"/>
      <c r="F525" s="18"/>
      <c r="G525" s="18"/>
      <c r="H525" s="18"/>
      <c r="I525" s="18"/>
      <c r="J525" s="17"/>
      <c r="K525" s="157"/>
      <c r="L525" s="157"/>
      <c r="M525" s="141"/>
      <c r="N525" s="141"/>
      <c r="O525" s="141"/>
    </row>
    <row r="526" spans="1:15" ht="14.25">
      <c r="A526" s="10"/>
      <c r="B526" s="10"/>
      <c r="C526" s="26"/>
      <c r="D526" s="14"/>
      <c r="E526" s="25"/>
      <c r="F526" s="25"/>
      <c r="G526" s="14"/>
      <c r="H526" s="14"/>
      <c r="I526" s="14"/>
      <c r="J526" s="14"/>
      <c r="K526" s="157"/>
      <c r="L526" s="157"/>
      <c r="M526" s="141"/>
      <c r="N526" s="141"/>
      <c r="O526" s="141"/>
    </row>
    <row r="527" spans="1:15" ht="14.25">
      <c r="A527" s="10"/>
      <c r="B527" s="10"/>
      <c r="C527" s="26" t="s">
        <v>668</v>
      </c>
      <c r="D527" s="14" t="s">
        <v>669</v>
      </c>
      <c r="E527" s="25">
        <v>4</v>
      </c>
      <c r="F527" s="25">
        <v>6</v>
      </c>
      <c r="G527" s="14">
        <v>0.9</v>
      </c>
      <c r="H527" s="14"/>
      <c r="I527" s="14">
        <v>2.1</v>
      </c>
      <c r="J527" s="14">
        <f>E527*F527*G527*I527</f>
        <v>45.360000000000007</v>
      </c>
      <c r="K527" s="157"/>
      <c r="L527" s="157"/>
      <c r="M527" s="141"/>
      <c r="N527" s="141"/>
      <c r="O527" s="141"/>
    </row>
    <row r="528" spans="1:15" ht="14.25">
      <c r="A528" s="10"/>
      <c r="B528" s="10"/>
      <c r="C528" s="26"/>
      <c r="D528" s="14"/>
      <c r="E528" s="25"/>
      <c r="F528" s="25"/>
      <c r="G528" s="14"/>
      <c r="H528" s="14"/>
      <c r="I528" s="14"/>
      <c r="J528" s="14"/>
      <c r="K528" s="157"/>
      <c r="L528" s="157"/>
      <c r="M528" s="141"/>
      <c r="N528" s="141"/>
      <c r="O528" s="141"/>
    </row>
    <row r="529" spans="1:18" ht="14.25">
      <c r="A529" s="10"/>
      <c r="B529" s="10"/>
      <c r="C529" s="26" t="s">
        <v>670</v>
      </c>
      <c r="D529" s="14" t="s">
        <v>669</v>
      </c>
      <c r="E529" s="25">
        <v>1</v>
      </c>
      <c r="F529" s="25">
        <v>1</v>
      </c>
      <c r="G529" s="14">
        <v>0.9</v>
      </c>
      <c r="H529" s="14"/>
      <c r="I529" s="14">
        <v>2.1</v>
      </c>
      <c r="J529" s="14">
        <f>E529*F529*G529*I529</f>
        <v>1.8900000000000001</v>
      </c>
      <c r="K529" s="157"/>
      <c r="L529" s="157"/>
      <c r="M529" s="141"/>
      <c r="N529" s="141"/>
      <c r="O529" s="141"/>
    </row>
    <row r="530" spans="1:18" ht="14.25">
      <c r="A530" s="10"/>
      <c r="B530" s="10"/>
      <c r="C530" s="9"/>
      <c r="D530" s="14"/>
      <c r="E530" s="14"/>
      <c r="F530" s="14"/>
      <c r="G530" s="14"/>
      <c r="H530" s="14"/>
      <c r="I530" s="24" t="s">
        <v>491</v>
      </c>
      <c r="J530" s="17">
        <f>SUM(J526:J529)</f>
        <v>47.250000000000007</v>
      </c>
      <c r="K530" s="157"/>
      <c r="L530" s="157"/>
      <c r="M530" s="141"/>
      <c r="N530" s="141"/>
      <c r="O530" s="141"/>
    </row>
    <row r="531" spans="1:18" ht="14.25">
      <c r="A531" s="10"/>
      <c r="B531" s="10"/>
      <c r="C531" s="9"/>
      <c r="D531" s="14"/>
      <c r="E531" s="14"/>
      <c r="F531" s="14"/>
      <c r="G531" s="14"/>
      <c r="H531" s="14"/>
      <c r="I531" s="24" t="s">
        <v>492</v>
      </c>
      <c r="J531" s="17">
        <f>J530</f>
        <v>47.250000000000007</v>
      </c>
      <c r="K531" s="157"/>
      <c r="L531" s="157"/>
      <c r="M531" s="141"/>
      <c r="N531" s="141"/>
      <c r="O531" s="141"/>
    </row>
    <row r="532" spans="1:18" ht="14.25">
      <c r="A532" s="10"/>
      <c r="B532" s="10"/>
      <c r="C532" s="9"/>
      <c r="D532" s="14"/>
      <c r="E532" s="14"/>
      <c r="F532" s="14"/>
      <c r="G532" s="14"/>
      <c r="H532" s="14"/>
      <c r="I532" s="24"/>
      <c r="J532" s="17"/>
      <c r="K532" s="157"/>
      <c r="L532" s="157"/>
      <c r="M532" s="141"/>
      <c r="N532" s="141"/>
      <c r="O532" s="141"/>
    </row>
    <row r="533" spans="1:18" ht="75">
      <c r="A533" s="10"/>
      <c r="B533" s="2" t="s">
        <v>152</v>
      </c>
      <c r="C533" s="5" t="s">
        <v>153</v>
      </c>
      <c r="D533" s="569" t="s">
        <v>69</v>
      </c>
      <c r="E533" s="25">
        <v>4</v>
      </c>
      <c r="F533" s="25">
        <v>3</v>
      </c>
      <c r="G533" s="14">
        <v>0.9</v>
      </c>
      <c r="H533" s="14"/>
      <c r="I533" s="14">
        <v>2.1</v>
      </c>
      <c r="J533" s="14">
        <f>E533*F533*G533*I533</f>
        <v>22.680000000000003</v>
      </c>
      <c r="K533" s="157"/>
      <c r="L533" s="157"/>
      <c r="M533" s="141"/>
      <c r="N533" s="141"/>
      <c r="O533" s="141"/>
    </row>
    <row r="534" spans="1:18" ht="15">
      <c r="A534" s="10"/>
      <c r="B534" s="2" t="s">
        <v>154</v>
      </c>
      <c r="C534" s="5" t="s">
        <v>155</v>
      </c>
      <c r="D534" s="569"/>
      <c r="E534" s="25">
        <v>1</v>
      </c>
      <c r="F534" s="25">
        <v>1</v>
      </c>
      <c r="G534" s="14">
        <v>0.9</v>
      </c>
      <c r="H534" s="14"/>
      <c r="I534" s="14">
        <v>2.1</v>
      </c>
      <c r="J534" s="14">
        <f>E534*F534*G534*I534</f>
        <v>1.8900000000000001</v>
      </c>
      <c r="K534" s="157"/>
      <c r="L534" s="157"/>
      <c r="M534" s="141"/>
      <c r="N534" s="141"/>
      <c r="O534" s="141"/>
    </row>
    <row r="535" spans="1:18" ht="15">
      <c r="A535" s="10"/>
      <c r="B535" s="2"/>
      <c r="C535" s="5"/>
      <c r="D535" s="4"/>
      <c r="E535" s="25"/>
      <c r="F535" s="25"/>
      <c r="G535" s="14"/>
      <c r="H535" s="14"/>
      <c r="I535" s="14"/>
      <c r="J535" s="14">
        <f>SUM(J533:J534)</f>
        <v>24.570000000000004</v>
      </c>
      <c r="K535" s="157"/>
      <c r="L535" s="157"/>
      <c r="M535" s="141"/>
      <c r="N535" s="141"/>
      <c r="O535" s="141"/>
    </row>
    <row r="536" spans="1:18" ht="15">
      <c r="A536" s="10"/>
      <c r="B536" s="2"/>
      <c r="C536" s="6"/>
      <c r="D536" s="1"/>
      <c r="E536" s="14"/>
      <c r="F536" s="14"/>
      <c r="G536" s="14"/>
      <c r="H536" s="14"/>
      <c r="I536" s="24"/>
      <c r="J536" s="17"/>
      <c r="K536" s="157"/>
      <c r="L536" s="157"/>
      <c r="M536" s="141"/>
      <c r="N536" s="141"/>
      <c r="O536" s="141"/>
    </row>
    <row r="537" spans="1:18" ht="14.25">
      <c r="A537" s="10"/>
      <c r="B537" s="10"/>
      <c r="C537" s="9"/>
      <c r="D537" s="14"/>
      <c r="E537" s="14"/>
      <c r="F537" s="14"/>
      <c r="G537" s="14"/>
      <c r="H537" s="14"/>
      <c r="I537" s="24"/>
      <c r="J537" s="17"/>
      <c r="K537" s="157"/>
      <c r="L537" s="157"/>
      <c r="M537" s="141"/>
      <c r="N537" s="141"/>
      <c r="O537" s="141"/>
    </row>
    <row r="538" spans="1:18" ht="102">
      <c r="A538" s="10" t="s">
        <v>175</v>
      </c>
      <c r="B538" s="10" t="s">
        <v>192</v>
      </c>
      <c r="C538" s="27" t="s">
        <v>193</v>
      </c>
      <c r="D538" s="18" t="s">
        <v>171</v>
      </c>
      <c r="E538" s="18">
        <v>4</v>
      </c>
      <c r="F538" s="18">
        <v>7</v>
      </c>
      <c r="G538" s="18">
        <v>1</v>
      </c>
      <c r="H538" s="18"/>
      <c r="I538" s="18"/>
      <c r="J538" s="87">
        <f>E538*F538*G538</f>
        <v>28</v>
      </c>
      <c r="K538" s="157"/>
      <c r="L538" s="157"/>
      <c r="M538" s="141"/>
      <c r="N538" s="141"/>
      <c r="O538" s="141"/>
    </row>
    <row r="539" spans="1:18" ht="14.25">
      <c r="A539" s="10"/>
      <c r="B539" s="10"/>
      <c r="C539" s="9"/>
      <c r="D539" s="8"/>
      <c r="E539" s="8"/>
      <c r="F539" s="8"/>
      <c r="G539" s="8"/>
      <c r="H539" s="8"/>
      <c r="I539" s="8"/>
      <c r="J539" s="14"/>
      <c r="K539" s="157"/>
      <c r="L539" s="157"/>
      <c r="M539" s="141"/>
      <c r="N539" s="141"/>
      <c r="O539" s="141"/>
    </row>
    <row r="540" spans="1:18" ht="14.25">
      <c r="A540" s="10"/>
      <c r="B540" s="10"/>
      <c r="C540" s="94"/>
      <c r="D540" s="8"/>
      <c r="E540" s="8"/>
      <c r="F540" s="8"/>
      <c r="G540" s="8"/>
      <c r="H540" s="8"/>
      <c r="I540" s="8"/>
      <c r="J540" s="14"/>
      <c r="K540" s="157"/>
      <c r="L540" s="157"/>
      <c r="M540" s="141"/>
      <c r="N540" s="141"/>
      <c r="O540" s="141"/>
    </row>
    <row r="541" spans="1:18" ht="178.5">
      <c r="A541" s="10" t="s">
        <v>176</v>
      </c>
      <c r="B541" s="10" t="s">
        <v>195</v>
      </c>
      <c r="C541" s="27" t="s">
        <v>196</v>
      </c>
      <c r="D541" s="8"/>
      <c r="E541" s="8"/>
      <c r="F541" s="8"/>
      <c r="G541" s="8"/>
      <c r="H541" s="8"/>
      <c r="I541" s="8"/>
      <c r="J541" s="14"/>
      <c r="K541" s="157"/>
      <c r="L541" s="157"/>
      <c r="M541" s="141"/>
      <c r="N541" s="141"/>
      <c r="O541" s="141"/>
    </row>
    <row r="542" spans="1:18" ht="14.25">
      <c r="A542" s="10"/>
      <c r="B542" s="10"/>
      <c r="C542" s="9" t="s">
        <v>671</v>
      </c>
      <c r="D542" s="95" t="s">
        <v>197</v>
      </c>
      <c r="E542" s="95">
        <v>4</v>
      </c>
      <c r="F542" s="18">
        <f>2.7+2.7+1+3</f>
        <v>9.4</v>
      </c>
      <c r="G542" s="18">
        <f>F542*E542</f>
        <v>37.6</v>
      </c>
      <c r="H542" s="581" t="s">
        <v>653</v>
      </c>
      <c r="I542" s="582"/>
      <c r="J542" s="22">
        <f>G542*18</f>
        <v>676.80000000000007</v>
      </c>
      <c r="K542" s="157"/>
      <c r="L542" s="157"/>
      <c r="M542" s="141" t="s">
        <v>658</v>
      </c>
      <c r="N542" s="141"/>
      <c r="O542" s="141" t="s">
        <v>659</v>
      </c>
      <c r="Q542" s="7">
        <v>1</v>
      </c>
      <c r="R542" s="7">
        <v>3.56</v>
      </c>
    </row>
    <row r="543" spans="1:18" ht="14.25">
      <c r="A543" s="10"/>
      <c r="B543" s="10"/>
      <c r="C543" s="9" t="s">
        <v>652</v>
      </c>
      <c r="D543" s="95" t="s">
        <v>197</v>
      </c>
      <c r="E543" s="95">
        <v>4</v>
      </c>
      <c r="F543" s="18">
        <f>3.68+1.2+1.2</f>
        <v>6.08</v>
      </c>
      <c r="G543" s="18"/>
      <c r="H543" s="581" t="s">
        <v>653</v>
      </c>
      <c r="I543" s="582"/>
      <c r="J543" s="22">
        <f>G543*18</f>
        <v>0</v>
      </c>
      <c r="K543" s="157"/>
      <c r="L543" s="157" t="s">
        <v>471</v>
      </c>
      <c r="M543" s="141" t="s">
        <v>654</v>
      </c>
      <c r="N543" s="141"/>
      <c r="O543" s="141" t="s">
        <v>655</v>
      </c>
      <c r="Q543" s="7">
        <v>3</v>
      </c>
      <c r="R543" s="7">
        <f>Q543*2.41</f>
        <v>7.23</v>
      </c>
    </row>
    <row r="544" spans="1:18" ht="14.25" customHeight="1">
      <c r="A544" s="10"/>
      <c r="B544" s="10"/>
      <c r="C544" s="9" t="s">
        <v>656</v>
      </c>
      <c r="D544" s="95" t="s">
        <v>197</v>
      </c>
      <c r="E544" s="95">
        <v>4</v>
      </c>
      <c r="F544" s="18">
        <f>3.4+1.2+1.2+1+1</f>
        <v>7.8</v>
      </c>
      <c r="G544" s="18"/>
      <c r="H544" s="581" t="s">
        <v>653</v>
      </c>
      <c r="I544" s="582"/>
      <c r="J544" s="22">
        <f>G544*18</f>
        <v>0</v>
      </c>
      <c r="K544" s="157"/>
      <c r="L544" s="157"/>
      <c r="M544" s="141" t="s">
        <v>657</v>
      </c>
      <c r="N544" s="141"/>
      <c r="O544" s="141"/>
    </row>
    <row r="545" spans="1:19" ht="14.25" customHeight="1">
      <c r="A545" s="10"/>
      <c r="B545" s="10"/>
      <c r="C545" s="9" t="s">
        <v>656</v>
      </c>
      <c r="D545" s="95" t="s">
        <v>197</v>
      </c>
      <c r="E545" s="95">
        <v>4</v>
      </c>
      <c r="F545" s="18">
        <f>4.2+1.2+1.2+1+1</f>
        <v>8.6000000000000014</v>
      </c>
      <c r="G545" s="18"/>
      <c r="H545" s="581" t="s">
        <v>653</v>
      </c>
      <c r="I545" s="582"/>
      <c r="J545" s="22">
        <f>G545*18</f>
        <v>0</v>
      </c>
      <c r="K545" s="157"/>
      <c r="L545" s="157"/>
      <c r="M545" s="141" t="s">
        <v>658</v>
      </c>
      <c r="N545" s="141"/>
      <c r="O545" s="141" t="s">
        <v>659</v>
      </c>
      <c r="Q545" s="133">
        <v>1</v>
      </c>
      <c r="R545" s="7">
        <v>3.36</v>
      </c>
    </row>
    <row r="546" spans="1:19" ht="14.25">
      <c r="A546" s="10"/>
      <c r="B546" s="10"/>
      <c r="C546" s="94"/>
      <c r="D546" s="8"/>
      <c r="E546" s="8"/>
      <c r="F546" s="8"/>
      <c r="G546" s="8"/>
      <c r="H546" s="8"/>
      <c r="I546" s="17" t="s">
        <v>491</v>
      </c>
      <c r="J546" s="87">
        <f>SUM(J542:J545)</f>
        <v>676.80000000000007</v>
      </c>
      <c r="K546" s="157"/>
      <c r="L546" s="157"/>
      <c r="M546" s="141"/>
      <c r="N546" s="141"/>
      <c r="O546" s="141"/>
      <c r="R546" s="7">
        <f>R545+R543+R542</f>
        <v>14.15</v>
      </c>
    </row>
    <row r="547" spans="1:19" ht="14.25">
      <c r="A547" s="10"/>
      <c r="B547" s="10"/>
      <c r="C547" s="9"/>
      <c r="D547" s="8"/>
      <c r="E547" s="8"/>
      <c r="F547" s="8"/>
      <c r="G547" s="8"/>
      <c r="H547" s="8"/>
      <c r="I547" s="24" t="s">
        <v>492</v>
      </c>
      <c r="J547" s="23">
        <f>J546</f>
        <v>676.80000000000007</v>
      </c>
      <c r="K547" s="157"/>
      <c r="L547" s="157"/>
      <c r="M547" s="141"/>
      <c r="N547" s="141"/>
      <c r="O547" s="141"/>
    </row>
    <row r="548" spans="1:19" ht="76.5">
      <c r="A548" s="10" t="s">
        <v>177</v>
      </c>
      <c r="B548" s="10" t="s">
        <v>200</v>
      </c>
      <c r="C548" s="27" t="s">
        <v>199</v>
      </c>
      <c r="D548" s="8"/>
      <c r="E548" s="8"/>
      <c r="F548" s="8"/>
      <c r="G548" s="8"/>
      <c r="H548" s="8"/>
      <c r="I548" s="8"/>
      <c r="J548" s="14"/>
      <c r="K548" s="157"/>
      <c r="L548" s="157"/>
      <c r="M548" s="141"/>
      <c r="N548" s="141"/>
      <c r="O548" s="141"/>
      <c r="S548" s="133"/>
    </row>
    <row r="549" spans="1:19" ht="14.25">
      <c r="A549" s="10"/>
      <c r="B549" s="10" t="s">
        <v>200</v>
      </c>
      <c r="C549" s="9" t="s">
        <v>201</v>
      </c>
      <c r="D549" s="8" t="s">
        <v>518</v>
      </c>
      <c r="E549" s="8"/>
      <c r="F549" s="8"/>
      <c r="G549" s="8"/>
      <c r="H549" s="8"/>
      <c r="I549" s="8"/>
      <c r="J549" s="14"/>
      <c r="K549" s="157"/>
      <c r="L549" s="157"/>
      <c r="M549" s="141"/>
      <c r="N549" s="141"/>
      <c r="O549" s="141"/>
    </row>
    <row r="550" spans="1:19" ht="14.25">
      <c r="A550" s="10"/>
      <c r="B550" s="10"/>
      <c r="C550" s="26" t="s">
        <v>672</v>
      </c>
      <c r="D550" s="8"/>
      <c r="E550" s="8">
        <v>1</v>
      </c>
      <c r="F550" s="8">
        <f>18*3</f>
        <v>54</v>
      </c>
      <c r="G550" s="8">
        <v>1.5</v>
      </c>
      <c r="H550" s="8">
        <v>0.3</v>
      </c>
      <c r="I550" s="8"/>
      <c r="J550" s="14">
        <f>E550*F550*G550*H550</f>
        <v>24.3</v>
      </c>
      <c r="K550" s="157"/>
      <c r="L550" s="157"/>
      <c r="M550" s="141"/>
      <c r="N550" s="141"/>
      <c r="O550" s="141"/>
    </row>
    <row r="551" spans="1:19" ht="14.25">
      <c r="A551" s="10"/>
      <c r="B551" s="10"/>
      <c r="C551" s="26" t="s">
        <v>673</v>
      </c>
      <c r="D551" s="8"/>
      <c r="E551" s="8">
        <v>1</v>
      </c>
      <c r="F551" s="8">
        <v>54</v>
      </c>
      <c r="G551" s="8">
        <v>1.5</v>
      </c>
      <c r="H551" s="8" t="s">
        <v>471</v>
      </c>
      <c r="I551" s="8">
        <v>0.17499999999999999</v>
      </c>
      <c r="J551" s="14">
        <f>E551*F551*G551*I551</f>
        <v>14.174999999999999</v>
      </c>
      <c r="K551" s="157"/>
      <c r="L551" s="157"/>
      <c r="M551" s="141"/>
      <c r="N551" s="141"/>
      <c r="O551" s="141"/>
    </row>
    <row r="552" spans="1:19" ht="14.25">
      <c r="A552" s="10"/>
      <c r="B552" s="10"/>
      <c r="C552" s="26" t="s">
        <v>674</v>
      </c>
      <c r="D552" s="8"/>
      <c r="E552" s="8">
        <v>1</v>
      </c>
      <c r="F552" s="8">
        <v>6</v>
      </c>
      <c r="G552" s="8">
        <v>2.4</v>
      </c>
      <c r="H552" s="8">
        <v>1.2</v>
      </c>
      <c r="I552" s="8"/>
      <c r="J552" s="14">
        <f>E552*F552*G552*H552</f>
        <v>17.279999999999998</v>
      </c>
      <c r="K552" s="157"/>
      <c r="L552" s="157"/>
      <c r="M552" s="141"/>
      <c r="N552" s="141"/>
      <c r="O552" s="141"/>
    </row>
    <row r="553" spans="1:19" ht="14.25">
      <c r="A553" s="10"/>
      <c r="B553" s="10"/>
      <c r="C553" s="9"/>
      <c r="D553" s="8"/>
      <c r="E553" s="8">
        <v>1</v>
      </c>
      <c r="F553" s="8">
        <v>2</v>
      </c>
      <c r="G553" s="8">
        <v>2.4</v>
      </c>
      <c r="H553" s="8">
        <v>1.7</v>
      </c>
      <c r="I553" s="8"/>
      <c r="J553" s="14">
        <f>E553*F553*G553*H553</f>
        <v>8.16</v>
      </c>
      <c r="K553" s="157"/>
      <c r="L553" s="157"/>
      <c r="M553" s="141"/>
      <c r="N553" s="141"/>
      <c r="O553" s="141"/>
    </row>
    <row r="554" spans="1:19" ht="14.25">
      <c r="A554" s="10"/>
      <c r="B554" s="10"/>
      <c r="C554" s="26" t="s">
        <v>675</v>
      </c>
      <c r="D554" s="8"/>
      <c r="E554" s="8">
        <v>1</v>
      </c>
      <c r="F554" s="8">
        <v>1</v>
      </c>
      <c r="G554" s="8">
        <v>2.4</v>
      </c>
      <c r="H554" s="8">
        <v>1.43</v>
      </c>
      <c r="I554" s="8"/>
      <c r="J554" s="14">
        <f>E554*F554*G554*H554</f>
        <v>3.4319999999999999</v>
      </c>
      <c r="K554" s="157"/>
      <c r="L554" s="157"/>
      <c r="M554" s="141"/>
      <c r="N554" s="141"/>
      <c r="O554" s="141"/>
    </row>
    <row r="555" spans="1:19" ht="14.25">
      <c r="A555" s="10"/>
      <c r="B555" s="10"/>
      <c r="C555" s="9"/>
      <c r="D555" s="8"/>
      <c r="E555" s="8">
        <v>1</v>
      </c>
      <c r="F555" s="8">
        <v>1</v>
      </c>
      <c r="G555" s="8">
        <v>2.5</v>
      </c>
      <c r="H555" s="8">
        <v>1.2</v>
      </c>
      <c r="I555" s="8"/>
      <c r="J555" s="14">
        <f>E555*F555*G555*H555</f>
        <v>3</v>
      </c>
      <c r="K555" s="157"/>
      <c r="L555" s="157"/>
      <c r="M555" s="141"/>
      <c r="N555" s="141"/>
      <c r="O555" s="141"/>
    </row>
    <row r="556" spans="1:19" ht="14.25">
      <c r="A556" s="10"/>
      <c r="B556" s="10"/>
      <c r="C556" s="9"/>
      <c r="D556" s="8"/>
      <c r="E556" s="8"/>
      <c r="F556" s="8"/>
      <c r="G556" s="8"/>
      <c r="H556" s="8"/>
      <c r="I556" s="17" t="s">
        <v>491</v>
      </c>
      <c r="J556" s="87">
        <f>SUM(J550:J555)</f>
        <v>70.346999999999994</v>
      </c>
      <c r="K556" s="157"/>
      <c r="L556" s="157"/>
      <c r="M556" s="141"/>
      <c r="N556" s="141"/>
      <c r="O556" s="141"/>
    </row>
    <row r="557" spans="1:19" ht="14.25">
      <c r="A557" s="10"/>
      <c r="B557" s="10"/>
      <c r="C557" s="9"/>
      <c r="D557" s="8"/>
      <c r="E557" s="8"/>
      <c r="F557" s="8"/>
      <c r="G557" s="8"/>
      <c r="H557" s="8"/>
      <c r="I557" s="24" t="s">
        <v>492</v>
      </c>
      <c r="J557" s="23">
        <f>J556</f>
        <v>70.346999999999994</v>
      </c>
      <c r="K557" s="157"/>
      <c r="L557" s="157"/>
      <c r="M557" s="141"/>
      <c r="N557" s="141"/>
      <c r="O557" s="141"/>
    </row>
    <row r="558" spans="1:19" ht="25.5">
      <c r="A558" s="10" t="s">
        <v>178</v>
      </c>
      <c r="B558" s="10" t="s">
        <v>203</v>
      </c>
      <c r="C558" s="27" t="s">
        <v>204</v>
      </c>
      <c r="D558" s="18" t="s">
        <v>650</v>
      </c>
      <c r="E558" s="18">
        <v>1</v>
      </c>
      <c r="F558" s="22">
        <v>54</v>
      </c>
      <c r="G558" s="18">
        <v>1.5</v>
      </c>
      <c r="H558" s="18"/>
      <c r="I558" s="18"/>
      <c r="J558" s="17">
        <f>E558*F558*G558</f>
        <v>81</v>
      </c>
      <c r="K558" s="157"/>
      <c r="L558" s="157"/>
      <c r="M558" s="141"/>
      <c r="N558" s="141"/>
      <c r="O558" s="141"/>
    </row>
    <row r="559" spans="1:19" ht="14.25">
      <c r="A559" s="10"/>
      <c r="B559" s="10"/>
      <c r="C559" s="27"/>
      <c r="D559" s="8"/>
      <c r="E559" s="8"/>
      <c r="F559" s="8"/>
      <c r="G559" s="8"/>
      <c r="H559" s="8"/>
      <c r="I559" s="8"/>
      <c r="J559" s="14"/>
      <c r="K559" s="157"/>
      <c r="L559" s="157"/>
      <c r="M559" s="141"/>
      <c r="N559" s="141"/>
      <c r="O559" s="141"/>
    </row>
    <row r="560" spans="1:19" ht="25.5">
      <c r="A560" s="10" t="s">
        <v>179</v>
      </c>
      <c r="B560" s="10" t="s">
        <v>206</v>
      </c>
      <c r="C560" s="27" t="s">
        <v>676</v>
      </c>
      <c r="D560" s="8" t="s">
        <v>518</v>
      </c>
      <c r="E560" s="8">
        <v>5</v>
      </c>
      <c r="F560" s="8">
        <v>3</v>
      </c>
      <c r="G560" s="8">
        <v>0.45</v>
      </c>
      <c r="H560" s="8"/>
      <c r="I560" s="8"/>
      <c r="J560" s="14">
        <f>G560*F560*E560</f>
        <v>6.75</v>
      </c>
      <c r="K560" s="157"/>
      <c r="L560" s="157"/>
      <c r="M560" s="141"/>
      <c r="N560" s="141"/>
      <c r="O560" s="141"/>
    </row>
    <row r="561" spans="1:15" ht="14.25">
      <c r="A561" s="10"/>
      <c r="B561" s="10"/>
      <c r="C561" s="9"/>
      <c r="D561" s="8"/>
      <c r="E561" s="8"/>
      <c r="F561" s="8"/>
      <c r="G561" s="8"/>
      <c r="H561" s="8"/>
      <c r="I561" s="24" t="s">
        <v>491</v>
      </c>
      <c r="J561" s="23">
        <f>J560</f>
        <v>6.75</v>
      </c>
      <c r="K561" s="157"/>
      <c r="L561" s="157"/>
      <c r="M561" s="141"/>
      <c r="N561" s="141"/>
      <c r="O561" s="141"/>
    </row>
    <row r="562" spans="1:15" ht="14.25">
      <c r="A562" s="10"/>
      <c r="B562" s="10"/>
      <c r="C562" s="9"/>
      <c r="D562" s="8"/>
      <c r="E562" s="8"/>
      <c r="F562" s="8"/>
      <c r="G562" s="8"/>
      <c r="H562" s="8"/>
      <c r="I562" s="24" t="s">
        <v>492</v>
      </c>
      <c r="J562" s="23"/>
      <c r="K562" s="157"/>
      <c r="L562" s="157"/>
      <c r="M562" s="141"/>
      <c r="N562" s="141"/>
      <c r="O562" s="141"/>
    </row>
    <row r="563" spans="1:15" ht="127.5">
      <c r="A563" s="10" t="s">
        <v>180</v>
      </c>
      <c r="B563" s="10" t="s">
        <v>208</v>
      </c>
      <c r="C563" s="27" t="s">
        <v>677</v>
      </c>
      <c r="D563" s="18" t="s">
        <v>525</v>
      </c>
      <c r="E563" s="18"/>
      <c r="F563" s="8"/>
      <c r="G563" s="8"/>
      <c r="H563" s="8"/>
      <c r="I563" s="8"/>
      <c r="J563" s="14" t="s">
        <v>471</v>
      </c>
      <c r="K563" s="164" t="s">
        <v>471</v>
      </c>
      <c r="L563" s="157"/>
      <c r="M563" s="141"/>
      <c r="N563" s="141"/>
      <c r="O563" s="141"/>
    </row>
    <row r="564" spans="1:15" ht="14.25">
      <c r="A564" s="10"/>
      <c r="B564" s="10"/>
      <c r="C564" s="26" t="s">
        <v>678</v>
      </c>
      <c r="D564" s="8" t="s">
        <v>525</v>
      </c>
      <c r="E564" s="8">
        <v>4</v>
      </c>
      <c r="F564" s="8">
        <v>1</v>
      </c>
      <c r="G564" s="8">
        <f>7.2-0.75</f>
        <v>6.45</v>
      </c>
      <c r="H564" s="8" t="s">
        <v>471</v>
      </c>
      <c r="I564" s="8">
        <v>2.1</v>
      </c>
      <c r="J564" s="14">
        <f>E564*F564*G564*I564</f>
        <v>54.180000000000007</v>
      </c>
      <c r="K564" s="164"/>
      <c r="L564" s="157"/>
      <c r="M564" s="141"/>
      <c r="N564" s="141"/>
      <c r="O564" s="141"/>
    </row>
    <row r="565" spans="1:15" ht="14.25">
      <c r="A565" s="10"/>
      <c r="B565" s="10"/>
      <c r="C565" s="26"/>
      <c r="D565" s="8" t="s">
        <v>525</v>
      </c>
      <c r="E565" s="8">
        <v>4</v>
      </c>
      <c r="F565" s="8">
        <v>2</v>
      </c>
      <c r="G565" s="8">
        <f>6.6-0.75</f>
        <v>5.85</v>
      </c>
      <c r="H565" s="8" t="s">
        <v>471</v>
      </c>
      <c r="I565" s="8">
        <v>2.1</v>
      </c>
      <c r="J565" s="14">
        <f>E565*F565*G565*I565</f>
        <v>98.28</v>
      </c>
      <c r="K565" s="164"/>
      <c r="L565" s="157"/>
      <c r="M565" s="141"/>
      <c r="N565" s="141"/>
      <c r="O565" s="141"/>
    </row>
    <row r="566" spans="1:15" ht="14.25">
      <c r="A566" s="10"/>
      <c r="B566" s="10"/>
      <c r="C566" s="26" t="s">
        <v>679</v>
      </c>
      <c r="D566" s="8" t="s">
        <v>525</v>
      </c>
      <c r="E566" s="8">
        <v>4</v>
      </c>
      <c r="F566" s="8">
        <v>1</v>
      </c>
      <c r="G566" s="8">
        <f>3.6+0.6+0.6</f>
        <v>4.8</v>
      </c>
      <c r="H566" s="8" t="s">
        <v>471</v>
      </c>
      <c r="I566" s="8">
        <v>2.1</v>
      </c>
      <c r="J566" s="14">
        <f>E566*F566*G566*I566</f>
        <v>40.32</v>
      </c>
      <c r="K566" s="164"/>
      <c r="L566" s="157"/>
      <c r="M566" s="141"/>
      <c r="N566" s="141"/>
      <c r="O566" s="141"/>
    </row>
    <row r="567" spans="1:15" ht="14.25">
      <c r="A567" s="10"/>
      <c r="B567" s="10"/>
      <c r="C567" s="9"/>
      <c r="D567" s="8"/>
      <c r="E567" s="8"/>
      <c r="F567" s="8"/>
      <c r="G567" s="8"/>
      <c r="H567" s="8"/>
      <c r="I567" s="23" t="s">
        <v>491</v>
      </c>
      <c r="J567" s="32">
        <f>SUM(J564:J566)</f>
        <v>192.78</v>
      </c>
      <c r="K567" s="164"/>
      <c r="L567" s="157"/>
      <c r="M567" s="141"/>
      <c r="N567" s="141"/>
      <c r="O567" s="141"/>
    </row>
    <row r="568" spans="1:15" ht="14.25">
      <c r="A568" s="10"/>
      <c r="B568" s="10"/>
      <c r="C568" s="9"/>
      <c r="D568" s="8"/>
      <c r="E568" s="8"/>
      <c r="F568" s="8"/>
      <c r="G568" s="8"/>
      <c r="H568" s="8"/>
      <c r="I568" s="24" t="s">
        <v>492</v>
      </c>
      <c r="J568" s="23">
        <f>J567</f>
        <v>192.78</v>
      </c>
      <c r="K568" s="164"/>
      <c r="L568" s="157"/>
      <c r="M568" s="141"/>
      <c r="N568" s="141"/>
      <c r="O568" s="141"/>
    </row>
    <row r="569" spans="1:15" ht="114.75">
      <c r="A569" s="10" t="s">
        <v>183</v>
      </c>
      <c r="B569" s="91" t="s">
        <v>210</v>
      </c>
      <c r="C569" s="90" t="s">
        <v>680</v>
      </c>
      <c r="D569" s="88" t="s">
        <v>72</v>
      </c>
      <c r="E569" s="88"/>
      <c r="F569" s="88"/>
      <c r="G569" s="88"/>
      <c r="H569" s="88"/>
      <c r="I569" s="88"/>
      <c r="J569" s="14"/>
      <c r="K569" s="164"/>
      <c r="L569" s="157"/>
      <c r="M569" s="141"/>
      <c r="N569" s="141"/>
      <c r="O569" s="141"/>
    </row>
    <row r="570" spans="1:15" ht="14.25">
      <c r="A570" s="10"/>
      <c r="B570" s="91"/>
      <c r="C570" s="82" t="s">
        <v>681</v>
      </c>
      <c r="D570" s="8" t="s">
        <v>525</v>
      </c>
      <c r="E570" s="8">
        <v>4</v>
      </c>
      <c r="F570" s="8"/>
      <c r="G570" s="8">
        <v>2.1</v>
      </c>
      <c r="H570" s="8">
        <v>1.5</v>
      </c>
      <c r="I570" s="8" t="s">
        <v>471</v>
      </c>
      <c r="J570" s="14">
        <f>H570*G570*E570</f>
        <v>12.600000000000001</v>
      </c>
      <c r="K570" s="164"/>
      <c r="L570" s="157"/>
      <c r="M570" s="141"/>
      <c r="N570" s="141"/>
      <c r="O570" s="141"/>
    </row>
    <row r="571" spans="1:15" ht="14.25">
      <c r="A571" s="10"/>
      <c r="B571" s="91"/>
      <c r="C571" s="82"/>
      <c r="D571" s="8"/>
      <c r="E571" s="8">
        <v>4</v>
      </c>
      <c r="F571" s="8"/>
      <c r="G571" s="8">
        <v>2.6</v>
      </c>
      <c r="H571" s="8">
        <v>1.5</v>
      </c>
      <c r="I571" s="8"/>
      <c r="J571" s="14">
        <f>H571*G571*E571</f>
        <v>15.600000000000001</v>
      </c>
      <c r="K571" s="164"/>
      <c r="L571" s="157"/>
      <c r="M571" s="141"/>
      <c r="N571" s="141"/>
      <c r="O571" s="141"/>
    </row>
    <row r="572" spans="1:15" ht="14.25">
      <c r="A572" s="10"/>
      <c r="B572" s="91"/>
      <c r="C572" s="82" t="s">
        <v>682</v>
      </c>
      <c r="D572" s="8"/>
      <c r="E572" s="8">
        <v>4</v>
      </c>
      <c r="F572" s="8"/>
      <c r="G572" s="8">
        <v>1.95</v>
      </c>
      <c r="H572" s="8">
        <v>1.68</v>
      </c>
      <c r="I572" s="8"/>
      <c r="J572" s="14">
        <f>H572*G572*E572</f>
        <v>13.103999999999999</v>
      </c>
      <c r="K572" s="164"/>
      <c r="L572" s="157"/>
      <c r="M572" s="141"/>
      <c r="N572" s="141"/>
      <c r="O572" s="141"/>
    </row>
    <row r="573" spans="1:15" ht="14.25">
      <c r="A573" s="10"/>
      <c r="B573" s="91"/>
      <c r="C573" s="93"/>
      <c r="D573" s="88"/>
      <c r="E573" s="88"/>
      <c r="F573" s="88"/>
      <c r="G573" s="88"/>
      <c r="H573" s="88"/>
      <c r="I573" s="23" t="s">
        <v>491</v>
      </c>
      <c r="J573" s="32">
        <f>SUM(J570:J572)</f>
        <v>41.304000000000002</v>
      </c>
      <c r="K573" s="164"/>
      <c r="L573" s="157"/>
      <c r="M573" s="141"/>
      <c r="N573" s="141"/>
      <c r="O573" s="141"/>
    </row>
    <row r="574" spans="1:15" ht="14.25">
      <c r="A574" s="10"/>
      <c r="B574" s="10"/>
      <c r="C574" s="9"/>
      <c r="D574" s="8"/>
      <c r="E574" s="8"/>
      <c r="F574" s="8"/>
      <c r="G574" s="8"/>
      <c r="H574" s="8"/>
      <c r="I574" s="24" t="s">
        <v>492</v>
      </c>
      <c r="J574" s="23">
        <f>J573</f>
        <v>41.304000000000002</v>
      </c>
      <c r="K574" s="157"/>
      <c r="L574" s="157"/>
      <c r="M574" s="141"/>
      <c r="N574" s="141"/>
      <c r="O574" s="141"/>
    </row>
    <row r="575" spans="1:15" ht="102">
      <c r="A575" s="10" t="s">
        <v>186</v>
      </c>
      <c r="B575" s="10" t="s">
        <v>212</v>
      </c>
      <c r="C575" s="27" t="s">
        <v>213</v>
      </c>
      <c r="D575" s="8"/>
      <c r="E575" s="8"/>
      <c r="F575" s="8"/>
      <c r="G575" s="8"/>
      <c r="H575" s="8"/>
      <c r="I575" s="8"/>
      <c r="J575" s="14" t="s">
        <v>471</v>
      </c>
      <c r="K575" s="157"/>
      <c r="L575" s="157"/>
      <c r="M575" s="141"/>
      <c r="N575" s="141"/>
      <c r="O575" s="141"/>
    </row>
    <row r="576" spans="1:15" ht="14.25">
      <c r="A576" s="10" t="s">
        <v>683</v>
      </c>
      <c r="B576" s="10" t="s">
        <v>214</v>
      </c>
      <c r="C576" s="27" t="s">
        <v>215</v>
      </c>
      <c r="D576" s="8" t="s">
        <v>525</v>
      </c>
      <c r="E576" s="8"/>
      <c r="F576" s="8"/>
      <c r="G576" s="8"/>
      <c r="H576" s="8"/>
      <c r="I576" s="8"/>
      <c r="J576" s="160"/>
      <c r="K576" s="157"/>
      <c r="L576" s="157"/>
      <c r="M576" s="141"/>
      <c r="N576" s="141"/>
      <c r="O576" s="141"/>
    </row>
    <row r="577" spans="1:15" ht="14.25">
      <c r="A577" s="10" t="s">
        <v>471</v>
      </c>
      <c r="B577" s="10"/>
      <c r="C577" s="123"/>
      <c r="D577" s="121">
        <v>4</v>
      </c>
      <c r="E577" s="119"/>
      <c r="F577" s="119"/>
      <c r="G577" s="8"/>
      <c r="H577" s="8"/>
      <c r="I577" s="80">
        <v>105</v>
      </c>
      <c r="J577" s="124">
        <f>I577*D577</f>
        <v>420</v>
      </c>
      <c r="K577" s="157"/>
      <c r="L577" s="157"/>
      <c r="M577" s="141"/>
      <c r="N577" s="141"/>
      <c r="O577" s="141"/>
    </row>
    <row r="578" spans="1:15" ht="14.25">
      <c r="A578" s="10"/>
      <c r="B578" s="10"/>
      <c r="C578" s="123"/>
      <c r="D578" s="121"/>
      <c r="E578" s="119"/>
      <c r="F578" s="119"/>
      <c r="G578" s="8"/>
      <c r="H578" s="8"/>
      <c r="I578" s="80"/>
      <c r="J578" s="124"/>
      <c r="K578" s="157"/>
      <c r="L578" s="157"/>
      <c r="M578" s="141"/>
      <c r="N578" s="141"/>
      <c r="O578" s="141"/>
    </row>
    <row r="579" spans="1:15" ht="14.25">
      <c r="A579" s="10"/>
      <c r="B579" s="10"/>
      <c r="C579" s="9"/>
      <c r="D579" s="8"/>
      <c r="E579" s="8"/>
      <c r="F579" s="8"/>
      <c r="G579" s="8"/>
      <c r="H579" s="8"/>
      <c r="I579" s="23" t="s">
        <v>491</v>
      </c>
      <c r="J579" s="32">
        <f>SUM(J577:J578)</f>
        <v>420</v>
      </c>
      <c r="K579" s="157"/>
      <c r="L579" s="157"/>
      <c r="M579" s="141"/>
      <c r="N579" s="141"/>
      <c r="O579" s="141"/>
    </row>
    <row r="580" spans="1:15" ht="14.25">
      <c r="A580" s="10"/>
      <c r="B580" s="10"/>
      <c r="C580" s="9"/>
      <c r="D580" s="8"/>
      <c r="E580" s="8"/>
      <c r="F580" s="8"/>
      <c r="G580" s="8"/>
      <c r="H580" s="8"/>
      <c r="I580" s="23" t="s">
        <v>492</v>
      </c>
      <c r="J580" s="32">
        <f>J579</f>
        <v>420</v>
      </c>
      <c r="K580" s="157"/>
      <c r="L580" s="157"/>
      <c r="M580" s="141"/>
      <c r="N580" s="141"/>
      <c r="O580" s="141"/>
    </row>
    <row r="581" spans="1:15" ht="76.5">
      <c r="A581" s="10" t="s">
        <v>187</v>
      </c>
      <c r="B581" s="91" t="s">
        <v>217</v>
      </c>
      <c r="C581" s="90" t="s">
        <v>218</v>
      </c>
      <c r="D581" s="92"/>
      <c r="E581" s="92"/>
      <c r="F581" s="92"/>
      <c r="G581" s="92"/>
      <c r="H581" s="92"/>
      <c r="I581" s="92"/>
      <c r="J581" s="14"/>
      <c r="K581" s="157"/>
      <c r="L581" s="157"/>
      <c r="M581" s="141"/>
      <c r="N581" s="141"/>
      <c r="O581" s="141"/>
    </row>
    <row r="582" spans="1:15" ht="14.25">
      <c r="A582" s="10"/>
      <c r="B582" s="91" t="s">
        <v>219</v>
      </c>
      <c r="C582" s="90" t="s">
        <v>220</v>
      </c>
      <c r="D582" s="88" t="s">
        <v>518</v>
      </c>
      <c r="E582" s="88"/>
      <c r="F582" s="89" t="s">
        <v>684</v>
      </c>
      <c r="G582" s="88"/>
      <c r="H582" s="88"/>
      <c r="I582" s="88"/>
      <c r="J582" s="87">
        <f>J580</f>
        <v>420</v>
      </c>
      <c r="K582" s="157"/>
      <c r="L582" s="157"/>
      <c r="M582" s="141"/>
      <c r="N582" s="141"/>
      <c r="O582" s="141"/>
    </row>
    <row r="583" spans="1:15" ht="14.25">
      <c r="A583" s="10" t="s">
        <v>471</v>
      </c>
      <c r="B583" s="91"/>
      <c r="C583" s="90"/>
      <c r="D583" s="92"/>
      <c r="E583" s="92"/>
      <c r="F583" s="92"/>
      <c r="G583" s="92"/>
      <c r="H583" s="92"/>
      <c r="I583" s="92"/>
      <c r="J583" s="83"/>
      <c r="K583" s="157"/>
      <c r="L583" s="157"/>
      <c r="M583" s="141"/>
      <c r="N583" s="141"/>
      <c r="O583" s="141"/>
    </row>
    <row r="584" spans="1:15" ht="38.25">
      <c r="A584" s="36" t="s">
        <v>189</v>
      </c>
      <c r="B584" s="91" t="s">
        <v>685</v>
      </c>
      <c r="C584" s="90" t="s">
        <v>686</v>
      </c>
      <c r="D584" s="88" t="s">
        <v>72</v>
      </c>
      <c r="E584" s="88"/>
      <c r="F584" s="89" t="s">
        <v>684</v>
      </c>
      <c r="G584" s="88"/>
      <c r="H584" s="88"/>
      <c r="I584" s="88"/>
      <c r="J584" s="87">
        <f>J580</f>
        <v>420</v>
      </c>
      <c r="K584" s="157"/>
      <c r="L584" s="157"/>
      <c r="M584" s="141"/>
      <c r="N584" s="141"/>
      <c r="O584" s="141"/>
    </row>
    <row r="585" spans="1:15" ht="14.25">
      <c r="A585" s="10" t="s">
        <v>471</v>
      </c>
      <c r="B585" s="36"/>
      <c r="C585" s="66"/>
      <c r="D585" s="24"/>
      <c r="E585" s="24"/>
      <c r="F585" s="24"/>
      <c r="G585" s="24"/>
      <c r="H585" s="24"/>
      <c r="I585" s="24"/>
      <c r="J585" s="23"/>
      <c r="K585" s="157"/>
      <c r="L585" s="157"/>
      <c r="M585" s="141"/>
      <c r="N585" s="141"/>
      <c r="O585" s="141"/>
    </row>
    <row r="586" spans="1:15" ht="89.25">
      <c r="A586" s="10" t="s">
        <v>191</v>
      </c>
      <c r="B586" s="10" t="s">
        <v>223</v>
      </c>
      <c r="C586" s="27" t="s">
        <v>224</v>
      </c>
      <c r="D586" s="18" t="s">
        <v>171</v>
      </c>
      <c r="E586" s="18"/>
      <c r="F586" s="18">
        <v>1</v>
      </c>
      <c r="G586" s="18">
        <v>8</v>
      </c>
      <c r="H586" s="18"/>
      <c r="I586" s="18"/>
      <c r="J586" s="17">
        <f>F586*G586</f>
        <v>8</v>
      </c>
      <c r="K586" s="157" t="s">
        <v>471</v>
      </c>
      <c r="L586" s="157"/>
      <c r="M586" s="141"/>
      <c r="N586" s="141"/>
      <c r="O586" s="141"/>
    </row>
    <row r="587" spans="1:15" ht="14.25">
      <c r="A587" s="10" t="s">
        <v>471</v>
      </c>
      <c r="B587" s="10"/>
      <c r="C587" s="27"/>
      <c r="D587" s="8"/>
      <c r="E587" s="8"/>
      <c r="F587" s="8"/>
      <c r="G587" s="8"/>
      <c r="H587" s="8"/>
      <c r="I587" s="8"/>
      <c r="J587" s="14"/>
      <c r="K587" s="157"/>
      <c r="L587" s="157"/>
      <c r="M587" s="141"/>
      <c r="N587" s="141"/>
      <c r="O587" s="141"/>
    </row>
    <row r="588" spans="1:15" ht="51">
      <c r="A588" s="10" t="s">
        <v>194</v>
      </c>
      <c r="B588" s="83">
        <v>12.41</v>
      </c>
      <c r="C588" s="27" t="s">
        <v>687</v>
      </c>
      <c r="D588" s="68"/>
      <c r="E588" s="68"/>
      <c r="F588" s="68"/>
      <c r="G588" s="68"/>
      <c r="H588" s="68"/>
      <c r="I588" s="68"/>
      <c r="J588" s="83"/>
      <c r="K588" s="157"/>
      <c r="L588" s="157"/>
      <c r="M588" s="141"/>
      <c r="N588" s="141"/>
      <c r="O588" s="141"/>
    </row>
    <row r="589" spans="1:15" ht="14.25">
      <c r="A589" s="10"/>
      <c r="B589" s="83" t="s">
        <v>688</v>
      </c>
      <c r="C589" s="27" t="s">
        <v>689</v>
      </c>
      <c r="D589" s="68"/>
      <c r="E589" s="68"/>
      <c r="F589" s="68"/>
      <c r="G589" s="68"/>
      <c r="H589" s="68"/>
      <c r="I589" s="68"/>
      <c r="J589" s="83"/>
      <c r="K589" s="157"/>
      <c r="L589" s="157"/>
      <c r="M589" s="141"/>
      <c r="N589" s="141"/>
      <c r="O589" s="141"/>
    </row>
    <row r="590" spans="1:15" ht="14.25">
      <c r="A590" s="10"/>
      <c r="B590" s="85" t="s">
        <v>225</v>
      </c>
      <c r="C590" s="84" t="s">
        <v>226</v>
      </c>
      <c r="D590" s="8" t="s">
        <v>650</v>
      </c>
      <c r="E590" s="8"/>
      <c r="F590" s="8">
        <v>8</v>
      </c>
      <c r="G590" s="8">
        <v>10</v>
      </c>
      <c r="H590" s="8"/>
      <c r="I590" s="8"/>
      <c r="J590" s="22">
        <f>F590*G590</f>
        <v>80</v>
      </c>
      <c r="K590" s="157"/>
      <c r="L590" s="157"/>
      <c r="M590" s="141"/>
      <c r="N590" s="141"/>
      <c r="O590" s="141"/>
    </row>
    <row r="591" spans="1:15" ht="14.25">
      <c r="A591" s="10"/>
      <c r="B591" s="85"/>
      <c r="C591" s="86"/>
      <c r="D591" s="8" t="s">
        <v>650</v>
      </c>
      <c r="E591" s="8"/>
      <c r="F591" s="8"/>
      <c r="G591" s="8"/>
      <c r="H591" s="8"/>
      <c r="I591" s="8"/>
      <c r="J591" s="22"/>
      <c r="K591" s="157"/>
      <c r="L591" s="157"/>
      <c r="M591" s="141"/>
      <c r="N591" s="141"/>
      <c r="O591" s="141"/>
    </row>
    <row r="592" spans="1:15" ht="14.25">
      <c r="A592" s="10"/>
      <c r="B592" s="85"/>
      <c r="C592" s="86"/>
      <c r="D592" s="8"/>
      <c r="E592" s="8"/>
      <c r="F592" s="8"/>
      <c r="G592" s="8"/>
      <c r="H592" s="8"/>
      <c r="I592" s="8" t="s">
        <v>491</v>
      </c>
      <c r="J592" s="17">
        <f>SUM(J590:J591)</f>
        <v>80</v>
      </c>
      <c r="K592" s="157"/>
      <c r="L592" s="157"/>
      <c r="M592" s="141"/>
      <c r="N592" s="141"/>
      <c r="O592" s="141"/>
    </row>
    <row r="593" spans="1:15" ht="14.25">
      <c r="A593" s="10" t="s">
        <v>471</v>
      </c>
      <c r="B593" s="85"/>
      <c r="C593" s="86"/>
      <c r="D593" s="8"/>
      <c r="E593" s="8"/>
      <c r="F593" s="8"/>
      <c r="G593" s="8"/>
      <c r="H593" s="8"/>
      <c r="I593" s="8" t="s">
        <v>690</v>
      </c>
      <c r="J593" s="83">
        <f>J592</f>
        <v>80</v>
      </c>
      <c r="K593" s="157"/>
      <c r="L593" s="157"/>
      <c r="M593" s="141"/>
      <c r="N593" s="141"/>
      <c r="O593" s="141"/>
    </row>
    <row r="594" spans="1:15" ht="63.75">
      <c r="A594" s="10" t="s">
        <v>190</v>
      </c>
      <c r="B594" s="83">
        <v>12.42</v>
      </c>
      <c r="C594" s="27" t="s">
        <v>228</v>
      </c>
      <c r="D594" s="68"/>
      <c r="E594" s="68"/>
      <c r="F594" s="68"/>
      <c r="G594" s="68"/>
      <c r="H594" s="68"/>
      <c r="I594" s="68"/>
      <c r="J594" s="83"/>
      <c r="K594" s="157"/>
      <c r="L594" s="157"/>
      <c r="M594" s="141"/>
      <c r="N594" s="141"/>
      <c r="O594" s="141"/>
    </row>
    <row r="595" spans="1:15" ht="14.25">
      <c r="A595" s="10" t="s">
        <v>640</v>
      </c>
      <c r="B595" s="85" t="s">
        <v>229</v>
      </c>
      <c r="C595" s="84" t="s">
        <v>230</v>
      </c>
      <c r="D595" s="68"/>
      <c r="E595" s="68"/>
      <c r="F595" s="68"/>
      <c r="G595" s="68"/>
      <c r="H595" s="68"/>
      <c r="I595" s="68"/>
      <c r="J595" s="83"/>
      <c r="K595" s="157"/>
      <c r="L595" s="157"/>
      <c r="M595" s="141"/>
      <c r="N595" s="141"/>
      <c r="O595" s="141"/>
    </row>
    <row r="596" spans="1:15" ht="14.25">
      <c r="A596" s="10"/>
      <c r="B596" s="85" t="s">
        <v>231</v>
      </c>
      <c r="C596" s="27" t="s">
        <v>232</v>
      </c>
      <c r="D596" s="8" t="s">
        <v>171</v>
      </c>
      <c r="E596" s="8"/>
      <c r="F596" s="8">
        <v>1</v>
      </c>
      <c r="G596" s="8">
        <v>20</v>
      </c>
      <c r="H596" s="8"/>
      <c r="I596" s="8"/>
      <c r="J596" s="17">
        <f>F596*G596</f>
        <v>20</v>
      </c>
      <c r="K596" s="157"/>
      <c r="L596" s="157"/>
      <c r="M596" s="141"/>
      <c r="N596" s="141"/>
      <c r="O596" s="141"/>
    </row>
    <row r="597" spans="1:15" ht="14.25">
      <c r="A597" s="10"/>
      <c r="B597" s="85"/>
      <c r="C597" s="9"/>
      <c r="D597" s="8"/>
      <c r="E597" s="8"/>
      <c r="F597" s="8"/>
      <c r="G597" s="8"/>
      <c r="H597" s="8"/>
      <c r="I597" s="8"/>
      <c r="J597" s="22"/>
      <c r="K597" s="157"/>
      <c r="L597" s="157"/>
      <c r="M597" s="141"/>
      <c r="N597" s="141"/>
      <c r="O597" s="141"/>
    </row>
    <row r="598" spans="1:15" ht="14.25">
      <c r="A598" s="10" t="s">
        <v>643</v>
      </c>
      <c r="B598" s="85" t="s">
        <v>233</v>
      </c>
      <c r="C598" s="27" t="s">
        <v>234</v>
      </c>
      <c r="D598" s="8"/>
      <c r="E598" s="8"/>
      <c r="F598" s="8"/>
      <c r="G598" s="8"/>
      <c r="H598" s="8"/>
      <c r="I598" s="8"/>
      <c r="J598" s="83"/>
      <c r="K598" s="157"/>
      <c r="L598" s="157"/>
      <c r="M598" s="141"/>
      <c r="N598" s="141"/>
      <c r="O598" s="141"/>
    </row>
    <row r="599" spans="1:15" ht="14.25">
      <c r="A599" s="10"/>
      <c r="B599" s="85" t="s">
        <v>235</v>
      </c>
      <c r="C599" s="27" t="s">
        <v>236</v>
      </c>
      <c r="D599" s="8" t="s">
        <v>171</v>
      </c>
      <c r="E599" s="8"/>
      <c r="F599" s="8">
        <v>1</v>
      </c>
      <c r="G599" s="8">
        <v>20</v>
      </c>
      <c r="H599" s="8"/>
      <c r="I599" s="8"/>
      <c r="J599" s="17">
        <f>F599*G599</f>
        <v>20</v>
      </c>
      <c r="K599" s="157"/>
      <c r="L599" s="157"/>
      <c r="M599" s="141"/>
      <c r="N599" s="141"/>
      <c r="O599" s="141"/>
    </row>
    <row r="600" spans="1:15" ht="14.25">
      <c r="A600" s="10"/>
      <c r="B600" s="85"/>
      <c r="C600" s="9"/>
      <c r="D600" s="8"/>
      <c r="E600" s="8"/>
      <c r="F600" s="8"/>
      <c r="G600" s="8"/>
      <c r="H600" s="8"/>
      <c r="I600" s="8"/>
      <c r="J600" s="22"/>
      <c r="K600" s="157"/>
      <c r="L600" s="157"/>
      <c r="M600" s="141"/>
      <c r="N600" s="141"/>
      <c r="O600" s="141"/>
    </row>
    <row r="601" spans="1:15" ht="14.25">
      <c r="A601" s="10" t="s">
        <v>691</v>
      </c>
      <c r="B601" s="85" t="s">
        <v>237</v>
      </c>
      <c r="C601" s="84" t="s">
        <v>238</v>
      </c>
      <c r="D601" s="8"/>
      <c r="E601" s="8"/>
      <c r="F601" s="8"/>
      <c r="G601" s="8"/>
      <c r="H601" s="8"/>
      <c r="I601" s="8"/>
      <c r="J601" s="83"/>
      <c r="K601" s="157"/>
      <c r="L601" s="157"/>
      <c r="M601" s="141"/>
      <c r="N601" s="141"/>
      <c r="O601" s="141"/>
    </row>
    <row r="602" spans="1:15" ht="14.25">
      <c r="A602" s="10"/>
      <c r="B602" s="85" t="s">
        <v>239</v>
      </c>
      <c r="C602" s="84" t="s">
        <v>240</v>
      </c>
      <c r="D602" s="8" t="s">
        <v>171</v>
      </c>
      <c r="E602" s="8"/>
      <c r="F602" s="8">
        <v>1</v>
      </c>
      <c r="G602" s="8">
        <v>20</v>
      </c>
      <c r="H602" s="8"/>
      <c r="I602" s="8"/>
      <c r="J602" s="17">
        <f>F602*G602</f>
        <v>20</v>
      </c>
      <c r="K602" s="157"/>
      <c r="L602" s="157"/>
      <c r="M602" s="141"/>
      <c r="N602" s="141"/>
      <c r="O602" s="141"/>
    </row>
    <row r="603" spans="1:15" ht="14.25">
      <c r="A603" s="10"/>
      <c r="B603" s="85"/>
      <c r="C603" s="86"/>
      <c r="D603" s="8"/>
      <c r="E603" s="8"/>
      <c r="F603" s="8"/>
      <c r="G603" s="8"/>
      <c r="H603" s="8"/>
      <c r="I603" s="8"/>
      <c r="J603" s="22"/>
      <c r="K603" s="157"/>
      <c r="L603" s="157"/>
      <c r="M603" s="141"/>
      <c r="N603" s="141"/>
      <c r="O603" s="141"/>
    </row>
    <row r="604" spans="1:15" ht="14.25">
      <c r="A604" s="10" t="s">
        <v>533</v>
      </c>
      <c r="B604" s="85" t="s">
        <v>241</v>
      </c>
      <c r="C604" s="84" t="s">
        <v>242</v>
      </c>
      <c r="D604" s="8"/>
      <c r="E604" s="8"/>
      <c r="F604" s="8"/>
      <c r="G604" s="8"/>
      <c r="H604" s="8"/>
      <c r="I604" s="8"/>
      <c r="J604" s="83"/>
      <c r="K604" s="157"/>
      <c r="L604" s="157"/>
      <c r="M604" s="141"/>
      <c r="N604" s="141"/>
      <c r="O604" s="141"/>
    </row>
    <row r="605" spans="1:15" ht="14.25">
      <c r="A605" s="10" t="s">
        <v>471</v>
      </c>
      <c r="B605" s="85" t="s">
        <v>243</v>
      </c>
      <c r="C605" s="84" t="s">
        <v>244</v>
      </c>
      <c r="D605" s="8" t="s">
        <v>171</v>
      </c>
      <c r="E605" s="8"/>
      <c r="F605" s="8">
        <v>1</v>
      </c>
      <c r="G605" s="8">
        <v>10</v>
      </c>
      <c r="H605" s="8"/>
      <c r="I605" s="8"/>
      <c r="J605" s="17">
        <f>F605*G605</f>
        <v>10</v>
      </c>
      <c r="K605" s="157"/>
      <c r="L605" s="157"/>
      <c r="M605" s="141"/>
      <c r="N605" s="141"/>
      <c r="O605" s="141"/>
    </row>
    <row r="606" spans="1:15" ht="14.25">
      <c r="A606" s="10"/>
      <c r="B606" s="85"/>
      <c r="C606" s="86"/>
      <c r="D606" s="8"/>
      <c r="E606" s="8"/>
      <c r="F606" s="8"/>
      <c r="G606" s="8"/>
      <c r="H606" s="8"/>
      <c r="I606" s="8"/>
      <c r="J606" s="83"/>
      <c r="K606" s="157"/>
      <c r="L606" s="157"/>
      <c r="M606" s="141"/>
      <c r="N606" s="141"/>
      <c r="O606" s="141"/>
    </row>
    <row r="607" spans="1:15" ht="89.25">
      <c r="A607" s="10" t="s">
        <v>198</v>
      </c>
      <c r="B607" s="83">
        <v>12.43</v>
      </c>
      <c r="C607" s="27" t="s">
        <v>246</v>
      </c>
      <c r="D607" s="8"/>
      <c r="E607" s="8"/>
      <c r="F607" s="8"/>
      <c r="G607" s="8"/>
      <c r="H607" s="8"/>
      <c r="I607" s="8"/>
      <c r="J607" s="83"/>
      <c r="K607" s="157"/>
      <c r="L607" s="157"/>
      <c r="M607" s="141"/>
      <c r="N607" s="141"/>
      <c r="O607" s="141"/>
    </row>
    <row r="608" spans="1:15" ht="14.25">
      <c r="A608" s="10"/>
      <c r="B608" s="83" t="s">
        <v>247</v>
      </c>
      <c r="C608" s="27" t="s">
        <v>232</v>
      </c>
      <c r="D608" s="8" t="s">
        <v>171</v>
      </c>
      <c r="E608" s="8"/>
      <c r="F608" s="8">
        <v>5</v>
      </c>
      <c r="G608" s="8">
        <v>20</v>
      </c>
      <c r="H608" s="8"/>
      <c r="I608" s="8"/>
      <c r="J608" s="17">
        <f>F608*G608</f>
        <v>100</v>
      </c>
      <c r="K608" s="157"/>
      <c r="L608" s="157"/>
      <c r="M608" s="141"/>
      <c r="N608" s="141"/>
      <c r="O608" s="141"/>
    </row>
    <row r="609" spans="1:15" ht="14.25">
      <c r="A609" s="10"/>
      <c r="B609" s="83"/>
      <c r="C609" s="9"/>
      <c r="D609" s="8"/>
      <c r="E609" s="8"/>
      <c r="F609" s="8"/>
      <c r="G609" s="8"/>
      <c r="H609" s="8"/>
      <c r="I609" s="8"/>
      <c r="J609" s="83"/>
      <c r="K609" s="157"/>
      <c r="L609" s="157"/>
      <c r="M609" s="141"/>
      <c r="N609" s="141"/>
      <c r="O609" s="141"/>
    </row>
    <row r="610" spans="1:15" ht="38.25">
      <c r="A610" s="10" t="s">
        <v>202</v>
      </c>
      <c r="B610" s="83">
        <v>12.44</v>
      </c>
      <c r="C610" s="27" t="s">
        <v>249</v>
      </c>
      <c r="D610" s="18" t="s">
        <v>171</v>
      </c>
      <c r="E610" s="18"/>
      <c r="F610" s="18">
        <v>1</v>
      </c>
      <c r="G610" s="18">
        <v>8</v>
      </c>
      <c r="H610" s="18"/>
      <c r="I610" s="18"/>
      <c r="J610" s="17">
        <f>F610*G610</f>
        <v>8</v>
      </c>
      <c r="K610" s="157"/>
      <c r="L610" s="157"/>
      <c r="M610" s="141"/>
      <c r="N610" s="141"/>
      <c r="O610" s="141"/>
    </row>
    <row r="611" spans="1:15" ht="14.25">
      <c r="A611" s="10"/>
      <c r="B611" s="85"/>
      <c r="C611" s="84"/>
      <c r="D611" s="8"/>
      <c r="E611" s="8"/>
      <c r="F611" s="8"/>
      <c r="G611" s="8"/>
      <c r="H611" s="8"/>
      <c r="I611" s="8"/>
      <c r="J611" s="83"/>
      <c r="K611" s="157"/>
      <c r="L611" s="157"/>
      <c r="M611" s="141"/>
      <c r="N611" s="141"/>
      <c r="O611" s="141"/>
    </row>
    <row r="612" spans="1:15" ht="25.5">
      <c r="A612" s="10" t="s">
        <v>205</v>
      </c>
      <c r="B612" s="85">
        <v>18.579999999999998</v>
      </c>
      <c r="C612" s="136" t="s">
        <v>692</v>
      </c>
      <c r="D612" s="8"/>
      <c r="E612" s="8"/>
      <c r="F612" s="8"/>
      <c r="G612" s="8"/>
      <c r="H612" s="8"/>
      <c r="I612" s="8"/>
      <c r="J612" s="83"/>
      <c r="K612" s="157"/>
      <c r="L612" s="157"/>
      <c r="M612" s="141"/>
      <c r="N612" s="141"/>
      <c r="O612" s="141"/>
    </row>
    <row r="613" spans="1:15" ht="38.25">
      <c r="A613" s="10"/>
      <c r="B613" s="85"/>
      <c r="C613" s="136" t="s">
        <v>693</v>
      </c>
      <c r="D613" s="18" t="s">
        <v>171</v>
      </c>
      <c r="E613" s="18"/>
      <c r="F613" s="18">
        <v>1</v>
      </c>
      <c r="G613" s="18">
        <v>8</v>
      </c>
      <c r="H613" s="18"/>
      <c r="I613" s="18"/>
      <c r="J613" s="17">
        <f>F613*G613</f>
        <v>8</v>
      </c>
      <c r="K613" s="157"/>
      <c r="L613" s="157"/>
      <c r="M613" s="141"/>
      <c r="N613" s="141"/>
      <c r="O613" s="141"/>
    </row>
    <row r="614" spans="1:15" ht="14.25">
      <c r="A614" s="10"/>
      <c r="B614" s="85"/>
      <c r="C614" s="84"/>
      <c r="D614" s="8"/>
      <c r="E614" s="8"/>
      <c r="F614" s="8"/>
      <c r="G614" s="8"/>
      <c r="H614" s="8"/>
      <c r="I614" s="8"/>
      <c r="J614" s="83"/>
      <c r="K614" s="157"/>
      <c r="L614" s="157"/>
      <c r="M614" s="141"/>
      <c r="N614" s="141"/>
      <c r="O614" s="141"/>
    </row>
    <row r="615" spans="1:15" ht="14.25">
      <c r="A615" s="10"/>
      <c r="B615" s="85"/>
      <c r="C615" s="84"/>
      <c r="D615" s="8"/>
      <c r="E615" s="8"/>
      <c r="F615" s="8"/>
      <c r="G615" s="8"/>
      <c r="H615" s="8"/>
      <c r="I615" s="8"/>
      <c r="J615" s="83"/>
      <c r="K615" s="157"/>
      <c r="L615" s="157"/>
      <c r="M615" s="141"/>
      <c r="N615" s="141"/>
      <c r="O615" s="141"/>
    </row>
    <row r="616" spans="1:15" ht="14.25">
      <c r="A616" s="10" t="s">
        <v>207</v>
      </c>
      <c r="B616" s="10" t="s">
        <v>251</v>
      </c>
      <c r="C616" s="66" t="s">
        <v>694</v>
      </c>
      <c r="D616" s="8"/>
      <c r="E616" s="8"/>
      <c r="F616" s="8"/>
      <c r="G616" s="8"/>
      <c r="H616" s="8"/>
      <c r="I616" s="8"/>
      <c r="J616" s="14"/>
      <c r="K616" s="157" t="s">
        <v>695</v>
      </c>
      <c r="L616" s="157"/>
      <c r="M616" s="141"/>
      <c r="N616" s="141"/>
      <c r="O616" s="141"/>
    </row>
    <row r="617" spans="1:15" ht="14.25">
      <c r="A617" s="10"/>
      <c r="B617" s="10" t="s">
        <v>252</v>
      </c>
      <c r="C617" s="27" t="s">
        <v>253</v>
      </c>
      <c r="D617" s="8" t="s">
        <v>525</v>
      </c>
      <c r="E617" s="8"/>
      <c r="F617" s="8"/>
      <c r="G617" s="8"/>
      <c r="H617" s="8"/>
      <c r="I617" s="8"/>
      <c r="J617" s="14" t="s">
        <v>471</v>
      </c>
      <c r="K617" s="157" t="s">
        <v>471</v>
      </c>
      <c r="L617" s="157"/>
      <c r="M617" s="141"/>
      <c r="N617" s="141"/>
      <c r="O617" s="141"/>
    </row>
    <row r="618" spans="1:15" ht="14.25">
      <c r="A618" s="10"/>
      <c r="B618" s="136"/>
      <c r="C618" s="136" t="s">
        <v>696</v>
      </c>
      <c r="D618" s="136">
        <v>4</v>
      </c>
      <c r="E618" s="136"/>
      <c r="F618" s="136"/>
      <c r="G618" s="136"/>
      <c r="H618" s="136"/>
      <c r="I618" s="136">
        <f>104.76+3.2+3.2+3.15+3.62</f>
        <v>117.93000000000002</v>
      </c>
      <c r="J618" s="136">
        <f>I618*D618</f>
        <v>471.72000000000008</v>
      </c>
      <c r="K618" s="157"/>
      <c r="L618" s="157"/>
      <c r="M618" s="141"/>
      <c r="N618" s="141"/>
      <c r="O618" s="141"/>
    </row>
    <row r="619" spans="1:15" ht="14.25">
      <c r="A619" s="10"/>
      <c r="B619" s="136"/>
      <c r="C619" s="136" t="s">
        <v>697</v>
      </c>
      <c r="D619" s="136"/>
      <c r="E619" s="136"/>
      <c r="F619" s="136"/>
      <c r="G619" s="136"/>
      <c r="H619" s="136"/>
      <c r="I619" s="136"/>
      <c r="J619" s="136">
        <v>276</v>
      </c>
      <c r="K619" s="157"/>
      <c r="L619" s="157"/>
      <c r="M619" s="141"/>
      <c r="N619" s="141"/>
      <c r="O619" s="141"/>
    </row>
    <row r="620" spans="1:15" ht="14.25">
      <c r="A620" s="10"/>
      <c r="B620" s="136"/>
      <c r="C620" s="136" t="s">
        <v>698</v>
      </c>
      <c r="D620" s="136">
        <v>1</v>
      </c>
      <c r="E620" s="136">
        <v>3.15</v>
      </c>
      <c r="F620" s="136">
        <v>6.5</v>
      </c>
      <c r="G620" s="136"/>
      <c r="H620" s="136"/>
      <c r="I620" s="136"/>
      <c r="J620" s="136">
        <f>F620*E620*D620</f>
        <v>20.474999999999998</v>
      </c>
      <c r="K620" s="157"/>
      <c r="L620" s="157"/>
      <c r="M620" s="141"/>
      <c r="N620" s="141"/>
      <c r="O620" s="141"/>
    </row>
    <row r="621" spans="1:15" ht="14.25">
      <c r="A621" s="10"/>
      <c r="B621" s="136"/>
      <c r="C621" s="136" t="s">
        <v>699</v>
      </c>
      <c r="D621" s="136">
        <v>6</v>
      </c>
      <c r="E621" s="136">
        <v>3.15</v>
      </c>
      <c r="F621" s="136">
        <v>1.5</v>
      </c>
      <c r="G621" s="136"/>
      <c r="H621" s="136"/>
      <c r="I621" s="136"/>
      <c r="J621" s="136">
        <f>F621*E621*D621</f>
        <v>28.349999999999998</v>
      </c>
      <c r="K621" s="157"/>
      <c r="L621" s="157"/>
      <c r="M621" s="141"/>
      <c r="N621" s="141"/>
      <c r="O621" s="141"/>
    </row>
    <row r="622" spans="1:15" ht="14.25">
      <c r="A622" s="10"/>
      <c r="B622" s="136"/>
      <c r="C622" s="136" t="s">
        <v>700</v>
      </c>
      <c r="D622" s="136">
        <v>6</v>
      </c>
      <c r="E622" s="136">
        <v>3.15</v>
      </c>
      <c r="F622" s="136">
        <v>0.3</v>
      </c>
      <c r="G622" s="136"/>
      <c r="H622" s="136"/>
      <c r="I622" s="136"/>
      <c r="J622" s="136">
        <f>F622*E622*D622</f>
        <v>5.67</v>
      </c>
      <c r="K622" s="157"/>
      <c r="L622" s="157"/>
      <c r="M622" s="141"/>
      <c r="N622" s="141"/>
      <c r="O622" s="141"/>
    </row>
    <row r="623" spans="1:15" ht="14.25">
      <c r="A623" s="10"/>
      <c r="B623" s="136"/>
      <c r="C623" s="136"/>
      <c r="D623" s="136"/>
      <c r="E623" s="136"/>
      <c r="F623" s="136"/>
      <c r="G623" s="136"/>
      <c r="H623" s="136"/>
      <c r="I623" s="136"/>
      <c r="J623" s="136"/>
      <c r="K623" s="157"/>
      <c r="L623" s="157"/>
      <c r="M623" s="141"/>
      <c r="N623" s="141"/>
      <c r="O623" s="141"/>
    </row>
    <row r="624" spans="1:15" ht="14.25">
      <c r="A624" s="10" t="s">
        <v>471</v>
      </c>
      <c r="B624" s="10"/>
      <c r="C624" s="9"/>
      <c r="D624" s="8"/>
      <c r="E624" s="8"/>
      <c r="F624" s="8"/>
      <c r="G624" s="8"/>
      <c r="H624" s="8"/>
      <c r="I624" s="24" t="s">
        <v>492</v>
      </c>
      <c r="J624" s="23">
        <f>SUM(J618:J622)</f>
        <v>802.21500000000003</v>
      </c>
      <c r="K624" s="162"/>
      <c r="L624" s="157"/>
      <c r="M624" s="141"/>
      <c r="N624" s="141"/>
      <c r="O624" s="141"/>
    </row>
    <row r="625" spans="1:15" ht="25.5">
      <c r="A625" s="10" t="s">
        <v>209</v>
      </c>
      <c r="B625" s="10" t="s">
        <v>255</v>
      </c>
      <c r="C625" s="27" t="s">
        <v>701</v>
      </c>
      <c r="D625" s="8"/>
      <c r="E625" s="8"/>
      <c r="F625" s="8"/>
      <c r="G625" s="8"/>
      <c r="H625" s="8"/>
      <c r="I625" s="8"/>
      <c r="J625" s="14"/>
      <c r="K625" s="157"/>
      <c r="L625" s="157"/>
      <c r="M625" s="141"/>
      <c r="N625" s="141"/>
      <c r="O625" s="141"/>
    </row>
    <row r="626" spans="1:15" ht="14.25">
      <c r="A626" s="10"/>
      <c r="B626" s="10" t="s">
        <v>256</v>
      </c>
      <c r="C626" s="27" t="s">
        <v>257</v>
      </c>
      <c r="D626" s="8" t="s">
        <v>702</v>
      </c>
      <c r="E626" s="8"/>
      <c r="F626" s="8"/>
      <c r="G626" s="8"/>
      <c r="H626" s="8"/>
      <c r="I626" s="8"/>
      <c r="J626" s="159" t="s">
        <v>471</v>
      </c>
      <c r="K626" s="157"/>
      <c r="L626" s="157"/>
      <c r="M626" s="141"/>
      <c r="N626" s="141"/>
      <c r="O626" s="141"/>
    </row>
    <row r="627" spans="1:15" ht="14.25">
      <c r="A627" s="10"/>
      <c r="B627" s="10"/>
      <c r="C627" s="123" t="s">
        <v>703</v>
      </c>
      <c r="D627" s="125">
        <v>32</v>
      </c>
      <c r="E627" s="203">
        <f>0.6+0.3+0.3+0.6</f>
        <v>1.7999999999999998</v>
      </c>
      <c r="F627" s="203"/>
      <c r="G627" s="203">
        <v>3.15</v>
      </c>
      <c r="H627" s="203"/>
      <c r="I627" s="203"/>
      <c r="J627" s="200">
        <f>G627*E627*D627</f>
        <v>181.43999999999997</v>
      </c>
      <c r="K627" s="129"/>
      <c r="M627" s="130"/>
      <c r="N627" s="141"/>
      <c r="O627" s="141"/>
    </row>
    <row r="628" spans="1:15" ht="14.25">
      <c r="A628" s="10"/>
      <c r="B628" s="10"/>
      <c r="C628" s="123" t="s">
        <v>704</v>
      </c>
      <c r="D628" s="119">
        <v>2</v>
      </c>
      <c r="E628" s="202">
        <v>6.32</v>
      </c>
      <c r="F628" s="202"/>
      <c r="G628" s="202">
        <v>3.15</v>
      </c>
      <c r="H628" s="202"/>
      <c r="I628" s="119"/>
      <c r="J628" s="200">
        <f>G628*E628*D628</f>
        <v>39.816000000000003</v>
      </c>
      <c r="K628" s="120"/>
      <c r="M628" s="130"/>
      <c r="N628" s="141"/>
      <c r="O628" s="141"/>
    </row>
    <row r="629" spans="1:15" ht="14.25">
      <c r="A629" s="10"/>
      <c r="B629" s="10"/>
      <c r="C629" s="123"/>
      <c r="D629" s="121">
        <v>2</v>
      </c>
      <c r="E629" s="201">
        <v>3.15</v>
      </c>
      <c r="F629" s="201"/>
      <c r="G629" s="119">
        <v>1.1499999999999999</v>
      </c>
      <c r="H629" s="119"/>
      <c r="I629" s="119"/>
      <c r="J629" s="200">
        <f>G629*E629*D629</f>
        <v>7.2449999999999992</v>
      </c>
      <c r="K629" s="120"/>
      <c r="M629" s="130"/>
      <c r="N629" s="141"/>
      <c r="O629" s="141"/>
    </row>
    <row r="630" spans="1:15" ht="14.25">
      <c r="A630" s="10"/>
      <c r="B630" s="10"/>
      <c r="C630" s="123" t="s">
        <v>625</v>
      </c>
      <c r="D630" s="121"/>
      <c r="E630" s="119"/>
      <c r="F630" s="119"/>
      <c r="G630" s="119"/>
      <c r="H630" s="119"/>
      <c r="I630" s="123"/>
      <c r="J630" s="199"/>
      <c r="K630" s="198"/>
      <c r="M630" s="130"/>
      <c r="N630" s="141"/>
      <c r="O630" s="141"/>
    </row>
    <row r="631" spans="1:15" ht="14.25">
      <c r="A631" s="10"/>
      <c r="B631" s="10"/>
      <c r="C631" s="191" t="s">
        <v>705</v>
      </c>
      <c r="D631" s="197"/>
      <c r="E631" s="196"/>
      <c r="F631" s="196"/>
      <c r="G631" s="196"/>
      <c r="H631" s="196"/>
      <c r="I631" s="196"/>
      <c r="J631" s="195"/>
      <c r="K631" s="183"/>
      <c r="M631" s="193"/>
      <c r="N631" s="141"/>
      <c r="O631" s="141"/>
    </row>
    <row r="632" spans="1:15" ht="14.25">
      <c r="A632" s="10"/>
      <c r="B632" s="10"/>
      <c r="C632" s="191" t="s">
        <v>706</v>
      </c>
      <c r="D632" s="190">
        <v>2</v>
      </c>
      <c r="E632" s="190">
        <v>4.5</v>
      </c>
      <c r="F632" s="190"/>
      <c r="G632" s="190"/>
      <c r="H632" s="190">
        <v>3</v>
      </c>
      <c r="I632" s="190"/>
      <c r="J632" s="189">
        <f>H632*E632*D632</f>
        <v>27</v>
      </c>
      <c r="K632" s="183"/>
      <c r="M632" s="183"/>
      <c r="N632" s="141"/>
      <c r="O632" s="141"/>
    </row>
    <row r="633" spans="1:15" ht="14.25">
      <c r="A633" s="10"/>
      <c r="B633" s="10"/>
      <c r="C633" s="190" t="s">
        <v>707</v>
      </c>
      <c r="D633" s="190"/>
      <c r="E633" s="190"/>
      <c r="F633" s="190"/>
      <c r="G633" s="190"/>
      <c r="H633" s="190"/>
      <c r="I633" s="190"/>
      <c r="J633" s="189"/>
      <c r="K633" s="183"/>
      <c r="M633" s="183"/>
      <c r="N633" s="141"/>
      <c r="O633" s="141"/>
    </row>
    <row r="634" spans="1:15" ht="15">
      <c r="A634" s="10"/>
      <c r="B634" s="10"/>
      <c r="C634" s="192" t="s">
        <v>708</v>
      </c>
      <c r="D634" s="190">
        <v>-1</v>
      </c>
      <c r="E634" s="190">
        <v>1.2</v>
      </c>
      <c r="F634" s="190"/>
      <c r="G634"/>
      <c r="H634" s="190">
        <v>1.5</v>
      </c>
      <c r="I634" s="190"/>
      <c r="J634" s="189">
        <f>H634*E634*D634</f>
        <v>-1.7999999999999998</v>
      </c>
      <c r="K634" s="183"/>
      <c r="M634" s="183"/>
      <c r="N634" s="141"/>
      <c r="O634" s="141"/>
    </row>
    <row r="635" spans="1:15" ht="14.25">
      <c r="A635" s="10"/>
      <c r="B635" s="10"/>
      <c r="C635" s="192" t="s">
        <v>709</v>
      </c>
      <c r="D635" s="190">
        <v>-2</v>
      </c>
      <c r="E635" s="190">
        <v>0.9</v>
      </c>
      <c r="F635" s="190"/>
      <c r="G635" s="190"/>
      <c r="H635" s="190">
        <v>2.1</v>
      </c>
      <c r="I635" s="190"/>
      <c r="J635" s="189">
        <f>H635*E635*D635</f>
        <v>-3.7800000000000002</v>
      </c>
      <c r="K635" s="183"/>
      <c r="M635" s="183"/>
      <c r="N635" s="141"/>
      <c r="O635" s="141"/>
    </row>
    <row r="636" spans="1:15" ht="14.25">
      <c r="A636" s="10"/>
      <c r="B636" s="10"/>
      <c r="C636" s="191" t="s">
        <v>710</v>
      </c>
      <c r="D636" s="190">
        <v>2</v>
      </c>
      <c r="E636" s="190"/>
      <c r="F636" s="190"/>
      <c r="G636" s="190">
        <v>3.6</v>
      </c>
      <c r="H636" s="190">
        <v>3</v>
      </c>
      <c r="I636" s="190"/>
      <c r="J636" s="189">
        <f>D636*G636*H636</f>
        <v>21.6</v>
      </c>
      <c r="K636" s="183"/>
      <c r="M636" s="183"/>
      <c r="N636" s="141"/>
      <c r="O636" s="141"/>
    </row>
    <row r="637" spans="1:15" ht="14.25">
      <c r="A637" s="10"/>
      <c r="B637" s="10"/>
      <c r="C637" s="190" t="s">
        <v>707</v>
      </c>
      <c r="D637" s="190"/>
      <c r="E637" s="190"/>
      <c r="F637" s="190"/>
      <c r="G637" s="190"/>
      <c r="H637" s="190"/>
      <c r="I637" s="190"/>
      <c r="J637" s="189"/>
      <c r="K637" s="183"/>
      <c r="M637" s="183"/>
      <c r="N637" s="141"/>
      <c r="O637" s="141"/>
    </row>
    <row r="638" spans="1:15" ht="15">
      <c r="A638" s="10"/>
      <c r="B638" s="10"/>
      <c r="C638" s="192" t="s">
        <v>708</v>
      </c>
      <c r="D638" s="190">
        <v>-1</v>
      </c>
      <c r="E638" s="190">
        <v>0.9</v>
      </c>
      <c r="F638" s="190"/>
      <c r="G638"/>
      <c r="H638" s="190">
        <v>1.5</v>
      </c>
      <c r="I638" s="190"/>
      <c r="J638" s="189">
        <f>H638*E638*D638</f>
        <v>-1.35</v>
      </c>
      <c r="K638" s="183"/>
      <c r="M638" s="183"/>
      <c r="N638" s="141"/>
      <c r="O638" s="141"/>
    </row>
    <row r="639" spans="1:15" ht="15">
      <c r="A639" s="10"/>
      <c r="B639" s="10"/>
      <c r="C639" s="194" t="s">
        <v>711</v>
      </c>
      <c r="D639" s="190"/>
      <c r="E639" s="190"/>
      <c r="F639" s="190"/>
      <c r="G639" s="190"/>
      <c r="H639" s="190"/>
      <c r="I639" s="190"/>
      <c r="J639" s="189"/>
      <c r="K639" s="183"/>
      <c r="M639" s="193"/>
      <c r="N639" s="141"/>
      <c r="O639" s="141"/>
    </row>
    <row r="640" spans="1:15" ht="14.25">
      <c r="A640" s="10"/>
      <c r="B640" s="10"/>
      <c r="C640" s="191" t="s">
        <v>706</v>
      </c>
      <c r="D640" s="190">
        <v>2</v>
      </c>
      <c r="E640" s="190">
        <v>4.5999999999999996</v>
      </c>
      <c r="F640" s="190"/>
      <c r="G640" s="190"/>
      <c r="H640" s="190">
        <v>3</v>
      </c>
      <c r="I640" s="190"/>
      <c r="J640" s="189">
        <f>H640*E640*D640</f>
        <v>27.599999999999998</v>
      </c>
      <c r="K640" s="183"/>
      <c r="M640" s="183"/>
      <c r="N640" s="141"/>
      <c r="O640" s="141"/>
    </row>
    <row r="641" spans="1:15" ht="14.25">
      <c r="A641" s="10"/>
      <c r="B641" s="10"/>
      <c r="C641" s="190" t="s">
        <v>707</v>
      </c>
      <c r="D641" s="190"/>
      <c r="E641" s="190"/>
      <c r="F641" s="190"/>
      <c r="G641" s="190"/>
      <c r="H641" s="190"/>
      <c r="I641" s="190"/>
      <c r="J641" s="189"/>
      <c r="K641" s="183"/>
      <c r="M641" s="183"/>
      <c r="N641" s="141"/>
      <c r="O641" s="141"/>
    </row>
    <row r="642" spans="1:15" ht="15">
      <c r="A642" s="10"/>
      <c r="B642" s="10"/>
      <c r="C642" s="192" t="s">
        <v>708</v>
      </c>
      <c r="D642" s="190">
        <v>-1</v>
      </c>
      <c r="E642" s="190">
        <v>1.2</v>
      </c>
      <c r="F642" s="190"/>
      <c r="G642"/>
      <c r="H642" s="190">
        <v>1.5</v>
      </c>
      <c r="I642" s="190"/>
      <c r="J642" s="189">
        <f>H642*E642*D642</f>
        <v>-1.7999999999999998</v>
      </c>
      <c r="K642" s="183"/>
      <c r="M642" s="183"/>
      <c r="N642" s="141"/>
      <c r="O642" s="141"/>
    </row>
    <row r="643" spans="1:15" ht="14.25">
      <c r="A643" s="10"/>
      <c r="B643" s="10"/>
      <c r="C643" s="192" t="s">
        <v>709</v>
      </c>
      <c r="D643" s="190">
        <v>-2</v>
      </c>
      <c r="E643" s="190">
        <v>0.9</v>
      </c>
      <c r="F643" s="190"/>
      <c r="G643" s="190"/>
      <c r="H643" s="190">
        <v>2.1</v>
      </c>
      <c r="I643" s="190"/>
      <c r="J643" s="189">
        <f>H643*E643*D643</f>
        <v>-3.7800000000000002</v>
      </c>
      <c r="K643" s="183"/>
      <c r="M643" s="183"/>
      <c r="N643" s="141"/>
      <c r="O643" s="141"/>
    </row>
    <row r="644" spans="1:15" ht="14.25">
      <c r="A644" s="10"/>
      <c r="B644" s="10"/>
      <c r="C644" s="191" t="s">
        <v>710</v>
      </c>
      <c r="D644" s="190">
        <v>2</v>
      </c>
      <c r="E644" s="190"/>
      <c r="F644" s="190"/>
      <c r="G644" s="190">
        <v>3.3</v>
      </c>
      <c r="H644" s="190">
        <v>3</v>
      </c>
      <c r="I644" s="190"/>
      <c r="J644" s="189">
        <f>H644*G644*D644</f>
        <v>19.799999999999997</v>
      </c>
      <c r="K644" s="183"/>
      <c r="M644" s="183"/>
      <c r="N644" s="141"/>
      <c r="O644" s="141"/>
    </row>
    <row r="645" spans="1:15" ht="14.25">
      <c r="A645" s="10"/>
      <c r="B645" s="10"/>
      <c r="C645" s="190" t="s">
        <v>707</v>
      </c>
      <c r="D645" s="190"/>
      <c r="E645" s="190"/>
      <c r="F645" s="190"/>
      <c r="G645" s="190"/>
      <c r="H645" s="190"/>
      <c r="I645" s="190"/>
      <c r="J645" s="189"/>
      <c r="K645" s="183"/>
      <c r="M645" s="183"/>
      <c r="N645" s="141"/>
      <c r="O645" s="141"/>
    </row>
    <row r="646" spans="1:15" ht="15">
      <c r="A646" s="10"/>
      <c r="B646" s="10"/>
      <c r="C646" s="192" t="s">
        <v>708</v>
      </c>
      <c r="D646" s="190">
        <v>-1</v>
      </c>
      <c r="E646" s="190">
        <v>0.7</v>
      </c>
      <c r="F646" s="190"/>
      <c r="G646"/>
      <c r="H646" s="190">
        <v>1.5</v>
      </c>
      <c r="I646" s="190"/>
      <c r="J646" s="189">
        <f>H646*E646*D646</f>
        <v>-1.0499999999999998</v>
      </c>
      <c r="K646" s="183"/>
      <c r="M646" s="183"/>
      <c r="N646" s="141"/>
      <c r="O646" s="141"/>
    </row>
    <row r="647" spans="1:15" ht="14.25">
      <c r="A647" s="10"/>
      <c r="B647" s="10"/>
      <c r="C647" s="191" t="s">
        <v>712</v>
      </c>
      <c r="D647" s="190"/>
      <c r="E647" s="190"/>
      <c r="F647" s="190"/>
      <c r="G647" s="190"/>
      <c r="H647" s="190"/>
      <c r="I647" s="190"/>
      <c r="J647" s="189"/>
      <c r="K647" s="183"/>
      <c r="M647" s="183"/>
      <c r="N647" s="141"/>
      <c r="O647" s="141"/>
    </row>
    <row r="648" spans="1:15" ht="14.25">
      <c r="A648" s="10"/>
      <c r="B648" s="10"/>
      <c r="C648" s="191" t="s">
        <v>706</v>
      </c>
      <c r="D648" s="190">
        <v>2</v>
      </c>
      <c r="E648" s="190">
        <v>3.6</v>
      </c>
      <c r="F648" s="190"/>
      <c r="G648" s="190"/>
      <c r="H648" s="190">
        <v>3</v>
      </c>
      <c r="I648" s="190"/>
      <c r="J648" s="189">
        <f>H648*E648*D648</f>
        <v>21.6</v>
      </c>
      <c r="K648" s="183"/>
      <c r="M648" s="183"/>
      <c r="N648" s="141"/>
      <c r="O648" s="141"/>
    </row>
    <row r="649" spans="1:15" ht="14.25">
      <c r="A649" s="10"/>
      <c r="B649" s="10"/>
      <c r="C649" s="190" t="s">
        <v>707</v>
      </c>
      <c r="D649" s="190"/>
      <c r="E649" s="190"/>
      <c r="F649" s="190"/>
      <c r="G649" s="190"/>
      <c r="H649" s="190"/>
      <c r="I649" s="190"/>
      <c r="J649" s="189"/>
      <c r="K649" s="183"/>
      <c r="M649" s="183"/>
      <c r="N649" s="141"/>
      <c r="O649" s="141"/>
    </row>
    <row r="650" spans="1:15" ht="15">
      <c r="A650" s="10"/>
      <c r="B650" s="10"/>
      <c r="C650" s="192" t="s">
        <v>708</v>
      </c>
      <c r="D650" s="190">
        <v>-1</v>
      </c>
      <c r="E650" s="190">
        <v>1.5</v>
      </c>
      <c r="F650" s="190"/>
      <c r="G650"/>
      <c r="H650" s="190">
        <v>1.5</v>
      </c>
      <c r="I650" s="190"/>
      <c r="J650" s="189">
        <f>H650*E650*D650</f>
        <v>-2.25</v>
      </c>
      <c r="K650" s="183"/>
      <c r="M650" s="183"/>
      <c r="N650" s="141"/>
      <c r="O650" s="141"/>
    </row>
    <row r="651" spans="1:15" ht="14.25">
      <c r="A651" s="10"/>
      <c r="B651" s="10"/>
      <c r="C651" s="192" t="s">
        <v>709</v>
      </c>
      <c r="D651" s="190">
        <v>-1</v>
      </c>
      <c r="E651" s="190">
        <v>0.9</v>
      </c>
      <c r="F651" s="190"/>
      <c r="G651" s="190"/>
      <c r="H651" s="190">
        <v>2.1</v>
      </c>
      <c r="I651" s="190"/>
      <c r="J651" s="189">
        <f>H651*E651*D651</f>
        <v>-1.8900000000000001</v>
      </c>
      <c r="K651" s="183"/>
      <c r="M651" s="183"/>
      <c r="N651" s="141"/>
      <c r="O651" s="141"/>
    </row>
    <row r="652" spans="1:15" ht="14.25">
      <c r="A652" s="10"/>
      <c r="B652" s="10"/>
      <c r="C652" s="191" t="s">
        <v>710</v>
      </c>
      <c r="D652" s="190">
        <v>2</v>
      </c>
      <c r="E652" s="190"/>
      <c r="F652" s="190"/>
      <c r="G652" s="190">
        <v>3</v>
      </c>
      <c r="H652" s="190">
        <v>3</v>
      </c>
      <c r="I652" s="190"/>
      <c r="J652" s="189">
        <f>D652*G652*H652</f>
        <v>18</v>
      </c>
      <c r="K652" s="183"/>
      <c r="M652" s="183"/>
      <c r="N652" s="141"/>
      <c r="O652" s="141"/>
    </row>
    <row r="653" spans="1:15" ht="14.25">
      <c r="A653" s="10"/>
      <c r="B653" s="10"/>
      <c r="C653" s="190" t="s">
        <v>707</v>
      </c>
      <c r="D653" s="190"/>
      <c r="E653" s="190"/>
      <c r="F653" s="190"/>
      <c r="G653" s="190"/>
      <c r="H653" s="190"/>
      <c r="I653" s="190"/>
      <c r="J653" s="189"/>
      <c r="K653" s="183"/>
      <c r="M653" s="183"/>
      <c r="N653" s="141"/>
      <c r="O653" s="141"/>
    </row>
    <row r="654" spans="1:15" ht="15">
      <c r="A654" s="10"/>
      <c r="B654" s="10"/>
      <c r="C654" s="192" t="s">
        <v>709</v>
      </c>
      <c r="D654" s="190">
        <v>-1</v>
      </c>
      <c r="E654" s="190">
        <v>0.7</v>
      </c>
      <c r="F654" s="190"/>
      <c r="G654"/>
      <c r="H654" s="190">
        <v>2.1</v>
      </c>
      <c r="I654" s="190"/>
      <c r="J654" s="189">
        <f>H654*E654*D654</f>
        <v>-1.47</v>
      </c>
      <c r="K654" s="183"/>
      <c r="M654" s="183"/>
      <c r="N654" s="141"/>
      <c r="O654" s="141"/>
    </row>
    <row r="655" spans="1:15" ht="14.25">
      <c r="A655" s="10"/>
      <c r="B655" s="10"/>
      <c r="C655" s="191" t="s">
        <v>713</v>
      </c>
      <c r="D655" s="190"/>
      <c r="E655" s="190"/>
      <c r="F655" s="190"/>
      <c r="G655" s="190"/>
      <c r="H655" s="190"/>
      <c r="I655" s="190"/>
      <c r="J655" s="189"/>
      <c r="K655" s="183"/>
      <c r="M655" s="183"/>
      <c r="N655" s="141"/>
      <c r="O655" s="141"/>
    </row>
    <row r="656" spans="1:15" ht="14.25">
      <c r="A656" s="10"/>
      <c r="B656" s="10"/>
      <c r="C656" s="191" t="s">
        <v>706</v>
      </c>
      <c r="D656" s="190">
        <v>2</v>
      </c>
      <c r="E656" s="190">
        <v>6.68</v>
      </c>
      <c r="F656" s="190"/>
      <c r="G656" s="190"/>
      <c r="H656" s="190">
        <v>3</v>
      </c>
      <c r="I656" s="190"/>
      <c r="J656" s="189">
        <f>H656*E656*D656</f>
        <v>40.08</v>
      </c>
      <c r="K656" s="183"/>
      <c r="M656" s="183"/>
      <c r="N656" s="141"/>
      <c r="O656" s="141"/>
    </row>
    <row r="657" spans="1:15" ht="14.25">
      <c r="A657" s="10"/>
      <c r="B657" s="10"/>
      <c r="C657" s="190" t="s">
        <v>707</v>
      </c>
      <c r="D657" s="190"/>
      <c r="E657" s="190"/>
      <c r="F657" s="190"/>
      <c r="G657" s="190"/>
      <c r="H657" s="190"/>
      <c r="I657" s="190"/>
      <c r="J657" s="189"/>
      <c r="K657" s="183"/>
      <c r="M657" s="183"/>
      <c r="N657" s="141"/>
      <c r="O657" s="141"/>
    </row>
    <row r="658" spans="1:15" ht="14.25">
      <c r="A658" s="10"/>
      <c r="B658" s="10"/>
      <c r="C658" s="192" t="s">
        <v>714</v>
      </c>
      <c r="D658" s="190">
        <v>-1</v>
      </c>
      <c r="E658" s="190">
        <v>0.9</v>
      </c>
      <c r="F658" s="190"/>
      <c r="G658" s="190"/>
      <c r="H658" s="190">
        <v>3</v>
      </c>
      <c r="I658" s="190"/>
      <c r="J658" s="189">
        <f>H658*E658*D658</f>
        <v>-2.7</v>
      </c>
      <c r="K658" s="183"/>
      <c r="M658" s="183"/>
      <c r="N658" s="141"/>
      <c r="O658" s="141"/>
    </row>
    <row r="659" spans="1:15" ht="15">
      <c r="A659" s="10"/>
      <c r="B659" s="10"/>
      <c r="C659" s="192" t="s">
        <v>708</v>
      </c>
      <c r="D659" s="190">
        <v>-1</v>
      </c>
      <c r="E659" s="190">
        <v>1.5</v>
      </c>
      <c r="F659" s="190"/>
      <c r="G659"/>
      <c r="H659" s="190">
        <v>1.5</v>
      </c>
      <c r="I659" s="190"/>
      <c r="J659" s="189">
        <f>H659*E659*D659</f>
        <v>-2.25</v>
      </c>
      <c r="K659" s="183"/>
      <c r="M659" s="183"/>
      <c r="N659" s="141"/>
      <c r="O659" s="141"/>
    </row>
    <row r="660" spans="1:15" ht="14.25">
      <c r="A660" s="10"/>
      <c r="B660" s="10"/>
      <c r="C660" s="192" t="s">
        <v>709</v>
      </c>
      <c r="D660" s="190">
        <v>-1</v>
      </c>
      <c r="E660" s="190">
        <v>2.4</v>
      </c>
      <c r="F660" s="190"/>
      <c r="G660" s="190"/>
      <c r="H660" s="190">
        <v>2.1</v>
      </c>
      <c r="I660" s="190"/>
      <c r="J660" s="189">
        <f>H660*E660*D660</f>
        <v>-5.04</v>
      </c>
      <c r="K660" s="183"/>
      <c r="M660" s="183"/>
      <c r="N660" s="141"/>
      <c r="O660" s="141"/>
    </row>
    <row r="661" spans="1:15" ht="14.25">
      <c r="A661" s="10"/>
      <c r="B661" s="10"/>
      <c r="C661" s="192" t="s">
        <v>709</v>
      </c>
      <c r="D661" s="190">
        <v>-1</v>
      </c>
      <c r="E661" s="190">
        <v>0.9</v>
      </c>
      <c r="F661" s="190"/>
      <c r="G661" s="190"/>
      <c r="H661" s="190">
        <v>2.1</v>
      </c>
      <c r="I661" s="190"/>
      <c r="J661" s="189">
        <f>H661*E661*D661</f>
        <v>-1.8900000000000001</v>
      </c>
      <c r="K661" s="183"/>
      <c r="M661" s="183"/>
      <c r="N661" s="141"/>
      <c r="O661" s="141"/>
    </row>
    <row r="662" spans="1:15" ht="14.25">
      <c r="A662" s="10"/>
      <c r="B662" s="10"/>
      <c r="C662" s="191" t="s">
        <v>710</v>
      </c>
      <c r="D662" s="190">
        <v>2</v>
      </c>
      <c r="E662" s="190"/>
      <c r="F662" s="190"/>
      <c r="G662" s="190">
        <v>4.91</v>
      </c>
      <c r="H662" s="190">
        <v>3</v>
      </c>
      <c r="I662" s="190"/>
      <c r="J662" s="189">
        <f>D662*G662*H662</f>
        <v>29.46</v>
      </c>
      <c r="K662" s="183"/>
      <c r="M662" s="183"/>
      <c r="N662" s="141"/>
      <c r="O662" s="141"/>
    </row>
    <row r="663" spans="1:15" ht="14.25">
      <c r="A663" s="10"/>
      <c r="B663" s="10"/>
      <c r="C663" s="190" t="s">
        <v>707</v>
      </c>
      <c r="D663" s="190"/>
      <c r="E663" s="190"/>
      <c r="F663" s="190"/>
      <c r="G663" s="190"/>
      <c r="H663" s="190"/>
      <c r="I663" s="190"/>
      <c r="J663" s="189"/>
      <c r="K663" s="183"/>
      <c r="M663" s="183"/>
      <c r="N663" s="141"/>
      <c r="O663" s="141"/>
    </row>
    <row r="664" spans="1:15" ht="15">
      <c r="A664" s="10"/>
      <c r="B664" s="10"/>
      <c r="C664" s="192" t="s">
        <v>709</v>
      </c>
      <c r="D664" s="190">
        <v>-1</v>
      </c>
      <c r="E664" s="190">
        <v>0.75</v>
      </c>
      <c r="F664" s="190"/>
      <c r="G664"/>
      <c r="H664" s="190">
        <v>2.1</v>
      </c>
      <c r="I664" s="190"/>
      <c r="J664" s="189">
        <f>H664*E664*D664</f>
        <v>-1.5750000000000002</v>
      </c>
      <c r="K664" s="183"/>
      <c r="M664" s="183"/>
      <c r="N664" s="141"/>
      <c r="O664" s="141"/>
    </row>
    <row r="665" spans="1:15" ht="14.25">
      <c r="A665" s="10"/>
      <c r="B665" s="10"/>
      <c r="C665" s="191" t="s">
        <v>715</v>
      </c>
      <c r="D665" s="190"/>
      <c r="E665" s="190"/>
      <c r="F665" s="190"/>
      <c r="G665" s="190"/>
      <c r="H665" s="190"/>
      <c r="I665" s="190"/>
      <c r="J665" s="189"/>
      <c r="K665" s="183"/>
      <c r="M665" s="183"/>
      <c r="N665" s="141"/>
      <c r="O665" s="141"/>
    </row>
    <row r="666" spans="1:15" ht="14.25">
      <c r="A666" s="10"/>
      <c r="B666" s="10"/>
      <c r="C666" s="191" t="s">
        <v>706</v>
      </c>
      <c r="D666" s="190">
        <v>2</v>
      </c>
      <c r="E666" s="190">
        <v>1.5</v>
      </c>
      <c r="F666" s="190"/>
      <c r="G666" s="190"/>
      <c r="H666" s="190">
        <v>3</v>
      </c>
      <c r="I666" s="190"/>
      <c r="J666" s="189">
        <f>H666*E666*D666</f>
        <v>9</v>
      </c>
      <c r="K666" s="183"/>
      <c r="M666" s="183"/>
      <c r="N666" s="141"/>
      <c r="O666" s="141"/>
    </row>
    <row r="667" spans="1:15" ht="14.25">
      <c r="A667" s="10"/>
      <c r="B667" s="10"/>
      <c r="C667" s="190" t="s">
        <v>707</v>
      </c>
      <c r="D667" s="190"/>
      <c r="E667" s="190"/>
      <c r="F667" s="190"/>
      <c r="G667" s="190"/>
      <c r="H667" s="190"/>
      <c r="I667" s="190"/>
      <c r="J667" s="189"/>
      <c r="K667" s="183"/>
      <c r="M667" s="183"/>
      <c r="N667" s="141"/>
      <c r="O667" s="141"/>
    </row>
    <row r="668" spans="1:15" ht="14.25">
      <c r="A668" s="10"/>
      <c r="B668" s="10"/>
      <c r="C668" s="192" t="s">
        <v>708</v>
      </c>
      <c r="D668" s="190">
        <v>-1</v>
      </c>
      <c r="E668" s="190">
        <v>1</v>
      </c>
      <c r="F668" s="190"/>
      <c r="G668" s="190"/>
      <c r="H668" s="190">
        <v>1.5</v>
      </c>
      <c r="I668" s="190"/>
      <c r="J668" s="189">
        <f>H668*E668*D668</f>
        <v>-1.5</v>
      </c>
      <c r="K668" s="183"/>
      <c r="M668" s="183"/>
      <c r="N668" s="141"/>
      <c r="O668" s="141"/>
    </row>
    <row r="669" spans="1:15" ht="14.25">
      <c r="A669" s="10"/>
      <c r="B669" s="10"/>
      <c r="C669" s="192" t="s">
        <v>714</v>
      </c>
      <c r="D669" s="190">
        <v>-1</v>
      </c>
      <c r="E669" s="190">
        <v>0.9</v>
      </c>
      <c r="F669" s="190"/>
      <c r="G669" s="190"/>
      <c r="H669" s="190">
        <v>3</v>
      </c>
      <c r="I669" s="190"/>
      <c r="J669" s="189">
        <f>H669*E669*D669</f>
        <v>-2.7</v>
      </c>
      <c r="K669" s="183"/>
      <c r="M669" s="183"/>
      <c r="N669" s="141"/>
      <c r="O669" s="141"/>
    </row>
    <row r="670" spans="1:15" ht="14.25">
      <c r="A670" s="10"/>
      <c r="B670" s="10"/>
      <c r="C670" s="191" t="s">
        <v>710</v>
      </c>
      <c r="D670" s="190">
        <v>2</v>
      </c>
      <c r="E670" s="190">
        <v>1.4</v>
      </c>
      <c r="F670" s="190"/>
      <c r="G670" s="190"/>
      <c r="H670" s="190">
        <v>3</v>
      </c>
      <c r="I670" s="190"/>
      <c r="J670" s="189">
        <f>H670*E670*D670</f>
        <v>8.3999999999999986</v>
      </c>
      <c r="K670" s="183"/>
      <c r="M670" s="183"/>
      <c r="N670" s="141"/>
      <c r="O670" s="141"/>
    </row>
    <row r="671" spans="1:15" ht="14.25">
      <c r="A671" s="10"/>
      <c r="B671" s="10"/>
      <c r="C671" s="190" t="s">
        <v>707</v>
      </c>
      <c r="D671" s="190"/>
      <c r="E671" s="190"/>
      <c r="F671" s="190"/>
      <c r="G671" s="190"/>
      <c r="H671" s="190"/>
      <c r="I671" s="190"/>
      <c r="J671" s="189"/>
      <c r="K671" s="183"/>
      <c r="M671" s="183"/>
      <c r="N671" s="141"/>
      <c r="O671" s="141"/>
    </row>
    <row r="672" spans="1:15" ht="14.25">
      <c r="A672" s="10"/>
      <c r="B672" s="37"/>
      <c r="C672" s="188" t="s">
        <v>709</v>
      </c>
      <c r="D672" s="187">
        <v>-1</v>
      </c>
      <c r="E672" s="187">
        <v>1</v>
      </c>
      <c r="F672" s="187"/>
      <c r="G672" s="187"/>
      <c r="H672" s="187">
        <v>2.1</v>
      </c>
      <c r="I672" s="187"/>
      <c r="J672" s="186">
        <f>H672*E672*D672</f>
        <v>-2.1</v>
      </c>
      <c r="K672" s="183"/>
      <c r="M672" s="183"/>
      <c r="N672" s="141"/>
      <c r="O672" s="141"/>
    </row>
    <row r="673" spans="1:15" ht="14.25">
      <c r="A673" s="10"/>
      <c r="B673" s="10"/>
      <c r="C673" s="185" t="s">
        <v>716</v>
      </c>
      <c r="D673" s="184"/>
      <c r="E673" s="184"/>
      <c r="F673" s="184"/>
      <c r="G673" s="184"/>
      <c r="H673" s="184"/>
      <c r="I673" s="184"/>
      <c r="J673" s="184">
        <f>J564+J565</f>
        <v>152.46</v>
      </c>
      <c r="K673" s="183"/>
      <c r="M673" s="183"/>
      <c r="N673" s="141"/>
      <c r="O673" s="141"/>
    </row>
    <row r="674" spans="1:15" ht="14.25">
      <c r="A674" s="10"/>
      <c r="B674" s="10"/>
      <c r="C674" s="185"/>
      <c r="D674" s="184"/>
      <c r="E674" s="184"/>
      <c r="F674" s="184"/>
      <c r="G674" s="184"/>
      <c r="H674" s="184"/>
      <c r="I674" s="184"/>
      <c r="J674" s="184"/>
      <c r="K674" s="183"/>
      <c r="M674" s="183"/>
      <c r="N674" s="141"/>
      <c r="O674" s="141"/>
    </row>
    <row r="675" spans="1:15" ht="14.25">
      <c r="A675" s="10"/>
      <c r="B675" s="10"/>
      <c r="C675" s="185"/>
      <c r="D675" s="184"/>
      <c r="E675" s="184"/>
      <c r="F675" s="184"/>
      <c r="G675" s="184"/>
      <c r="H675" s="184"/>
      <c r="I675" s="184"/>
      <c r="J675" s="184"/>
      <c r="K675" s="183"/>
      <c r="M675" s="183"/>
      <c r="N675" s="141"/>
      <c r="O675" s="141"/>
    </row>
    <row r="676" spans="1:15" ht="14.25">
      <c r="A676" s="10"/>
      <c r="B676" s="10"/>
      <c r="C676" s="185"/>
      <c r="D676" s="184"/>
      <c r="E676" s="184"/>
      <c r="F676" s="184"/>
      <c r="G676" s="184"/>
      <c r="H676" s="184"/>
      <c r="I676" s="184"/>
      <c r="J676" s="184"/>
      <c r="K676" s="183"/>
      <c r="M676" s="183"/>
      <c r="N676" s="141"/>
      <c r="O676" s="141"/>
    </row>
    <row r="677" spans="1:15" ht="14.25">
      <c r="A677" s="10"/>
      <c r="B677" s="10"/>
      <c r="C677" s="185"/>
      <c r="D677" s="184"/>
      <c r="E677" s="184"/>
      <c r="F677" s="184"/>
      <c r="G677" s="184"/>
      <c r="H677" s="184"/>
      <c r="I677" s="184"/>
      <c r="J677" s="184"/>
      <c r="K677" s="183"/>
      <c r="M677" s="183"/>
      <c r="N677" s="141"/>
      <c r="O677" s="141"/>
    </row>
    <row r="678" spans="1:15" ht="14.25">
      <c r="A678" s="10"/>
      <c r="B678" s="10"/>
      <c r="C678" s="185"/>
      <c r="D678" s="184"/>
      <c r="E678" s="184"/>
      <c r="F678" s="184"/>
      <c r="G678" s="184"/>
      <c r="H678" s="184"/>
      <c r="I678" s="184"/>
      <c r="J678" s="184">
        <f>SUM(J632:J673)</f>
        <v>336.07500000000005</v>
      </c>
      <c r="K678" s="183"/>
      <c r="M678" s="183"/>
      <c r="N678" s="141"/>
      <c r="O678" s="141"/>
    </row>
    <row r="679" spans="1:15" ht="14.25">
      <c r="A679" s="10"/>
      <c r="B679" s="38"/>
      <c r="C679" s="182" t="s">
        <v>628</v>
      </c>
      <c r="D679" s="181"/>
      <c r="E679" s="180"/>
      <c r="F679" s="180"/>
      <c r="G679" s="180"/>
      <c r="H679" s="180"/>
      <c r="I679" s="180"/>
      <c r="J679" s="179">
        <f>J678</f>
        <v>336.07500000000005</v>
      </c>
      <c r="K679" s="130"/>
      <c r="M679" s="130"/>
      <c r="N679" s="141"/>
      <c r="O679" s="141"/>
    </row>
    <row r="680" spans="1:15" ht="14.25">
      <c r="A680" s="10" t="s">
        <v>471</v>
      </c>
      <c r="B680" s="10"/>
      <c r="C680" s="123" t="s">
        <v>717</v>
      </c>
      <c r="D680" s="126"/>
      <c r="E680" s="127"/>
      <c r="F680" s="127"/>
      <c r="G680" s="127"/>
      <c r="H680" s="127"/>
      <c r="I680" s="127"/>
      <c r="J680" s="178">
        <f>15.5*2.8</f>
        <v>43.4</v>
      </c>
      <c r="K680" s="130"/>
      <c r="M680" s="130"/>
      <c r="N680" s="141"/>
      <c r="O680" s="141"/>
    </row>
    <row r="681" spans="1:15" ht="14.25">
      <c r="A681" s="10"/>
      <c r="B681" s="10"/>
      <c r="C681" s="123" t="s">
        <v>718</v>
      </c>
      <c r="D681" s="126">
        <v>1</v>
      </c>
      <c r="E681" s="127">
        <v>83</v>
      </c>
      <c r="F681" s="127">
        <v>83</v>
      </c>
      <c r="G681" s="127">
        <v>1.25</v>
      </c>
      <c r="H681" s="127">
        <f>G681*F681*D681</f>
        <v>103.75</v>
      </c>
      <c r="I681" s="127"/>
      <c r="J681" s="178">
        <f>H681</f>
        <v>103.75</v>
      </c>
      <c r="K681" s="130"/>
      <c r="M681" s="130"/>
      <c r="N681" s="141"/>
      <c r="O681" s="141"/>
    </row>
    <row r="682" spans="1:15" ht="14.25">
      <c r="A682" s="10"/>
      <c r="B682" s="10"/>
      <c r="C682" s="26"/>
      <c r="D682" s="8"/>
      <c r="E682" s="8"/>
      <c r="F682" s="8"/>
      <c r="G682" s="8"/>
      <c r="H682" s="8"/>
      <c r="I682" s="23" t="s">
        <v>492</v>
      </c>
      <c r="J682" s="128">
        <f>J681+J680+J679+J678+J628+J627+J629</f>
        <v>1047.8009999999999</v>
      </c>
      <c r="K682" s="157"/>
      <c r="L682" s="157"/>
      <c r="M682" s="141"/>
      <c r="N682" s="141"/>
      <c r="O682" s="141"/>
    </row>
    <row r="683" spans="1:15" ht="14.25">
      <c r="A683" s="10"/>
      <c r="B683" s="10"/>
      <c r="C683" s="26"/>
      <c r="D683" s="8"/>
      <c r="E683" s="8"/>
      <c r="F683" s="8"/>
      <c r="G683" s="8"/>
      <c r="H683" s="8"/>
      <c r="I683" s="23"/>
      <c r="J683" s="128"/>
      <c r="K683" s="157"/>
      <c r="L683" s="157"/>
      <c r="M683" s="141"/>
      <c r="N683" s="141"/>
      <c r="O683" s="141"/>
    </row>
    <row r="684" spans="1:15" ht="25.5">
      <c r="A684" s="10" t="s">
        <v>211</v>
      </c>
      <c r="B684" s="10" t="s">
        <v>259</v>
      </c>
      <c r="C684" s="27" t="s">
        <v>260</v>
      </c>
      <c r="D684" s="18"/>
      <c r="E684" s="8"/>
      <c r="F684" s="8"/>
      <c r="G684" s="8"/>
      <c r="H684" s="8"/>
      <c r="I684" s="23"/>
      <c r="J684" s="128"/>
      <c r="K684" s="157"/>
      <c r="L684" s="157"/>
      <c r="M684" s="141"/>
      <c r="N684" s="141"/>
      <c r="O684" s="141"/>
    </row>
    <row r="685" spans="1:15" ht="14.25">
      <c r="A685" s="10"/>
      <c r="B685" s="10" t="s">
        <v>261</v>
      </c>
      <c r="C685" s="27" t="s">
        <v>262</v>
      </c>
      <c r="D685" s="18" t="s">
        <v>702</v>
      </c>
      <c r="E685" s="8" t="s">
        <v>719</v>
      </c>
      <c r="F685" s="8"/>
      <c r="G685" s="8"/>
      <c r="H685" s="8"/>
      <c r="I685" s="23"/>
      <c r="J685" s="128">
        <v>20</v>
      </c>
      <c r="K685" s="157"/>
      <c r="L685" s="157"/>
      <c r="M685" s="141"/>
      <c r="N685" s="141"/>
      <c r="O685" s="141"/>
    </row>
    <row r="686" spans="1:15" ht="14.25">
      <c r="A686" s="10"/>
      <c r="B686" s="10"/>
      <c r="C686" s="26"/>
      <c r="D686" s="8"/>
      <c r="E686" s="8"/>
      <c r="F686" s="8"/>
      <c r="G686" s="8"/>
      <c r="H686" s="8"/>
      <c r="I686" s="8"/>
      <c r="J686" s="159"/>
      <c r="K686" s="157"/>
      <c r="L686" s="157"/>
      <c r="M686" s="141"/>
      <c r="N686" s="141"/>
      <c r="O686" s="141"/>
    </row>
    <row r="687" spans="1:15" ht="51">
      <c r="A687" s="10" t="s">
        <v>216</v>
      </c>
      <c r="B687" s="10" t="s">
        <v>263</v>
      </c>
      <c r="C687" s="27" t="s">
        <v>720</v>
      </c>
      <c r="D687" s="8" t="s">
        <v>525</v>
      </c>
      <c r="E687" s="8"/>
      <c r="F687" s="8"/>
      <c r="G687" s="8"/>
      <c r="H687" s="8"/>
      <c r="I687" s="8"/>
      <c r="J687" s="14" t="s">
        <v>471</v>
      </c>
      <c r="K687" s="157"/>
      <c r="L687" s="157"/>
      <c r="M687" s="141"/>
      <c r="N687" s="141"/>
      <c r="O687" s="141"/>
    </row>
    <row r="688" spans="1:15" ht="14.25">
      <c r="A688" s="10"/>
      <c r="B688" s="10"/>
      <c r="C688" s="123" t="s">
        <v>721</v>
      </c>
      <c r="D688" s="8"/>
      <c r="E688" s="8"/>
      <c r="F688" s="8"/>
      <c r="G688" s="8"/>
      <c r="H688" s="8"/>
      <c r="I688" s="8"/>
      <c r="J688" s="22"/>
      <c r="K688" s="157"/>
      <c r="L688" s="157"/>
      <c r="M688" s="141"/>
      <c r="N688" s="141"/>
      <c r="O688" s="141"/>
    </row>
    <row r="689" spans="1:15" ht="14.25">
      <c r="A689" s="10"/>
      <c r="B689" s="10"/>
      <c r="C689" s="123" t="s">
        <v>722</v>
      </c>
      <c r="D689" s="8"/>
      <c r="E689" s="121">
        <v>3</v>
      </c>
      <c r="F689" s="119">
        <v>98</v>
      </c>
      <c r="G689" s="119">
        <v>3.5</v>
      </c>
      <c r="H689" s="8"/>
      <c r="I689" s="8"/>
      <c r="J689" s="122">
        <f>G689*F689*E689</f>
        <v>1029</v>
      </c>
      <c r="K689" s="157"/>
      <c r="L689" s="157"/>
      <c r="M689" s="141"/>
      <c r="N689" s="141"/>
      <c r="O689" s="141"/>
    </row>
    <row r="690" spans="1:15" ht="14.25">
      <c r="A690" s="10"/>
      <c r="B690" s="10"/>
      <c r="C690" s="123" t="s">
        <v>723</v>
      </c>
      <c r="D690" s="8"/>
      <c r="E690" s="124">
        <v>-3</v>
      </c>
      <c r="F690" s="119">
        <v>56.68</v>
      </c>
      <c r="G690" s="119"/>
      <c r="H690" s="8"/>
      <c r="I690" s="8"/>
      <c r="J690" s="122">
        <f>F690*E690</f>
        <v>-170.04</v>
      </c>
      <c r="K690" s="157"/>
      <c r="L690" s="157"/>
      <c r="M690" s="141"/>
      <c r="N690" s="141"/>
      <c r="O690" s="141"/>
    </row>
    <row r="691" spans="1:15" ht="14.25">
      <c r="A691" s="10"/>
      <c r="B691" s="10"/>
      <c r="C691" s="123" t="s">
        <v>724</v>
      </c>
      <c r="D691" s="8"/>
      <c r="E691" s="121">
        <v>-2</v>
      </c>
      <c r="F691" s="119">
        <f>4.2+1.2+1.2</f>
        <v>6.6000000000000005</v>
      </c>
      <c r="G691" s="119">
        <v>1.5</v>
      </c>
      <c r="H691" s="8"/>
      <c r="I691" s="8"/>
      <c r="J691" s="122">
        <f>G691*F691*E691</f>
        <v>-19.8</v>
      </c>
      <c r="K691" s="157"/>
      <c r="L691" s="157"/>
      <c r="M691" s="141"/>
      <c r="N691" s="141"/>
      <c r="O691" s="141"/>
    </row>
    <row r="692" spans="1:15" ht="14.25">
      <c r="A692" s="10"/>
      <c r="B692" s="10"/>
      <c r="C692" s="9"/>
      <c r="D692" s="8"/>
      <c r="E692" s="121">
        <v>-2</v>
      </c>
      <c r="F692" s="119">
        <f>3.4+1.2+1.2</f>
        <v>5.8</v>
      </c>
      <c r="G692" s="119">
        <v>1.5</v>
      </c>
      <c r="H692" s="8"/>
      <c r="I692" s="8"/>
      <c r="J692" s="122">
        <f>G692*F692*E692</f>
        <v>-17.399999999999999</v>
      </c>
      <c r="K692" s="157"/>
      <c r="L692" s="157"/>
      <c r="M692" s="141"/>
      <c r="N692" s="141"/>
      <c r="O692" s="141"/>
    </row>
    <row r="693" spans="1:15" ht="14.25">
      <c r="A693" s="10"/>
      <c r="B693" s="10"/>
      <c r="C693" s="9"/>
      <c r="D693" s="8"/>
      <c r="E693" s="121">
        <v>-2</v>
      </c>
      <c r="F693" s="119">
        <f>3.68+1.2+1.2</f>
        <v>6.08</v>
      </c>
      <c r="G693" s="119">
        <v>1.5</v>
      </c>
      <c r="H693" s="8"/>
      <c r="I693" s="8"/>
      <c r="J693" s="122">
        <f>G693*F693*E693</f>
        <v>-18.240000000000002</v>
      </c>
      <c r="K693" s="157"/>
      <c r="L693" s="157"/>
      <c r="M693" s="141"/>
      <c r="N693" s="141"/>
      <c r="O693" s="141"/>
    </row>
    <row r="694" spans="1:15" ht="14.25">
      <c r="A694" s="10"/>
      <c r="B694" s="10"/>
      <c r="C694" s="9"/>
      <c r="D694" s="8"/>
      <c r="E694" s="8"/>
      <c r="F694" s="8"/>
      <c r="G694" s="8"/>
      <c r="H694" s="8"/>
      <c r="I694" s="23" t="s">
        <v>491</v>
      </c>
      <c r="J694" s="32">
        <f>SUM(J688:J693)</f>
        <v>803.5200000000001</v>
      </c>
      <c r="K694" s="157"/>
      <c r="L694" s="157"/>
      <c r="M694" s="141"/>
      <c r="N694" s="141"/>
      <c r="O694" s="141"/>
    </row>
    <row r="695" spans="1:15" ht="14.25">
      <c r="A695" s="10"/>
      <c r="B695" s="10"/>
      <c r="C695" s="9"/>
      <c r="D695" s="8"/>
      <c r="E695" s="8"/>
      <c r="F695" s="8"/>
      <c r="G695" s="8"/>
      <c r="H695" s="8"/>
      <c r="I695" s="24" t="s">
        <v>492</v>
      </c>
      <c r="J695" s="23">
        <f>J694</f>
        <v>803.5200000000001</v>
      </c>
      <c r="K695" s="157"/>
      <c r="L695" s="157"/>
      <c r="M695" s="141"/>
      <c r="N695" s="141"/>
      <c r="O695" s="141"/>
    </row>
    <row r="696" spans="1:15" ht="14.25">
      <c r="A696" s="10"/>
      <c r="B696" s="10"/>
      <c r="C696" s="26"/>
      <c r="D696" s="8"/>
      <c r="E696" s="8"/>
      <c r="F696" s="8"/>
      <c r="G696" s="8"/>
      <c r="H696" s="8"/>
      <c r="I696" s="24"/>
      <c r="J696" s="17"/>
      <c r="K696" s="157"/>
      <c r="L696" s="166"/>
      <c r="M696" s="166"/>
      <c r="N696" s="166"/>
      <c r="O696" s="166"/>
    </row>
    <row r="697" spans="1:15" ht="25.5">
      <c r="A697" s="10" t="s">
        <v>221</v>
      </c>
      <c r="B697" s="10" t="s">
        <v>266</v>
      </c>
      <c r="C697" s="27" t="s">
        <v>267</v>
      </c>
      <c r="D697" s="8"/>
      <c r="E697" s="8"/>
      <c r="F697" s="70"/>
      <c r="G697" s="70"/>
      <c r="H697" s="70"/>
      <c r="I697" s="70"/>
      <c r="J697" s="14"/>
      <c r="K697" s="157"/>
      <c r="L697" s="157"/>
      <c r="M697" s="141"/>
      <c r="N697" s="141"/>
      <c r="O697" s="141"/>
    </row>
    <row r="698" spans="1:15" ht="14.25">
      <c r="A698" s="10" t="s">
        <v>471</v>
      </c>
      <c r="B698" s="10" t="s">
        <v>268</v>
      </c>
      <c r="C698" s="27" t="s">
        <v>725</v>
      </c>
      <c r="D698" s="8" t="s">
        <v>525</v>
      </c>
      <c r="E698" s="8"/>
      <c r="F698" s="68" t="s">
        <v>719</v>
      </c>
      <c r="G698" s="70"/>
      <c r="H698" s="70"/>
      <c r="I698" s="70"/>
      <c r="J698" s="23">
        <v>20</v>
      </c>
      <c r="K698" s="157"/>
      <c r="L698" s="157"/>
      <c r="M698" s="141"/>
      <c r="N698" s="141"/>
      <c r="O698" s="141"/>
    </row>
    <row r="699" spans="1:15" ht="14.25">
      <c r="A699" s="10"/>
      <c r="B699" s="16"/>
      <c r="C699" s="15"/>
      <c r="D699" s="70"/>
      <c r="E699" s="70"/>
      <c r="F699" s="70"/>
      <c r="G699" s="70"/>
      <c r="H699" s="8"/>
      <c r="I699" s="8"/>
      <c r="J699" s="14"/>
      <c r="K699" s="157"/>
      <c r="L699" s="157"/>
      <c r="M699" s="141"/>
      <c r="N699" s="141"/>
      <c r="O699" s="141"/>
    </row>
    <row r="700" spans="1:15" ht="76.5">
      <c r="A700" s="10" t="s">
        <v>222</v>
      </c>
      <c r="B700" s="10" t="s">
        <v>270</v>
      </c>
      <c r="C700" s="27" t="s">
        <v>726</v>
      </c>
      <c r="D700" s="18" t="s">
        <v>72</v>
      </c>
      <c r="E700" s="134"/>
      <c r="F700" s="585" t="s">
        <v>727</v>
      </c>
      <c r="G700" s="586"/>
      <c r="H700" s="586"/>
      <c r="I700" s="587"/>
      <c r="J700" s="23">
        <f>J682</f>
        <v>1047.8009999999999</v>
      </c>
      <c r="K700" s="157" t="s">
        <v>728</v>
      </c>
      <c r="L700" s="157"/>
      <c r="M700" s="141"/>
      <c r="N700" s="141"/>
      <c r="O700" s="141"/>
    </row>
    <row r="701" spans="1:15" ht="14.25">
      <c r="A701" s="10" t="s">
        <v>471</v>
      </c>
      <c r="B701" s="10"/>
      <c r="C701" s="27"/>
      <c r="D701" s="8"/>
      <c r="E701" s="134"/>
      <c r="F701" s="27"/>
      <c r="G701" s="27"/>
      <c r="H701" s="27"/>
      <c r="I701" s="66" t="s">
        <v>492</v>
      </c>
      <c r="J701" s="23">
        <f>J700</f>
        <v>1047.8009999999999</v>
      </c>
      <c r="K701" s="157"/>
      <c r="L701" s="157"/>
      <c r="M701" s="141"/>
      <c r="N701" s="141"/>
      <c r="O701" s="141"/>
    </row>
    <row r="702" spans="1:15" ht="14.25">
      <c r="A702" s="10"/>
      <c r="B702" s="16"/>
      <c r="C702" s="15"/>
      <c r="D702" s="70"/>
      <c r="E702" s="70"/>
      <c r="F702" s="70"/>
      <c r="G702" s="70"/>
      <c r="H702" s="8"/>
      <c r="I702" s="8"/>
      <c r="J702" s="14"/>
      <c r="K702" s="157"/>
      <c r="L702" s="157"/>
      <c r="M702" s="141"/>
      <c r="N702" s="141"/>
      <c r="O702" s="141"/>
    </row>
    <row r="703" spans="1:15" ht="38.25">
      <c r="A703" s="10" t="s">
        <v>227</v>
      </c>
      <c r="B703" s="10" t="s">
        <v>272</v>
      </c>
      <c r="C703" s="27" t="s">
        <v>273</v>
      </c>
      <c r="D703" s="8"/>
      <c r="E703" s="8"/>
      <c r="F703" s="8"/>
      <c r="G703" s="8"/>
      <c r="H703" s="8"/>
      <c r="I703" s="8"/>
      <c r="J703" s="14"/>
      <c r="K703" s="157"/>
      <c r="L703" s="157"/>
      <c r="M703" s="141"/>
      <c r="N703" s="141"/>
      <c r="O703" s="141"/>
    </row>
    <row r="704" spans="1:15" ht="38.25">
      <c r="A704" s="10" t="s">
        <v>471</v>
      </c>
      <c r="B704" s="10" t="s">
        <v>274</v>
      </c>
      <c r="C704" s="27" t="s">
        <v>729</v>
      </c>
      <c r="D704" s="8" t="s">
        <v>525</v>
      </c>
      <c r="E704" s="8"/>
      <c r="F704" s="81"/>
      <c r="G704" s="8"/>
      <c r="H704" s="8"/>
      <c r="I704" s="8"/>
      <c r="J704" s="23">
        <f>J694</f>
        <v>803.5200000000001</v>
      </c>
      <c r="K704" s="157" t="s">
        <v>730</v>
      </c>
      <c r="L704" s="157"/>
      <c r="M704" s="141"/>
      <c r="N704" s="141"/>
      <c r="O704" s="141"/>
    </row>
    <row r="705" spans="1:15" ht="14.25">
      <c r="A705" s="10"/>
      <c r="B705" s="10"/>
      <c r="C705" s="9"/>
      <c r="D705" s="8"/>
      <c r="E705" s="8"/>
      <c r="F705" s="8"/>
      <c r="G705" s="8"/>
      <c r="H705" s="8"/>
      <c r="I705" s="23" t="s">
        <v>492</v>
      </c>
      <c r="J705" s="32">
        <f>J704</f>
        <v>803.5200000000001</v>
      </c>
      <c r="K705" s="157"/>
      <c r="L705" s="157"/>
      <c r="M705" s="141"/>
      <c r="N705" s="141"/>
      <c r="O705" s="141"/>
    </row>
    <row r="706" spans="1:15" ht="14.25">
      <c r="A706" s="80"/>
      <c r="B706" s="80"/>
      <c r="C706" s="80"/>
      <c r="D706" s="80"/>
      <c r="E706" s="80"/>
      <c r="F706" s="80"/>
      <c r="G706" s="80"/>
      <c r="H706" s="80"/>
      <c r="I706" s="80"/>
      <c r="J706" s="80"/>
      <c r="K706" s="157"/>
      <c r="L706" s="157"/>
      <c r="M706" s="141"/>
      <c r="N706" s="141"/>
      <c r="O706" s="141"/>
    </row>
    <row r="707" spans="1:15" ht="76.5">
      <c r="A707" s="10" t="s">
        <v>245</v>
      </c>
      <c r="B707" s="10" t="s">
        <v>276</v>
      </c>
      <c r="C707" s="27" t="s">
        <v>277</v>
      </c>
      <c r="D707" s="8"/>
      <c r="E707" s="134"/>
      <c r="F707" s="27"/>
      <c r="G707" s="27"/>
      <c r="H707" s="27"/>
      <c r="I707" s="27"/>
      <c r="J707" s="23"/>
      <c r="K707" s="157"/>
      <c r="L707" s="157"/>
      <c r="M707" s="141"/>
      <c r="N707" s="141"/>
      <c r="O707" s="141"/>
    </row>
    <row r="708" spans="1:15" ht="14.25">
      <c r="A708" s="10" t="s">
        <v>471</v>
      </c>
      <c r="B708" s="10" t="s">
        <v>278</v>
      </c>
      <c r="C708" s="27" t="s">
        <v>279</v>
      </c>
      <c r="D708" s="8"/>
      <c r="E708" s="134"/>
      <c r="F708" s="585" t="s">
        <v>727</v>
      </c>
      <c r="G708" s="586"/>
      <c r="H708" s="586"/>
      <c r="I708" s="587"/>
      <c r="J708" s="23">
        <f>J700</f>
        <v>1047.8009999999999</v>
      </c>
      <c r="K708" s="157"/>
      <c r="L708" s="157"/>
      <c r="M708" s="141"/>
      <c r="N708" s="141"/>
      <c r="O708" s="141"/>
    </row>
    <row r="709" spans="1:15" ht="14.25">
      <c r="A709" s="10"/>
      <c r="B709" s="10"/>
      <c r="C709" s="9"/>
      <c r="D709" s="8"/>
      <c r="E709" s="134"/>
      <c r="F709" s="163"/>
      <c r="G709" s="167"/>
      <c r="H709" s="167"/>
      <c r="I709" s="79" t="s">
        <v>492</v>
      </c>
      <c r="J709" s="23">
        <f>J708</f>
        <v>1047.8009999999999</v>
      </c>
      <c r="K709" s="157"/>
      <c r="L709" s="157"/>
      <c r="M709" s="141"/>
      <c r="N709" s="141"/>
      <c r="O709" s="141"/>
    </row>
    <row r="710" spans="1:15" ht="38.25">
      <c r="A710" s="10" t="s">
        <v>248</v>
      </c>
      <c r="B710" s="10" t="s">
        <v>280</v>
      </c>
      <c r="C710" s="27" t="s">
        <v>281</v>
      </c>
      <c r="D710" s="8"/>
      <c r="E710" s="134"/>
      <c r="F710" s="27"/>
      <c r="G710" s="27"/>
      <c r="H710" s="27"/>
      <c r="I710" s="27"/>
      <c r="J710" s="23"/>
      <c r="K710" s="157"/>
      <c r="L710" s="157"/>
      <c r="M710" s="141"/>
      <c r="N710" s="141"/>
      <c r="O710" s="141"/>
    </row>
    <row r="711" spans="1:15" ht="14.25">
      <c r="A711" s="10" t="s">
        <v>471</v>
      </c>
      <c r="B711" s="10"/>
      <c r="C711" s="9"/>
      <c r="D711" s="8"/>
      <c r="E711" s="134"/>
      <c r="F711" s="163"/>
      <c r="G711" s="167"/>
      <c r="H711" s="167"/>
      <c r="I711" s="74"/>
      <c r="J711" s="23"/>
      <c r="K711" s="157"/>
      <c r="L711" s="157"/>
      <c r="M711" s="141"/>
      <c r="N711" s="141"/>
      <c r="O711" s="141"/>
    </row>
    <row r="712" spans="1:15" ht="25.5">
      <c r="A712" s="10" t="s">
        <v>84</v>
      </c>
      <c r="B712" s="10" t="s">
        <v>282</v>
      </c>
      <c r="C712" s="27" t="s">
        <v>283</v>
      </c>
      <c r="D712" s="8"/>
      <c r="E712" s="134"/>
      <c r="F712" s="585" t="s">
        <v>727</v>
      </c>
      <c r="G712" s="586"/>
      <c r="H712" s="586"/>
      <c r="I712" s="587"/>
      <c r="J712" s="23">
        <f>J708</f>
        <v>1047.8009999999999</v>
      </c>
      <c r="K712" s="157"/>
      <c r="L712" s="157"/>
      <c r="M712" s="141"/>
      <c r="N712" s="141"/>
      <c r="O712" s="141"/>
    </row>
    <row r="713" spans="1:15" ht="14.25">
      <c r="A713" s="10" t="s">
        <v>471</v>
      </c>
      <c r="B713" s="10"/>
      <c r="C713" s="9" t="s">
        <v>471</v>
      </c>
      <c r="D713" s="8"/>
      <c r="E713" s="134"/>
      <c r="F713" s="27"/>
      <c r="G713" s="27"/>
      <c r="H713" s="27"/>
      <c r="I713" s="24" t="s">
        <v>492</v>
      </c>
      <c r="J713" s="23">
        <f>J712</f>
        <v>1047.8009999999999</v>
      </c>
      <c r="K713" s="157"/>
      <c r="L713" s="157"/>
      <c r="M713" s="141"/>
      <c r="N713" s="141"/>
      <c r="O713" s="141"/>
    </row>
    <row r="714" spans="1:15" ht="14.25">
      <c r="A714" s="10"/>
      <c r="B714" s="10"/>
      <c r="C714" s="132"/>
      <c r="D714" s="8"/>
      <c r="E714" s="134"/>
      <c r="F714" s="163"/>
      <c r="G714" s="167"/>
      <c r="H714" s="167"/>
      <c r="I714" s="79"/>
      <c r="J714" s="23"/>
      <c r="K714" s="157"/>
      <c r="L714" s="157"/>
      <c r="M714" s="141"/>
      <c r="N714" s="141"/>
      <c r="O714" s="141"/>
    </row>
    <row r="715" spans="1:15" ht="25.5">
      <c r="A715" s="10" t="s">
        <v>250</v>
      </c>
      <c r="B715" s="76">
        <v>13.62</v>
      </c>
      <c r="C715" s="75" t="s">
        <v>295</v>
      </c>
      <c r="D715" s="76"/>
      <c r="E715" s="134"/>
      <c r="F715" s="163"/>
      <c r="G715" s="167"/>
      <c r="H715" s="167"/>
      <c r="I715" s="168"/>
      <c r="J715" s="23"/>
      <c r="K715" s="157"/>
      <c r="L715" s="157"/>
      <c r="M715" s="141"/>
      <c r="N715" s="141"/>
      <c r="O715" s="141"/>
    </row>
    <row r="716" spans="1:15" ht="14.25">
      <c r="A716" s="10" t="s">
        <v>471</v>
      </c>
      <c r="B716" s="76" t="s">
        <v>285</v>
      </c>
      <c r="C716" s="78" t="s">
        <v>279</v>
      </c>
      <c r="D716" s="76" t="s">
        <v>72</v>
      </c>
      <c r="E716" s="134"/>
      <c r="F716" s="163"/>
      <c r="G716" s="167"/>
      <c r="H716" s="167"/>
      <c r="I716" s="168"/>
      <c r="J716" s="23"/>
      <c r="K716" s="157"/>
      <c r="L716" s="157"/>
      <c r="M716" s="141"/>
      <c r="N716" s="141"/>
      <c r="O716" s="141"/>
    </row>
    <row r="717" spans="1:15" ht="14.25">
      <c r="A717" s="10"/>
      <c r="B717" s="10"/>
      <c r="C717" s="26" t="s">
        <v>731</v>
      </c>
      <c r="D717" s="18"/>
      <c r="E717" s="18"/>
      <c r="F717" s="77"/>
      <c r="G717" s="18"/>
      <c r="H717" s="18"/>
      <c r="I717" s="18"/>
      <c r="J717" s="22">
        <v>150</v>
      </c>
      <c r="K717" s="157"/>
      <c r="L717" s="157"/>
      <c r="M717" s="141"/>
      <c r="N717" s="141"/>
      <c r="O717" s="141"/>
    </row>
    <row r="718" spans="1:15" ht="14.25">
      <c r="A718" s="10"/>
      <c r="B718" s="10"/>
      <c r="C718" s="26"/>
      <c r="D718" s="18"/>
      <c r="E718" s="18"/>
      <c r="F718" s="77"/>
      <c r="G718" s="18"/>
      <c r="H718" s="18"/>
      <c r="I718" s="18"/>
      <c r="J718" s="22"/>
      <c r="K718" s="157"/>
      <c r="L718" s="157"/>
      <c r="M718" s="141"/>
      <c r="N718" s="141"/>
      <c r="O718" s="141"/>
    </row>
    <row r="719" spans="1:15" ht="14.25">
      <c r="A719" s="10"/>
      <c r="B719" s="10"/>
      <c r="C719" s="9"/>
      <c r="D719" s="8"/>
      <c r="E719" s="8"/>
      <c r="F719" s="8"/>
      <c r="G719" s="8"/>
      <c r="H719" s="8"/>
      <c r="I719" s="23" t="s">
        <v>491</v>
      </c>
      <c r="J719" s="32">
        <f>SUM(J717:J718)</f>
        <v>150</v>
      </c>
      <c r="K719" s="157"/>
      <c r="L719" s="157"/>
      <c r="M719" s="141"/>
      <c r="N719" s="141"/>
      <c r="O719" s="141"/>
    </row>
    <row r="720" spans="1:15" ht="14.25">
      <c r="A720" s="10"/>
      <c r="B720" s="10"/>
      <c r="C720" s="9"/>
      <c r="D720" s="8"/>
      <c r="E720" s="134"/>
      <c r="F720" s="27"/>
      <c r="G720" s="27"/>
      <c r="H720" s="27"/>
      <c r="I720" s="24" t="s">
        <v>492</v>
      </c>
      <c r="J720" s="23">
        <f>J719</f>
        <v>150</v>
      </c>
      <c r="K720" s="157"/>
      <c r="L720" s="157"/>
      <c r="M720" s="141"/>
      <c r="N720" s="141"/>
      <c r="O720" s="141"/>
    </row>
    <row r="721" spans="1:15" ht="114.75">
      <c r="A721" s="10" t="s">
        <v>254</v>
      </c>
      <c r="B721" s="73">
        <v>16.68</v>
      </c>
      <c r="C721" s="27" t="s">
        <v>732</v>
      </c>
      <c r="D721" s="18" t="s">
        <v>525</v>
      </c>
      <c r="E721" s="8"/>
      <c r="F721" s="8"/>
      <c r="G721" s="8"/>
      <c r="H721" s="8"/>
      <c r="I721" s="8"/>
      <c r="J721" s="23"/>
      <c r="K721" s="157"/>
      <c r="L721" s="157"/>
      <c r="M721" s="141"/>
      <c r="N721" s="141"/>
      <c r="O721" s="141"/>
    </row>
    <row r="722" spans="1:15" ht="14.25">
      <c r="A722" s="10"/>
      <c r="B722" s="10"/>
      <c r="C722" s="26" t="s">
        <v>733</v>
      </c>
      <c r="D722" s="8" t="s">
        <v>525</v>
      </c>
      <c r="E722" s="8">
        <v>1</v>
      </c>
      <c r="F722" s="72">
        <v>280</v>
      </c>
      <c r="G722" s="72">
        <v>1</v>
      </c>
      <c r="H722" s="72"/>
      <c r="I722" s="8"/>
      <c r="J722" s="17">
        <f>E722*F722*G722</f>
        <v>280</v>
      </c>
      <c r="K722" s="157"/>
      <c r="L722" s="157"/>
      <c r="M722" s="141"/>
      <c r="N722" s="141"/>
      <c r="O722" s="141"/>
    </row>
    <row r="723" spans="1:15" ht="14.25">
      <c r="A723" s="10" t="s">
        <v>471</v>
      </c>
      <c r="B723" s="10"/>
      <c r="C723" s="9"/>
      <c r="D723" s="8"/>
      <c r="E723" s="8"/>
      <c r="F723" s="8"/>
      <c r="G723" s="8"/>
      <c r="H723" s="8"/>
      <c r="I723" s="8" t="s">
        <v>492</v>
      </c>
      <c r="J723" s="23">
        <f>J722</f>
        <v>280</v>
      </c>
      <c r="K723" s="157"/>
      <c r="L723" s="157"/>
      <c r="M723" s="141"/>
      <c r="N723" s="141"/>
      <c r="O723" s="141"/>
    </row>
    <row r="724" spans="1:15" ht="89.25">
      <c r="A724" s="10" t="s">
        <v>258</v>
      </c>
      <c r="B724" s="10" t="s">
        <v>289</v>
      </c>
      <c r="C724" s="27" t="s">
        <v>290</v>
      </c>
      <c r="D724" s="8"/>
      <c r="E724" s="8"/>
      <c r="F724" s="8"/>
      <c r="G724" s="8"/>
      <c r="H724" s="8"/>
      <c r="I724" s="8"/>
      <c r="J724" s="71"/>
      <c r="K724" s="157"/>
      <c r="L724" s="157"/>
      <c r="M724" s="141"/>
      <c r="N724" s="141"/>
      <c r="O724" s="141"/>
    </row>
    <row r="725" spans="1:15" ht="25.5">
      <c r="A725" s="10"/>
      <c r="B725" s="10" t="s">
        <v>291</v>
      </c>
      <c r="C725" s="27" t="s">
        <v>292</v>
      </c>
      <c r="D725" s="18" t="s">
        <v>171</v>
      </c>
      <c r="E725" s="18">
        <v>4</v>
      </c>
      <c r="F725" s="18">
        <v>1</v>
      </c>
      <c r="G725" s="18">
        <v>1</v>
      </c>
      <c r="H725" s="18"/>
      <c r="I725" s="18"/>
      <c r="J725" s="17">
        <f>E725*F725*G725</f>
        <v>4</v>
      </c>
      <c r="K725" s="157"/>
      <c r="L725" s="157"/>
      <c r="M725" s="141"/>
      <c r="N725" s="141"/>
      <c r="O725" s="141"/>
    </row>
    <row r="726" spans="1:15" ht="14.25">
      <c r="A726" s="10" t="s">
        <v>471</v>
      </c>
      <c r="B726" s="10"/>
      <c r="C726" s="9"/>
      <c r="D726" s="8"/>
      <c r="E726" s="8"/>
      <c r="F726" s="8"/>
      <c r="G726" s="8"/>
      <c r="H726" s="8"/>
      <c r="I726" s="8"/>
      <c r="J726" s="14"/>
      <c r="K726" s="157"/>
      <c r="L726" s="157"/>
      <c r="M726" s="141"/>
      <c r="N726" s="141"/>
      <c r="O726" s="141"/>
    </row>
    <row r="727" spans="1:15" ht="89.25">
      <c r="A727" s="10" t="s">
        <v>264</v>
      </c>
      <c r="B727" s="10" t="s">
        <v>734</v>
      </c>
      <c r="C727" s="27" t="s">
        <v>735</v>
      </c>
      <c r="D727" s="8"/>
      <c r="E727" s="8"/>
      <c r="F727" s="8"/>
      <c r="G727" s="8"/>
      <c r="H727" s="8"/>
      <c r="I727" s="8"/>
      <c r="J727" s="14"/>
      <c r="K727" s="157"/>
      <c r="L727" s="157"/>
      <c r="M727" s="141"/>
      <c r="N727" s="141"/>
      <c r="O727" s="141"/>
    </row>
    <row r="728" spans="1:15" ht="25.5">
      <c r="A728" s="10"/>
      <c r="B728" s="10" t="s">
        <v>736</v>
      </c>
      <c r="C728" s="27" t="s">
        <v>737</v>
      </c>
      <c r="D728" s="8" t="s">
        <v>171</v>
      </c>
      <c r="E728" s="8">
        <v>8</v>
      </c>
      <c r="F728" s="8">
        <v>1</v>
      </c>
      <c r="G728" s="8">
        <v>1</v>
      </c>
      <c r="H728" s="8" t="s">
        <v>471</v>
      </c>
      <c r="I728" s="8"/>
      <c r="J728" s="17">
        <f>E728*F728*G728</f>
        <v>8</v>
      </c>
      <c r="K728" s="157"/>
      <c r="L728" s="157"/>
      <c r="M728" s="141"/>
      <c r="N728" s="141"/>
      <c r="O728" s="141"/>
    </row>
    <row r="729" spans="1:15" ht="14.25">
      <c r="A729" s="10" t="s">
        <v>471</v>
      </c>
      <c r="B729" s="10"/>
      <c r="C729" s="27"/>
      <c r="D729" s="8"/>
      <c r="E729" s="8"/>
      <c r="F729" s="8"/>
      <c r="G729" s="8"/>
      <c r="H729" s="8"/>
      <c r="I729" s="8"/>
      <c r="J729" s="14"/>
      <c r="K729" s="157"/>
      <c r="L729" s="157"/>
      <c r="M729" s="141"/>
      <c r="N729" s="141"/>
      <c r="O729" s="141"/>
    </row>
    <row r="730" spans="1:15" ht="63.75">
      <c r="A730" s="10" t="s">
        <v>265</v>
      </c>
      <c r="B730" s="10" t="s">
        <v>302</v>
      </c>
      <c r="C730" s="27" t="s">
        <v>303</v>
      </c>
      <c r="D730" s="8"/>
      <c r="E730" s="8"/>
      <c r="F730" s="8"/>
      <c r="G730" s="8"/>
      <c r="H730" s="8"/>
      <c r="I730" s="8"/>
      <c r="J730" s="71"/>
      <c r="K730" s="157"/>
      <c r="L730" s="157"/>
      <c r="M730" s="141"/>
      <c r="N730" s="141"/>
      <c r="O730" s="141"/>
    </row>
    <row r="731" spans="1:15" ht="14.25">
      <c r="A731" s="10"/>
      <c r="B731" s="10" t="s">
        <v>304</v>
      </c>
      <c r="C731" s="27" t="s">
        <v>305</v>
      </c>
      <c r="D731" s="8"/>
      <c r="E731" s="8"/>
      <c r="F731" s="8"/>
      <c r="G731" s="8"/>
      <c r="H731" s="8"/>
      <c r="I731" s="8"/>
      <c r="J731" s="71"/>
      <c r="K731" s="157"/>
      <c r="L731" s="157"/>
      <c r="M731" s="141"/>
      <c r="N731" s="141"/>
      <c r="O731" s="141"/>
    </row>
    <row r="732" spans="1:15" ht="14.25">
      <c r="A732" s="10"/>
      <c r="B732" s="10" t="s">
        <v>306</v>
      </c>
      <c r="C732" s="27" t="s">
        <v>307</v>
      </c>
      <c r="D732" s="8" t="s">
        <v>171</v>
      </c>
      <c r="E732" s="8">
        <v>4</v>
      </c>
      <c r="F732" s="8">
        <v>1</v>
      </c>
      <c r="G732" s="8">
        <v>1</v>
      </c>
      <c r="H732" s="8"/>
      <c r="I732" s="8"/>
      <c r="J732" s="23">
        <f>E732*F732*G732</f>
        <v>4</v>
      </c>
      <c r="K732" s="157"/>
      <c r="L732" s="157"/>
      <c r="M732" s="141"/>
      <c r="N732" s="141"/>
      <c r="O732" s="141"/>
    </row>
    <row r="733" spans="1:15" ht="14.25">
      <c r="A733" s="10"/>
      <c r="B733" s="10"/>
      <c r="C733" s="27"/>
      <c r="D733" s="8"/>
      <c r="E733" s="8"/>
      <c r="F733" s="8"/>
      <c r="G733" s="8"/>
      <c r="H733" s="8"/>
      <c r="I733" s="8"/>
      <c r="J733" s="23"/>
      <c r="K733" s="157"/>
      <c r="L733" s="157"/>
      <c r="M733" s="141"/>
      <c r="N733" s="141"/>
      <c r="O733" s="141"/>
    </row>
    <row r="734" spans="1:15" ht="14.25">
      <c r="A734" s="10"/>
      <c r="B734" s="10"/>
      <c r="C734" s="9"/>
      <c r="D734" s="8"/>
      <c r="E734" s="8"/>
      <c r="F734" s="8"/>
      <c r="G734" s="8"/>
      <c r="H734" s="8"/>
      <c r="I734" s="8"/>
      <c r="J734" s="8"/>
      <c r="K734" s="141"/>
      <c r="L734" s="141"/>
      <c r="M734" s="141"/>
      <c r="N734" s="141"/>
      <c r="O734" s="141"/>
    </row>
    <row r="735" spans="1:15" ht="25.5">
      <c r="A735" s="10" t="s">
        <v>269</v>
      </c>
      <c r="B735" s="10" t="s">
        <v>319</v>
      </c>
      <c r="C735" s="27" t="s">
        <v>318</v>
      </c>
      <c r="D735" s="18" t="s">
        <v>171</v>
      </c>
      <c r="E735" s="18">
        <v>4</v>
      </c>
      <c r="F735" s="18">
        <v>3</v>
      </c>
      <c r="G735" s="18">
        <v>2</v>
      </c>
      <c r="H735" s="18"/>
      <c r="I735" s="18"/>
      <c r="J735" s="17">
        <f>E735*F735*G735</f>
        <v>24</v>
      </c>
      <c r="K735" s="141"/>
      <c r="L735" s="141"/>
      <c r="M735" s="141"/>
      <c r="N735" s="141"/>
      <c r="O735" s="141"/>
    </row>
    <row r="736" spans="1:15" ht="14.25">
      <c r="A736" s="10"/>
      <c r="B736" s="10"/>
      <c r="C736" s="27"/>
      <c r="D736" s="18"/>
      <c r="E736" s="18"/>
      <c r="F736" s="18"/>
      <c r="G736" s="18"/>
      <c r="H736" s="18"/>
      <c r="I736" s="18"/>
      <c r="J736" s="17"/>
      <c r="K736" s="141"/>
      <c r="L736" s="141"/>
      <c r="M736" s="141"/>
      <c r="N736" s="141"/>
      <c r="O736" s="141"/>
    </row>
    <row r="737" spans="1:15" ht="14.25">
      <c r="A737" s="10"/>
      <c r="B737" s="10"/>
      <c r="C737" s="27"/>
      <c r="D737" s="8"/>
      <c r="E737" s="8"/>
      <c r="F737" s="8"/>
      <c r="G737" s="8"/>
      <c r="H737" s="8"/>
      <c r="I737" s="8"/>
      <c r="J737" s="17"/>
      <c r="K737" s="157"/>
      <c r="L737" s="157"/>
      <c r="M737" s="141"/>
      <c r="N737" s="141"/>
      <c r="O737" s="141"/>
    </row>
    <row r="738" spans="1:15" ht="63.75">
      <c r="A738" s="10" t="s">
        <v>271</v>
      </c>
      <c r="B738" s="10" t="s">
        <v>321</v>
      </c>
      <c r="C738" s="67" t="s">
        <v>738</v>
      </c>
      <c r="D738" s="8" t="s">
        <v>171</v>
      </c>
      <c r="E738" s="8">
        <v>4</v>
      </c>
      <c r="F738" s="8">
        <v>2</v>
      </c>
      <c r="G738" s="8">
        <v>1</v>
      </c>
      <c r="H738" s="8"/>
      <c r="I738" s="8"/>
      <c r="J738" s="17">
        <f>E738*F738*G738</f>
        <v>8</v>
      </c>
      <c r="K738" s="157"/>
      <c r="L738" s="157"/>
      <c r="M738" s="141"/>
      <c r="N738" s="141"/>
      <c r="O738" s="141"/>
    </row>
    <row r="739" spans="1:15" ht="14.25">
      <c r="A739" s="10"/>
      <c r="B739" s="10"/>
      <c r="C739" s="67"/>
      <c r="D739" s="8"/>
      <c r="E739" s="8"/>
      <c r="F739" s="8"/>
      <c r="G739" s="8"/>
      <c r="H739" s="8"/>
      <c r="I739" s="8"/>
      <c r="J739" s="17"/>
      <c r="K739" s="157"/>
      <c r="L739" s="157"/>
      <c r="M739" s="141"/>
      <c r="N739" s="141"/>
      <c r="O739" s="141"/>
    </row>
    <row r="740" spans="1:15" ht="63.75">
      <c r="A740" s="10" t="s">
        <v>275</v>
      </c>
      <c r="B740" s="68">
        <v>17.72</v>
      </c>
      <c r="C740" s="27" t="s">
        <v>739</v>
      </c>
      <c r="D740" s="18" t="s">
        <v>171</v>
      </c>
      <c r="E740" s="18">
        <v>4</v>
      </c>
      <c r="F740" s="18">
        <v>2</v>
      </c>
      <c r="G740" s="18">
        <v>1</v>
      </c>
      <c r="H740" s="18"/>
      <c r="I740" s="18"/>
      <c r="J740" s="17">
        <f>E740*F740*G740</f>
        <v>8</v>
      </c>
      <c r="K740" s="157"/>
      <c r="L740" s="157"/>
      <c r="M740" s="141"/>
      <c r="N740" s="141"/>
      <c r="O740" s="141"/>
    </row>
    <row r="741" spans="1:15" ht="14.25">
      <c r="A741" s="10"/>
      <c r="B741" s="10"/>
      <c r="C741" s="27"/>
      <c r="D741" s="8"/>
      <c r="E741" s="8"/>
      <c r="F741" s="8"/>
      <c r="G741" s="8"/>
      <c r="H741" s="8"/>
      <c r="I741" s="8"/>
      <c r="J741" s="17"/>
      <c r="K741" s="157"/>
      <c r="L741" s="157"/>
      <c r="M741" s="141"/>
      <c r="N741" s="141"/>
      <c r="O741" s="141"/>
    </row>
    <row r="742" spans="1:15" ht="51">
      <c r="A742" s="68">
        <v>72</v>
      </c>
      <c r="B742" s="10" t="s">
        <v>325</v>
      </c>
      <c r="C742" s="27" t="s">
        <v>326</v>
      </c>
      <c r="D742" s="8"/>
      <c r="E742" s="8"/>
      <c r="F742" s="8"/>
      <c r="G742" s="8"/>
      <c r="H742" s="8"/>
      <c r="I742" s="8"/>
      <c r="J742" s="23"/>
      <c r="K742" s="157"/>
      <c r="L742" s="157"/>
      <c r="M742" s="141"/>
      <c r="N742" s="141"/>
      <c r="O742" s="141"/>
    </row>
    <row r="743" spans="1:15" ht="38.25">
      <c r="A743" s="10"/>
      <c r="B743" s="10" t="s">
        <v>327</v>
      </c>
      <c r="C743" s="27" t="s">
        <v>328</v>
      </c>
      <c r="D743" s="18" t="s">
        <v>171</v>
      </c>
      <c r="E743" s="18">
        <v>4</v>
      </c>
      <c r="F743" s="18">
        <v>2</v>
      </c>
      <c r="G743" s="18">
        <v>1</v>
      </c>
      <c r="H743" s="18"/>
      <c r="I743" s="18"/>
      <c r="J743" s="23">
        <f>E743*F743*G743</f>
        <v>8</v>
      </c>
      <c r="K743" s="157"/>
      <c r="L743" s="157"/>
      <c r="M743" s="141"/>
      <c r="N743" s="141"/>
      <c r="O743" s="141"/>
    </row>
    <row r="744" spans="1:15" ht="14.25">
      <c r="A744" s="10"/>
      <c r="B744" s="10"/>
      <c r="C744" s="27"/>
      <c r="D744" s="18"/>
      <c r="E744" s="18"/>
      <c r="F744" s="18"/>
      <c r="G744" s="18"/>
      <c r="H744" s="18"/>
      <c r="I744" s="18"/>
      <c r="J744" s="23"/>
      <c r="K744" s="157"/>
      <c r="L744" s="157"/>
      <c r="M744" s="141"/>
      <c r="N744" s="141"/>
      <c r="O744" s="141"/>
    </row>
    <row r="745" spans="1:15" ht="38.25">
      <c r="A745" s="10" t="s">
        <v>284</v>
      </c>
      <c r="B745" s="10" t="s">
        <v>330</v>
      </c>
      <c r="C745" s="27" t="s">
        <v>331</v>
      </c>
      <c r="D745" s="18" t="s">
        <v>171</v>
      </c>
      <c r="E745" s="18">
        <v>4</v>
      </c>
      <c r="F745" s="18">
        <v>2</v>
      </c>
      <c r="G745" s="18">
        <v>1</v>
      </c>
      <c r="H745" s="18"/>
      <c r="I745" s="18"/>
      <c r="J745" s="23">
        <f>E745*F745*G745</f>
        <v>8</v>
      </c>
      <c r="K745" s="157"/>
      <c r="L745" s="157"/>
      <c r="M745" s="141"/>
      <c r="N745" s="141"/>
      <c r="O745" s="141"/>
    </row>
    <row r="746" spans="1:15" ht="89.25">
      <c r="A746" s="10" t="s">
        <v>286</v>
      </c>
      <c r="B746" s="10" t="s">
        <v>333</v>
      </c>
      <c r="C746" s="67" t="s">
        <v>334</v>
      </c>
      <c r="D746" s="18" t="s">
        <v>171</v>
      </c>
      <c r="E746" s="8">
        <v>4</v>
      </c>
      <c r="F746" s="8">
        <v>1</v>
      </c>
      <c r="G746" s="8">
        <v>1</v>
      </c>
      <c r="H746" s="8"/>
      <c r="I746" s="8"/>
      <c r="J746" s="23">
        <f>E746*F746*G746</f>
        <v>4</v>
      </c>
      <c r="K746" s="157"/>
      <c r="L746" s="157"/>
      <c r="M746" s="141"/>
      <c r="N746" s="141"/>
      <c r="O746" s="141"/>
    </row>
    <row r="747" spans="1:15" ht="14.25">
      <c r="A747" s="10"/>
      <c r="B747" s="10"/>
      <c r="C747" s="27"/>
      <c r="D747" s="18"/>
      <c r="E747" s="18"/>
      <c r="F747" s="18"/>
      <c r="G747" s="18"/>
      <c r="H747" s="18"/>
      <c r="I747" s="18"/>
      <c r="J747" s="23"/>
      <c r="K747" s="157"/>
      <c r="L747" s="157"/>
      <c r="M747" s="141"/>
      <c r="N747" s="141"/>
      <c r="O747" s="141"/>
    </row>
    <row r="748" spans="1:15" ht="14.25">
      <c r="A748" s="10" t="s">
        <v>287</v>
      </c>
      <c r="B748" s="10" t="s">
        <v>336</v>
      </c>
      <c r="C748" s="27" t="s">
        <v>337</v>
      </c>
      <c r="D748" s="8"/>
      <c r="E748" s="8"/>
      <c r="F748" s="8"/>
      <c r="G748" s="8"/>
      <c r="H748" s="8"/>
      <c r="I748" s="8"/>
      <c r="J748" s="17"/>
      <c r="K748" s="157"/>
      <c r="L748" s="157"/>
      <c r="M748" s="141"/>
      <c r="N748" s="141"/>
      <c r="O748" s="141"/>
    </row>
    <row r="749" spans="1:15" ht="14.25">
      <c r="A749" s="10" t="s">
        <v>683</v>
      </c>
      <c r="B749" s="10" t="s">
        <v>338</v>
      </c>
      <c r="C749" s="27" t="s">
        <v>339</v>
      </c>
      <c r="D749" s="8" t="s">
        <v>171</v>
      </c>
      <c r="E749" s="8">
        <v>4</v>
      </c>
      <c r="F749" s="8">
        <v>1</v>
      </c>
      <c r="G749" s="8">
        <v>1</v>
      </c>
      <c r="H749" s="8"/>
      <c r="I749" s="8"/>
      <c r="J749" s="17">
        <f>E749*F749*G749</f>
        <v>4</v>
      </c>
      <c r="K749" s="157"/>
      <c r="L749" s="157"/>
      <c r="M749" s="141"/>
      <c r="N749" s="141"/>
      <c r="O749" s="141"/>
    </row>
    <row r="750" spans="1:15" ht="14.25">
      <c r="A750" s="10"/>
      <c r="B750" s="10"/>
      <c r="C750" s="27"/>
      <c r="D750" s="8"/>
      <c r="E750" s="8"/>
      <c r="F750" s="8"/>
      <c r="G750" s="8"/>
      <c r="H750" s="8"/>
      <c r="I750" s="8"/>
      <c r="J750" s="17"/>
      <c r="K750" s="157"/>
      <c r="L750" s="157"/>
      <c r="M750" s="141"/>
      <c r="N750" s="141"/>
      <c r="O750" s="141"/>
    </row>
    <row r="751" spans="1:15" ht="25.5">
      <c r="A751" s="10" t="s">
        <v>288</v>
      </c>
      <c r="B751" s="10" t="s">
        <v>341</v>
      </c>
      <c r="C751" s="27" t="s">
        <v>342</v>
      </c>
      <c r="D751" s="70"/>
      <c r="E751" s="70"/>
      <c r="F751" s="70"/>
      <c r="G751" s="70"/>
      <c r="H751" s="70"/>
      <c r="I751" s="70"/>
      <c r="J751" s="69"/>
      <c r="K751" s="157"/>
      <c r="L751" s="157"/>
      <c r="M751" s="141"/>
      <c r="N751" s="141"/>
      <c r="O751" s="141"/>
    </row>
    <row r="752" spans="1:15" ht="25.5">
      <c r="A752" s="16"/>
      <c r="B752" s="10" t="s">
        <v>343</v>
      </c>
      <c r="C752" s="27" t="s">
        <v>344</v>
      </c>
      <c r="D752" s="18" t="s">
        <v>171</v>
      </c>
      <c r="E752" s="18">
        <v>4</v>
      </c>
      <c r="F752" s="18">
        <v>3</v>
      </c>
      <c r="G752" s="18">
        <v>1</v>
      </c>
      <c r="H752" s="18"/>
      <c r="I752" s="18"/>
      <c r="J752" s="17">
        <f>E752*F752*G752</f>
        <v>12</v>
      </c>
      <c r="K752" s="157"/>
      <c r="L752" s="157"/>
      <c r="M752" s="141"/>
      <c r="N752" s="141"/>
      <c r="O752" s="141"/>
    </row>
    <row r="753" spans="1:15" ht="14.25">
      <c r="A753" s="10"/>
      <c r="B753" s="10"/>
      <c r="C753" s="9"/>
      <c r="D753" s="8"/>
      <c r="E753" s="8"/>
      <c r="F753" s="8"/>
      <c r="G753" s="8"/>
      <c r="H753" s="8"/>
      <c r="I753" s="8"/>
      <c r="J753" s="64"/>
      <c r="K753" s="157"/>
      <c r="L753" s="157"/>
      <c r="M753" s="141"/>
      <c r="N753" s="141"/>
      <c r="O753" s="141"/>
    </row>
    <row r="754" spans="1:15" ht="14.25">
      <c r="A754" s="10"/>
      <c r="B754" s="10"/>
      <c r="C754" s="9"/>
      <c r="D754" s="8"/>
      <c r="E754" s="8"/>
      <c r="F754" s="8"/>
      <c r="G754" s="8"/>
      <c r="H754" s="8"/>
      <c r="I754" s="8"/>
      <c r="J754" s="64"/>
      <c r="K754" s="157"/>
      <c r="L754" s="157"/>
      <c r="M754" s="141"/>
      <c r="N754" s="141"/>
      <c r="O754" s="141"/>
    </row>
    <row r="755" spans="1:15" ht="140.44999999999999" customHeight="1">
      <c r="A755" s="10" t="s">
        <v>293</v>
      </c>
      <c r="B755" s="10" t="s">
        <v>347</v>
      </c>
      <c r="C755" s="9" t="s">
        <v>740</v>
      </c>
      <c r="D755" s="8"/>
      <c r="E755" s="8"/>
      <c r="F755" s="8"/>
      <c r="G755" s="8"/>
      <c r="H755" s="8"/>
      <c r="I755" s="8"/>
      <c r="J755" s="64"/>
      <c r="K755" s="157"/>
      <c r="L755" s="157"/>
      <c r="M755" s="141"/>
      <c r="N755" s="141"/>
      <c r="O755" s="141"/>
    </row>
    <row r="756" spans="1:15" ht="14.25">
      <c r="A756" s="10" t="s">
        <v>348</v>
      </c>
      <c r="B756" s="10" t="s">
        <v>349</v>
      </c>
      <c r="C756" s="9" t="s">
        <v>350</v>
      </c>
      <c r="D756" s="8" t="s">
        <v>741</v>
      </c>
      <c r="E756" s="8"/>
      <c r="F756" s="8"/>
      <c r="G756" s="8"/>
      <c r="H756" s="8"/>
      <c r="I756" s="8"/>
      <c r="J756" s="64">
        <v>100</v>
      </c>
      <c r="K756" s="157"/>
      <c r="L756" s="157"/>
      <c r="M756" s="141"/>
      <c r="N756" s="141"/>
      <c r="O756" s="141"/>
    </row>
    <row r="757" spans="1:15" ht="15">
      <c r="A757" s="10" t="s">
        <v>351</v>
      </c>
      <c r="B757" s="3" t="s">
        <v>352</v>
      </c>
      <c r="C757" s="6" t="s">
        <v>353</v>
      </c>
      <c r="D757" s="8" t="s">
        <v>741</v>
      </c>
      <c r="E757" s="8"/>
      <c r="F757" s="8"/>
      <c r="G757" s="8"/>
      <c r="H757" s="8"/>
      <c r="I757" s="8"/>
      <c r="J757" s="64">
        <v>50</v>
      </c>
      <c r="K757" s="157"/>
      <c r="L757" s="157"/>
      <c r="M757" s="141"/>
      <c r="N757" s="141"/>
      <c r="O757" s="141"/>
    </row>
    <row r="758" spans="1:15" ht="15">
      <c r="A758" s="10" t="s">
        <v>354</v>
      </c>
      <c r="B758" s="2" t="s">
        <v>355</v>
      </c>
      <c r="C758" s="6" t="s">
        <v>356</v>
      </c>
      <c r="D758" s="8" t="s">
        <v>741</v>
      </c>
      <c r="E758" s="8"/>
      <c r="F758" s="8"/>
      <c r="G758" s="8"/>
      <c r="H758" s="8"/>
      <c r="I758" s="8"/>
      <c r="J758" s="64">
        <v>50</v>
      </c>
      <c r="K758" s="157"/>
      <c r="L758" s="157"/>
      <c r="M758" s="141"/>
      <c r="N758" s="141"/>
      <c r="O758" s="141"/>
    </row>
    <row r="759" spans="1:15" ht="14.25">
      <c r="A759" s="10"/>
      <c r="B759" s="10"/>
      <c r="C759" s="9"/>
      <c r="D759" s="8"/>
      <c r="E759" s="8"/>
      <c r="F759" s="8"/>
      <c r="G759" s="8"/>
      <c r="H759" s="8"/>
      <c r="I759" s="8"/>
      <c r="J759" s="64"/>
      <c r="K759" s="157"/>
      <c r="L759" s="157"/>
      <c r="M759" s="141"/>
      <c r="N759" s="141"/>
      <c r="O759" s="141"/>
    </row>
    <row r="760" spans="1:15" ht="140.25">
      <c r="A760" s="10" t="s">
        <v>296</v>
      </c>
      <c r="B760" s="10" t="s">
        <v>358</v>
      </c>
      <c r="C760" s="27" t="s">
        <v>742</v>
      </c>
      <c r="D760" s="8"/>
      <c r="E760" s="8"/>
      <c r="F760" s="8"/>
      <c r="G760" s="8"/>
      <c r="H760" s="8"/>
      <c r="I760" s="8"/>
      <c r="J760" s="64"/>
      <c r="K760" s="157"/>
      <c r="L760" s="157"/>
      <c r="M760" s="141"/>
      <c r="N760" s="141"/>
      <c r="O760" s="141"/>
    </row>
    <row r="761" spans="1:15" ht="14.25">
      <c r="A761" s="10" t="s">
        <v>84</v>
      </c>
      <c r="B761" s="10" t="s">
        <v>359</v>
      </c>
      <c r="C761" s="35" t="s">
        <v>360</v>
      </c>
      <c r="D761" s="8" t="s">
        <v>741</v>
      </c>
      <c r="E761" s="8"/>
      <c r="F761" s="8"/>
      <c r="G761" s="8"/>
      <c r="H761" s="8"/>
      <c r="I761" s="8"/>
      <c r="J761" s="64">
        <v>100</v>
      </c>
      <c r="K761" s="157"/>
      <c r="L761" s="157"/>
      <c r="M761" s="141"/>
      <c r="N761" s="141"/>
      <c r="O761" s="141"/>
    </row>
    <row r="762" spans="1:15" ht="14.25">
      <c r="A762" s="10"/>
      <c r="B762" s="10"/>
      <c r="C762" s="35"/>
      <c r="D762" s="8"/>
      <c r="E762" s="8"/>
      <c r="F762" s="8"/>
      <c r="G762" s="8"/>
      <c r="H762" s="8"/>
      <c r="I762" s="8"/>
      <c r="J762" s="23"/>
      <c r="K762" s="157"/>
      <c r="L762" s="157"/>
      <c r="M762" s="141"/>
      <c r="N762" s="141"/>
      <c r="O762" s="141"/>
    </row>
    <row r="763" spans="1:15" ht="14.25">
      <c r="A763" s="10" t="s">
        <v>87</v>
      </c>
      <c r="B763" s="10" t="s">
        <v>361</v>
      </c>
      <c r="C763" s="35" t="s">
        <v>350</v>
      </c>
      <c r="D763" s="8" t="s">
        <v>741</v>
      </c>
      <c r="E763" s="8"/>
      <c r="F763" s="8"/>
      <c r="G763" s="8"/>
      <c r="H763" s="8"/>
      <c r="I763" s="8"/>
      <c r="J763" s="23">
        <v>100</v>
      </c>
      <c r="K763" s="157"/>
      <c r="L763" s="157"/>
      <c r="M763" s="141"/>
      <c r="N763" s="141"/>
      <c r="O763" s="141"/>
    </row>
    <row r="764" spans="1:15" ht="14.25">
      <c r="A764" s="10"/>
      <c r="B764" s="10"/>
      <c r="C764" s="27"/>
      <c r="D764" s="8"/>
      <c r="E764" s="8"/>
      <c r="F764" s="8"/>
      <c r="G764" s="8"/>
      <c r="H764" s="8"/>
      <c r="I764" s="8"/>
      <c r="J764" s="23"/>
      <c r="K764" s="157"/>
      <c r="L764" s="157"/>
      <c r="M764" s="141"/>
      <c r="N764" s="141"/>
      <c r="O764" s="141"/>
    </row>
    <row r="765" spans="1:15" ht="25.5">
      <c r="A765" s="10" t="s">
        <v>301</v>
      </c>
      <c r="B765" s="10" t="s">
        <v>363</v>
      </c>
      <c r="C765" s="27" t="s">
        <v>364</v>
      </c>
      <c r="D765" s="8"/>
      <c r="E765" s="8"/>
      <c r="F765" s="8"/>
      <c r="G765" s="8"/>
      <c r="H765" s="8"/>
      <c r="I765" s="8"/>
      <c r="J765" s="23"/>
      <c r="K765" s="157"/>
      <c r="L765" s="157"/>
      <c r="M765" s="141"/>
      <c r="N765" s="141"/>
      <c r="O765" s="141"/>
    </row>
    <row r="766" spans="1:15" ht="14.25">
      <c r="A766" s="10" t="s">
        <v>84</v>
      </c>
      <c r="B766" s="10" t="s">
        <v>365</v>
      </c>
      <c r="C766" s="27" t="s">
        <v>366</v>
      </c>
      <c r="D766" s="8" t="s">
        <v>743</v>
      </c>
      <c r="E766" s="8"/>
      <c r="F766" s="8"/>
      <c r="G766" s="8"/>
      <c r="H766" s="8"/>
      <c r="I766" s="8"/>
      <c r="J766" s="23">
        <v>4</v>
      </c>
      <c r="K766" s="157"/>
      <c r="L766" s="157"/>
      <c r="M766" s="141"/>
      <c r="N766" s="141"/>
      <c r="O766" s="141"/>
    </row>
    <row r="767" spans="1:15" ht="14.25">
      <c r="A767" s="10" t="s">
        <v>87</v>
      </c>
      <c r="B767" s="10" t="s">
        <v>367</v>
      </c>
      <c r="C767" s="27" t="s">
        <v>368</v>
      </c>
      <c r="D767" s="8" t="s">
        <v>743</v>
      </c>
      <c r="E767" s="8"/>
      <c r="F767" s="8"/>
      <c r="G767" s="8"/>
      <c r="H767" s="8"/>
      <c r="I767" s="8"/>
      <c r="J767" s="64">
        <v>4</v>
      </c>
      <c r="K767" s="157"/>
      <c r="L767" s="157"/>
      <c r="M767" s="141"/>
      <c r="N767" s="141"/>
      <c r="O767" s="141"/>
    </row>
    <row r="768" spans="1:15" ht="14.25">
      <c r="A768" s="10"/>
      <c r="B768" s="10"/>
      <c r="C768" s="27"/>
      <c r="D768" s="8"/>
      <c r="E768" s="8"/>
      <c r="F768" s="8"/>
      <c r="G768" s="8"/>
      <c r="H768" s="8"/>
      <c r="I768" s="8"/>
      <c r="J768" s="23"/>
      <c r="K768" s="157"/>
      <c r="L768" s="157"/>
      <c r="M768" s="141"/>
      <c r="N768" s="141"/>
      <c r="O768" s="141"/>
    </row>
    <row r="769" spans="1:15" ht="38.25">
      <c r="A769" s="10" t="s">
        <v>308</v>
      </c>
      <c r="B769" s="10" t="s">
        <v>370</v>
      </c>
      <c r="C769" s="27" t="s">
        <v>371</v>
      </c>
      <c r="D769" s="8"/>
      <c r="E769" s="8"/>
      <c r="F769" s="8"/>
      <c r="G769" s="8"/>
      <c r="H769" s="8"/>
      <c r="I769" s="8"/>
      <c r="J769" s="64"/>
      <c r="K769" s="157"/>
      <c r="L769" s="157"/>
      <c r="M769" s="141"/>
      <c r="N769" s="141"/>
      <c r="O769" s="141"/>
    </row>
    <row r="770" spans="1:15" ht="14.25">
      <c r="A770" s="10"/>
      <c r="B770" s="10" t="s">
        <v>372</v>
      </c>
      <c r="C770" s="27" t="s">
        <v>366</v>
      </c>
      <c r="D770" s="8" t="s">
        <v>171</v>
      </c>
      <c r="E770" s="8">
        <v>2</v>
      </c>
      <c r="F770" s="8">
        <v>1</v>
      </c>
      <c r="G770" s="8">
        <v>1</v>
      </c>
      <c r="H770" s="8"/>
      <c r="I770" s="8"/>
      <c r="J770" s="23">
        <f>E770*F770*G770</f>
        <v>2</v>
      </c>
      <c r="K770" s="157"/>
      <c r="L770" s="157"/>
      <c r="M770" s="141"/>
      <c r="N770" s="141"/>
      <c r="O770" s="141"/>
    </row>
    <row r="771" spans="1:15" ht="14.25">
      <c r="A771" s="10"/>
      <c r="B771" s="10"/>
      <c r="C771" s="27"/>
      <c r="D771" s="8"/>
      <c r="E771" s="8"/>
      <c r="F771" s="8"/>
      <c r="G771" s="8"/>
      <c r="H771" s="8"/>
      <c r="I771" s="8"/>
      <c r="J771" s="23"/>
      <c r="K771" s="157"/>
      <c r="L771" s="157"/>
      <c r="M771" s="141"/>
      <c r="N771" s="141"/>
      <c r="O771" s="141"/>
    </row>
    <row r="772" spans="1:15" ht="25.5">
      <c r="A772" s="10" t="s">
        <v>309</v>
      </c>
      <c r="B772" s="10" t="s">
        <v>374</v>
      </c>
      <c r="C772" s="27" t="s">
        <v>744</v>
      </c>
      <c r="D772" s="8"/>
      <c r="E772" s="8"/>
      <c r="F772" s="8"/>
      <c r="G772" s="8"/>
      <c r="H772" s="8"/>
      <c r="I772" s="8"/>
      <c r="J772" s="64"/>
      <c r="K772" s="157"/>
      <c r="L772" s="157"/>
      <c r="M772" s="141"/>
      <c r="N772" s="141"/>
      <c r="O772" s="141"/>
    </row>
    <row r="773" spans="1:15" ht="14.25">
      <c r="A773" s="10"/>
      <c r="B773" s="10" t="s">
        <v>375</v>
      </c>
      <c r="C773" s="27" t="s">
        <v>376</v>
      </c>
      <c r="D773" s="8"/>
      <c r="E773" s="8"/>
      <c r="F773" s="8"/>
      <c r="G773" s="8"/>
      <c r="H773" s="8"/>
      <c r="I773" s="8"/>
      <c r="J773" s="64"/>
      <c r="K773" s="157"/>
      <c r="L773" s="157"/>
      <c r="M773" s="141"/>
      <c r="N773" s="141"/>
      <c r="O773" s="141"/>
    </row>
    <row r="774" spans="1:15" ht="14.25">
      <c r="A774" s="10" t="s">
        <v>640</v>
      </c>
      <c r="B774" s="10" t="s">
        <v>377</v>
      </c>
      <c r="C774" s="27" t="s">
        <v>378</v>
      </c>
      <c r="D774" s="8" t="s">
        <v>171</v>
      </c>
      <c r="E774" s="8">
        <v>1</v>
      </c>
      <c r="F774" s="8">
        <v>1</v>
      </c>
      <c r="G774" s="8">
        <v>1</v>
      </c>
      <c r="H774" s="8"/>
      <c r="I774" s="8"/>
      <c r="J774" s="23">
        <f>E774*F774*G774</f>
        <v>1</v>
      </c>
      <c r="K774" s="157"/>
      <c r="L774" s="157"/>
      <c r="M774" s="141"/>
      <c r="N774" s="141"/>
      <c r="O774" s="141"/>
    </row>
    <row r="775" spans="1:15" ht="14.25">
      <c r="A775" s="10"/>
      <c r="B775" s="10" t="s">
        <v>379</v>
      </c>
      <c r="C775" s="27" t="s">
        <v>380</v>
      </c>
      <c r="D775" s="8" t="s">
        <v>171</v>
      </c>
      <c r="E775" s="8">
        <v>1</v>
      </c>
      <c r="F775" s="8">
        <v>1</v>
      </c>
      <c r="G775" s="8">
        <v>1</v>
      </c>
      <c r="H775" s="8"/>
      <c r="I775" s="8"/>
      <c r="J775" s="23">
        <f>E775*F775*G775</f>
        <v>1</v>
      </c>
      <c r="K775" s="157"/>
      <c r="L775" s="157"/>
      <c r="M775" s="141"/>
      <c r="N775" s="141"/>
      <c r="O775" s="141"/>
    </row>
    <row r="776" spans="1:15" ht="14.25">
      <c r="A776" s="10"/>
      <c r="B776" s="10"/>
      <c r="C776" s="27"/>
      <c r="D776" s="8"/>
      <c r="E776" s="8"/>
      <c r="F776" s="8"/>
      <c r="G776" s="8"/>
      <c r="H776" s="8"/>
      <c r="I776" s="8"/>
      <c r="J776" s="23"/>
      <c r="K776" s="157"/>
      <c r="L776" s="157"/>
      <c r="M776" s="141"/>
      <c r="N776" s="141"/>
      <c r="O776" s="141"/>
    </row>
    <row r="777" spans="1:15" ht="25.5">
      <c r="A777" s="10" t="s">
        <v>745</v>
      </c>
      <c r="B777" s="10" t="s">
        <v>381</v>
      </c>
      <c r="C777" s="27" t="s">
        <v>382</v>
      </c>
      <c r="D777" s="8"/>
      <c r="E777" s="8"/>
      <c r="F777" s="8"/>
      <c r="G777" s="8"/>
      <c r="H777" s="8"/>
      <c r="I777" s="8"/>
      <c r="J777" s="23"/>
      <c r="K777" s="157"/>
      <c r="L777" s="157"/>
      <c r="M777" s="141"/>
      <c r="N777" s="141"/>
      <c r="O777" s="141"/>
    </row>
    <row r="778" spans="1:15" ht="14.25">
      <c r="A778" s="10" t="s">
        <v>683</v>
      </c>
      <c r="B778" s="10" t="s">
        <v>383</v>
      </c>
      <c r="C778" s="27" t="s">
        <v>384</v>
      </c>
      <c r="D778" s="8"/>
      <c r="E778" s="8"/>
      <c r="F778" s="8"/>
      <c r="G778" s="8"/>
      <c r="H778" s="8"/>
      <c r="I778" s="8"/>
      <c r="J778" s="23"/>
      <c r="K778" s="157"/>
      <c r="L778" s="157"/>
      <c r="M778" s="141"/>
      <c r="N778" s="141"/>
      <c r="O778" s="141"/>
    </row>
    <row r="779" spans="1:15" ht="14.25">
      <c r="A779" s="10"/>
      <c r="B779" s="10" t="s">
        <v>385</v>
      </c>
      <c r="C779" s="27" t="s">
        <v>386</v>
      </c>
      <c r="D779" s="8" t="s">
        <v>171</v>
      </c>
      <c r="E779" s="8">
        <v>4</v>
      </c>
      <c r="F779" s="8">
        <v>2</v>
      </c>
      <c r="G779" s="8">
        <v>1</v>
      </c>
      <c r="H779" s="8"/>
      <c r="I779" s="8"/>
      <c r="J779" s="23">
        <f>E779*F779*G779</f>
        <v>8</v>
      </c>
      <c r="K779" s="157"/>
      <c r="L779" s="157"/>
      <c r="M779" s="141"/>
      <c r="N779" s="141"/>
      <c r="O779" s="141"/>
    </row>
    <row r="780" spans="1:15" ht="14.25">
      <c r="A780" s="10"/>
      <c r="B780" s="10"/>
      <c r="C780" s="27"/>
      <c r="D780" s="8"/>
      <c r="E780" s="8"/>
      <c r="F780" s="8"/>
      <c r="G780" s="8"/>
      <c r="H780" s="8"/>
      <c r="I780" s="8"/>
      <c r="J780" s="23"/>
      <c r="K780" s="157"/>
      <c r="L780" s="157"/>
      <c r="M780" s="141"/>
      <c r="N780" s="141"/>
      <c r="O780" s="141"/>
    </row>
    <row r="781" spans="1:15" ht="25.5">
      <c r="A781" s="10" t="s">
        <v>313</v>
      </c>
      <c r="B781" s="10" t="s">
        <v>387</v>
      </c>
      <c r="C781" s="27" t="s">
        <v>746</v>
      </c>
      <c r="D781" s="8"/>
      <c r="E781" s="8"/>
      <c r="F781" s="8"/>
      <c r="G781" s="8"/>
      <c r="H781" s="8"/>
      <c r="I781" s="8"/>
      <c r="J781" s="23"/>
      <c r="K781" s="157"/>
      <c r="L781" s="157"/>
      <c r="M781" s="141"/>
      <c r="N781" s="141"/>
      <c r="O781" s="141"/>
    </row>
    <row r="782" spans="1:15" ht="14.25">
      <c r="A782" s="10" t="s">
        <v>683</v>
      </c>
      <c r="B782" s="10" t="s">
        <v>388</v>
      </c>
      <c r="C782" s="27" t="s">
        <v>747</v>
      </c>
      <c r="D782" s="8" t="s">
        <v>171</v>
      </c>
      <c r="E782" s="8">
        <v>4</v>
      </c>
      <c r="F782" s="8">
        <v>2</v>
      </c>
      <c r="G782" s="8">
        <v>1</v>
      </c>
      <c r="H782" s="8"/>
      <c r="I782" s="8"/>
      <c r="J782" s="23">
        <f>E782*F782*G782</f>
        <v>8</v>
      </c>
      <c r="K782" s="157"/>
      <c r="L782" s="157"/>
      <c r="M782" s="141"/>
      <c r="N782" s="141"/>
      <c r="O782" s="141"/>
    </row>
    <row r="783" spans="1:15" ht="14.25">
      <c r="A783" s="10"/>
      <c r="B783" s="10"/>
      <c r="C783" s="9"/>
      <c r="D783" s="8"/>
      <c r="E783" s="8"/>
      <c r="F783" s="8"/>
      <c r="G783" s="8"/>
      <c r="H783" s="8"/>
      <c r="I783" s="8"/>
      <c r="J783" s="23"/>
      <c r="K783" s="157"/>
      <c r="L783" s="157"/>
      <c r="M783" s="141"/>
      <c r="N783" s="141"/>
      <c r="O783" s="141"/>
    </row>
    <row r="784" spans="1:15" ht="147.75" customHeight="1">
      <c r="A784" s="10" t="s">
        <v>315</v>
      </c>
      <c r="B784" s="10" t="s">
        <v>389</v>
      </c>
      <c r="C784" s="27" t="s">
        <v>390</v>
      </c>
      <c r="D784" s="8"/>
      <c r="E784" s="8"/>
      <c r="F784" s="8"/>
      <c r="G784" s="8"/>
      <c r="H784" s="8"/>
      <c r="I784" s="8"/>
      <c r="J784" s="23"/>
      <c r="K784" s="157"/>
      <c r="L784" s="157"/>
      <c r="M784" s="141"/>
      <c r="N784" s="141"/>
      <c r="O784" s="141"/>
    </row>
    <row r="785" spans="1:15" ht="25.5">
      <c r="A785" s="10" t="s">
        <v>683</v>
      </c>
      <c r="B785" s="10" t="s">
        <v>391</v>
      </c>
      <c r="C785" s="27" t="s">
        <v>392</v>
      </c>
      <c r="D785" s="8" t="s">
        <v>171</v>
      </c>
      <c r="E785" s="8">
        <v>1</v>
      </c>
      <c r="F785" s="8">
        <v>10</v>
      </c>
      <c r="G785" s="8">
        <v>1</v>
      </c>
      <c r="H785" s="8"/>
      <c r="I785" s="8"/>
      <c r="J785" s="17">
        <f>E785*F785*G785</f>
        <v>10</v>
      </c>
      <c r="K785" s="157"/>
      <c r="L785" s="157"/>
      <c r="M785" s="141"/>
      <c r="N785" s="141"/>
      <c r="O785" s="141"/>
    </row>
    <row r="786" spans="1:15" ht="14.25">
      <c r="A786" s="10"/>
      <c r="B786" s="10"/>
      <c r="C786" s="27"/>
      <c r="D786" s="8"/>
      <c r="E786" s="8"/>
      <c r="F786" s="8"/>
      <c r="G786" s="8"/>
      <c r="H786" s="8"/>
      <c r="I786" s="8"/>
      <c r="J786" s="23"/>
      <c r="K786" s="157"/>
      <c r="L786" s="157"/>
      <c r="M786" s="141"/>
      <c r="N786" s="141"/>
      <c r="O786" s="141"/>
    </row>
    <row r="787" spans="1:15" ht="14.25">
      <c r="A787" s="10"/>
      <c r="B787" s="10"/>
      <c r="C787" s="27"/>
      <c r="D787" s="8"/>
      <c r="E787" s="8"/>
      <c r="F787" s="8"/>
      <c r="G787" s="8"/>
      <c r="H787" s="8"/>
      <c r="I787" s="8"/>
      <c r="J787" s="23"/>
      <c r="K787" s="157"/>
      <c r="L787" s="157"/>
      <c r="M787" s="141"/>
      <c r="N787" s="141"/>
      <c r="O787" s="141"/>
    </row>
    <row r="788" spans="1:15" ht="63.75">
      <c r="A788" s="10" t="s">
        <v>316</v>
      </c>
      <c r="B788" s="10" t="s">
        <v>393</v>
      </c>
      <c r="C788" s="27" t="s">
        <v>748</v>
      </c>
      <c r="D788" s="18" t="s">
        <v>394</v>
      </c>
      <c r="E788" s="18">
        <v>4</v>
      </c>
      <c r="F788" s="18">
        <v>1</v>
      </c>
      <c r="G788" s="18">
        <v>1000</v>
      </c>
      <c r="H788" s="18"/>
      <c r="I788" s="18"/>
      <c r="J788" s="17">
        <f>E788*F788*G788</f>
        <v>4000</v>
      </c>
      <c r="K788" s="157"/>
      <c r="L788" s="157"/>
      <c r="M788" s="141"/>
      <c r="N788" s="141"/>
      <c r="O788" s="141"/>
    </row>
    <row r="789" spans="1:15" ht="14.25">
      <c r="A789" s="10"/>
      <c r="B789" s="10"/>
      <c r="C789" s="9"/>
      <c r="D789" s="8"/>
      <c r="E789" s="8"/>
      <c r="F789" s="8"/>
      <c r="G789" s="8"/>
      <c r="H789" s="8"/>
      <c r="I789" s="8"/>
      <c r="J789" s="23"/>
      <c r="K789" s="157"/>
      <c r="L789" s="157"/>
      <c r="M789" s="141"/>
      <c r="N789" s="141"/>
      <c r="O789" s="141"/>
    </row>
    <row r="790" spans="1:15" ht="25.5">
      <c r="A790" s="10" t="s">
        <v>320</v>
      </c>
      <c r="B790" s="10" t="s">
        <v>749</v>
      </c>
      <c r="C790" s="27" t="s">
        <v>750</v>
      </c>
      <c r="D790" s="8"/>
      <c r="E790" s="8"/>
      <c r="F790" s="8"/>
      <c r="G790" s="8"/>
      <c r="H790" s="8"/>
      <c r="I790" s="8"/>
      <c r="J790" s="23"/>
      <c r="K790" s="157"/>
      <c r="L790" s="157"/>
      <c r="M790" s="141"/>
      <c r="N790" s="141"/>
      <c r="O790" s="141"/>
    </row>
    <row r="791" spans="1:15" ht="14.25">
      <c r="A791" s="10"/>
      <c r="B791" s="10" t="s">
        <v>751</v>
      </c>
      <c r="C791" s="27" t="s">
        <v>386</v>
      </c>
      <c r="D791" s="8" t="s">
        <v>171</v>
      </c>
      <c r="E791" s="8">
        <v>4</v>
      </c>
      <c r="F791" s="18">
        <v>1</v>
      </c>
      <c r="G791" s="18">
        <v>3</v>
      </c>
      <c r="H791" s="18"/>
      <c r="I791" s="18"/>
      <c r="J791" s="17">
        <f>E791*F791*G791</f>
        <v>12</v>
      </c>
      <c r="K791" s="157"/>
      <c r="L791" s="157"/>
      <c r="M791" s="141"/>
      <c r="N791" s="141"/>
      <c r="O791" s="141"/>
    </row>
    <row r="792" spans="1:15" ht="14.25">
      <c r="A792" s="10"/>
      <c r="B792" s="10"/>
      <c r="C792" s="27"/>
      <c r="D792" s="8"/>
      <c r="E792" s="8"/>
      <c r="F792" s="18"/>
      <c r="G792" s="18"/>
      <c r="H792" s="18"/>
      <c r="I792" s="18"/>
      <c r="J792" s="17"/>
      <c r="K792" s="157"/>
      <c r="L792" s="157"/>
      <c r="M792" s="141"/>
      <c r="N792" s="141"/>
      <c r="O792" s="141"/>
    </row>
    <row r="793" spans="1:15" ht="25.5">
      <c r="A793" s="10" t="s">
        <v>323</v>
      </c>
      <c r="B793" s="10" t="s">
        <v>752</v>
      </c>
      <c r="C793" s="27" t="s">
        <v>753</v>
      </c>
      <c r="D793" s="8"/>
      <c r="E793" s="8"/>
      <c r="F793" s="8"/>
      <c r="G793" s="8"/>
      <c r="H793" s="8"/>
      <c r="I793" s="8"/>
      <c r="J793" s="23"/>
      <c r="K793" s="157"/>
      <c r="L793" s="157"/>
      <c r="M793" s="141"/>
      <c r="N793" s="141"/>
      <c r="O793" s="141"/>
    </row>
    <row r="794" spans="1:15" ht="14.25">
      <c r="A794" s="10"/>
      <c r="B794" s="10" t="s">
        <v>754</v>
      </c>
      <c r="C794" s="27" t="s">
        <v>386</v>
      </c>
      <c r="D794" s="8" t="s">
        <v>171</v>
      </c>
      <c r="E794" s="8">
        <v>4</v>
      </c>
      <c r="F794" s="18">
        <v>2</v>
      </c>
      <c r="G794" s="18">
        <v>1</v>
      </c>
      <c r="H794" s="18"/>
      <c r="I794" s="18"/>
      <c r="J794" s="17">
        <f>E794*F794*G794</f>
        <v>8</v>
      </c>
      <c r="K794" s="157"/>
      <c r="L794" s="157"/>
      <c r="M794" s="141"/>
      <c r="N794" s="141"/>
      <c r="O794" s="141"/>
    </row>
    <row r="795" spans="1:15" ht="14.25">
      <c r="A795" s="10"/>
      <c r="B795" s="10"/>
      <c r="C795" s="9"/>
      <c r="D795" s="8"/>
      <c r="E795" s="8"/>
      <c r="F795" s="8"/>
      <c r="G795" s="8"/>
      <c r="H795" s="8"/>
      <c r="I795" s="8"/>
      <c r="J795" s="23"/>
      <c r="K795" s="157"/>
      <c r="L795" s="157"/>
      <c r="M795" s="141"/>
      <c r="N795" s="141"/>
      <c r="O795" s="141"/>
    </row>
    <row r="796" spans="1:15" ht="27" customHeight="1">
      <c r="A796" s="10" t="s">
        <v>324</v>
      </c>
      <c r="B796" s="10" t="s">
        <v>755</v>
      </c>
      <c r="C796" s="9" t="s">
        <v>756</v>
      </c>
      <c r="D796" s="8"/>
      <c r="E796" s="8"/>
      <c r="F796" s="8"/>
      <c r="G796" s="8"/>
      <c r="H796" s="8"/>
      <c r="I796" s="8"/>
      <c r="J796" s="23"/>
      <c r="K796" s="157"/>
      <c r="L796" s="157"/>
      <c r="M796" s="141"/>
      <c r="N796" s="141"/>
      <c r="O796" s="141"/>
    </row>
    <row r="797" spans="1:15" ht="33.6" customHeight="1">
      <c r="A797" s="10"/>
      <c r="B797" s="10" t="s">
        <v>757</v>
      </c>
      <c r="C797" s="9" t="s">
        <v>758</v>
      </c>
      <c r="D797" s="8" t="s">
        <v>743</v>
      </c>
      <c r="E797" s="8"/>
      <c r="F797" s="8"/>
      <c r="G797" s="8"/>
      <c r="H797" s="8"/>
      <c r="I797" s="8"/>
      <c r="J797" s="23">
        <v>8</v>
      </c>
      <c r="K797" s="157"/>
      <c r="L797" s="157"/>
      <c r="M797" s="141"/>
      <c r="N797" s="141"/>
      <c r="O797" s="141"/>
    </row>
    <row r="798" spans="1:15" ht="14.25">
      <c r="A798" s="10"/>
      <c r="B798" s="10"/>
      <c r="C798" s="9"/>
      <c r="D798" s="8"/>
      <c r="E798" s="8"/>
      <c r="F798" s="8"/>
      <c r="G798" s="8"/>
      <c r="H798" s="8"/>
      <c r="I798" s="8"/>
      <c r="J798" s="23"/>
      <c r="K798" s="157"/>
      <c r="L798" s="157"/>
      <c r="M798" s="141"/>
      <c r="N798" s="141"/>
      <c r="O798" s="141"/>
    </row>
    <row r="799" spans="1:15" ht="14.25">
      <c r="A799" s="10"/>
      <c r="B799" s="10"/>
      <c r="C799" s="9"/>
      <c r="D799" s="8"/>
      <c r="E799" s="8"/>
      <c r="F799" s="18"/>
      <c r="G799" s="18"/>
      <c r="H799" s="18"/>
      <c r="I799" s="65"/>
      <c r="J799" s="17"/>
      <c r="K799" s="157"/>
      <c r="L799" s="157"/>
      <c r="M799" s="141"/>
      <c r="N799" s="141"/>
      <c r="O799" s="141"/>
    </row>
    <row r="800" spans="1:15" ht="25.5">
      <c r="A800" s="10" t="s">
        <v>329</v>
      </c>
      <c r="B800" s="10" t="s">
        <v>399</v>
      </c>
      <c r="C800" s="27" t="s">
        <v>400</v>
      </c>
      <c r="D800" s="18"/>
      <c r="E800" s="8"/>
      <c r="F800" s="18"/>
      <c r="G800" s="18"/>
      <c r="H800" s="18"/>
      <c r="I800" s="65"/>
      <c r="J800" s="17"/>
      <c r="K800" s="157"/>
      <c r="L800" s="157"/>
      <c r="M800" s="141"/>
      <c r="N800" s="141"/>
      <c r="O800" s="141"/>
    </row>
    <row r="801" spans="1:15" ht="14.25">
      <c r="A801" s="10"/>
      <c r="B801" s="10" t="s">
        <v>401</v>
      </c>
      <c r="C801" s="27" t="s">
        <v>402</v>
      </c>
      <c r="D801" s="18"/>
      <c r="E801" s="8"/>
      <c r="F801" s="18"/>
      <c r="G801" s="18"/>
      <c r="H801" s="18"/>
      <c r="I801" s="65"/>
      <c r="J801" s="17"/>
      <c r="K801" s="157"/>
      <c r="L801" s="157"/>
      <c r="M801" s="141"/>
      <c r="N801" s="141"/>
      <c r="O801" s="141"/>
    </row>
    <row r="802" spans="1:15" ht="25.5">
      <c r="A802" s="10"/>
      <c r="B802" s="10" t="s">
        <v>403</v>
      </c>
      <c r="C802" s="27" t="s">
        <v>404</v>
      </c>
      <c r="D802" s="18" t="s">
        <v>171</v>
      </c>
      <c r="E802" s="8"/>
      <c r="F802" s="18"/>
      <c r="G802" s="18"/>
      <c r="H802" s="18"/>
      <c r="I802" s="65"/>
      <c r="J802" s="17"/>
      <c r="K802" s="157"/>
      <c r="L802" s="157"/>
      <c r="M802" s="141"/>
      <c r="N802" s="141"/>
      <c r="O802" s="141"/>
    </row>
    <row r="803" spans="1:15" ht="14.25">
      <c r="A803" s="10"/>
      <c r="B803" s="10"/>
      <c r="C803" s="26" t="s">
        <v>759</v>
      </c>
      <c r="D803" s="8" t="s">
        <v>171</v>
      </c>
      <c r="E803" s="8">
        <v>4</v>
      </c>
      <c r="F803" s="8">
        <v>2</v>
      </c>
      <c r="G803" s="8">
        <v>1</v>
      </c>
      <c r="H803" s="8"/>
      <c r="I803" s="8"/>
      <c r="J803" s="23">
        <f>E803*F803*G803</f>
        <v>8</v>
      </c>
      <c r="K803" s="157"/>
      <c r="L803" s="157"/>
      <c r="M803" s="141"/>
      <c r="N803" s="141"/>
      <c r="O803" s="141"/>
    </row>
    <row r="804" spans="1:15" ht="14.25">
      <c r="A804" s="10"/>
      <c r="B804" s="10"/>
      <c r="C804" s="26" t="s">
        <v>760</v>
      </c>
      <c r="D804" s="8" t="s">
        <v>171</v>
      </c>
      <c r="E804" s="8">
        <v>4</v>
      </c>
      <c r="F804" s="8">
        <v>1</v>
      </c>
      <c r="G804" s="8">
        <v>1</v>
      </c>
      <c r="H804" s="8"/>
      <c r="I804" s="8"/>
      <c r="J804" s="23">
        <f>E804*F804*G804</f>
        <v>4</v>
      </c>
      <c r="K804" s="157"/>
      <c r="L804" s="157"/>
      <c r="M804" s="141"/>
      <c r="N804" s="141"/>
      <c r="O804" s="141"/>
    </row>
    <row r="805" spans="1:15" ht="14.25">
      <c r="A805" s="10"/>
      <c r="B805" s="10"/>
      <c r="C805" s="26" t="s">
        <v>761</v>
      </c>
      <c r="D805" s="8" t="s">
        <v>171</v>
      </c>
      <c r="E805" s="8">
        <v>4</v>
      </c>
      <c r="F805" s="8">
        <v>1</v>
      </c>
      <c r="G805" s="8">
        <v>1</v>
      </c>
      <c r="H805" s="8"/>
      <c r="I805" s="8"/>
      <c r="J805" s="23">
        <f>E805*F805*G805</f>
        <v>4</v>
      </c>
      <c r="K805" s="157"/>
      <c r="L805" s="157"/>
      <c r="M805" s="141"/>
      <c r="N805" s="141"/>
      <c r="O805" s="141"/>
    </row>
    <row r="806" spans="1:15" ht="14.25">
      <c r="A806" s="10" t="s">
        <v>471</v>
      </c>
      <c r="B806" s="10"/>
      <c r="C806" s="27"/>
      <c r="D806" s="8"/>
      <c r="E806" s="8"/>
      <c r="F806" s="8"/>
      <c r="G806" s="8"/>
      <c r="H806" s="8"/>
      <c r="I806" s="8" t="s">
        <v>491</v>
      </c>
      <c r="J806" s="23">
        <f>SUM(J803:J805)</f>
        <v>16</v>
      </c>
      <c r="K806" s="157"/>
      <c r="L806" s="157"/>
      <c r="M806" s="141"/>
      <c r="N806" s="141"/>
      <c r="O806" s="141"/>
    </row>
    <row r="807" spans="1:15" ht="14.25">
      <c r="A807" s="10" t="s">
        <v>471</v>
      </c>
      <c r="B807" s="10"/>
      <c r="C807" s="9"/>
      <c r="D807" s="8"/>
      <c r="E807" s="8"/>
      <c r="F807" s="18"/>
      <c r="G807" s="18"/>
      <c r="H807" s="18"/>
      <c r="I807" s="65"/>
      <c r="J807" s="17"/>
      <c r="K807" s="157"/>
      <c r="L807" s="157"/>
      <c r="M807" s="141"/>
      <c r="N807" s="141"/>
      <c r="O807" s="141"/>
    </row>
    <row r="808" spans="1:15" ht="51">
      <c r="A808" s="10" t="s">
        <v>332</v>
      </c>
      <c r="B808" s="10" t="s">
        <v>405</v>
      </c>
      <c r="C808" s="27" t="s">
        <v>406</v>
      </c>
      <c r="D808" s="18" t="s">
        <v>171</v>
      </c>
      <c r="E808" s="18">
        <v>4</v>
      </c>
      <c r="F808" s="18">
        <v>2</v>
      </c>
      <c r="G808" s="18">
        <v>1</v>
      </c>
      <c r="H808" s="18"/>
      <c r="I808" s="18"/>
      <c r="J808" s="17">
        <f>E808*F808*G808</f>
        <v>8</v>
      </c>
      <c r="K808" s="157"/>
      <c r="L808" s="157"/>
      <c r="M808" s="141"/>
      <c r="N808" s="141"/>
      <c r="O808" s="141"/>
    </row>
    <row r="809" spans="1:15" ht="14.25">
      <c r="A809" s="10"/>
      <c r="B809" s="10"/>
      <c r="C809" s="27"/>
      <c r="D809" s="18"/>
      <c r="E809" s="18"/>
      <c r="F809" s="18"/>
      <c r="G809" s="18"/>
      <c r="H809" s="18"/>
      <c r="I809" s="18"/>
      <c r="J809" s="17"/>
      <c r="K809" s="157"/>
      <c r="L809" s="157"/>
      <c r="M809" s="141"/>
      <c r="N809" s="141"/>
      <c r="O809" s="141"/>
    </row>
    <row r="810" spans="1:15" ht="14.25">
      <c r="A810" s="10"/>
      <c r="B810" s="10"/>
      <c r="C810" s="27"/>
      <c r="D810" s="8"/>
      <c r="E810" s="8"/>
      <c r="F810" s="8"/>
      <c r="G810" s="8"/>
      <c r="H810" s="8"/>
      <c r="I810" s="8"/>
      <c r="J810" s="64"/>
      <c r="K810" s="157"/>
      <c r="L810" s="157"/>
      <c r="M810" s="141"/>
      <c r="N810" s="141"/>
      <c r="O810" s="141"/>
    </row>
    <row r="811" spans="1:15" ht="76.5">
      <c r="A811" s="10" t="s">
        <v>335</v>
      </c>
      <c r="B811" s="10" t="s">
        <v>407</v>
      </c>
      <c r="C811" s="27" t="s">
        <v>408</v>
      </c>
      <c r="D811" s="8"/>
      <c r="E811" s="8"/>
      <c r="F811" s="8"/>
      <c r="G811" s="8"/>
      <c r="H811" s="8"/>
      <c r="I811" s="8"/>
      <c r="J811" s="64"/>
      <c r="K811" s="157"/>
      <c r="L811" s="157"/>
      <c r="M811" s="141"/>
      <c r="N811" s="141"/>
      <c r="O811" s="141"/>
    </row>
    <row r="812" spans="1:15" ht="14.25">
      <c r="A812" s="10" t="s">
        <v>683</v>
      </c>
      <c r="B812" s="10" t="s">
        <v>409</v>
      </c>
      <c r="C812" s="27" t="s">
        <v>410</v>
      </c>
      <c r="D812" s="8"/>
      <c r="E812" s="8"/>
      <c r="F812" s="8"/>
      <c r="G812" s="8"/>
      <c r="H812" s="8"/>
      <c r="I812" s="8"/>
      <c r="J812" s="64"/>
      <c r="K812" s="157"/>
      <c r="L812" s="157"/>
      <c r="M812" s="141"/>
      <c r="N812" s="141"/>
      <c r="O812" s="141"/>
    </row>
    <row r="813" spans="1:15" ht="25.5">
      <c r="A813" s="10"/>
      <c r="B813" s="10" t="s">
        <v>762</v>
      </c>
      <c r="C813" s="27" t="s">
        <v>392</v>
      </c>
      <c r="D813" s="18" t="s">
        <v>171</v>
      </c>
      <c r="E813" s="18">
        <v>4</v>
      </c>
      <c r="F813" s="18">
        <v>1</v>
      </c>
      <c r="G813" s="18">
        <v>5</v>
      </c>
      <c r="H813" s="18"/>
      <c r="I813" s="18"/>
      <c r="J813" s="17">
        <f>G813*F813*E813</f>
        <v>20</v>
      </c>
      <c r="K813" s="157"/>
      <c r="L813" s="157"/>
      <c r="M813" s="141"/>
      <c r="N813" s="141"/>
      <c r="O813" s="141"/>
    </row>
    <row r="814" spans="1:15" ht="14.25">
      <c r="A814" s="10"/>
      <c r="B814" s="10"/>
      <c r="C814" s="27"/>
      <c r="D814" s="8"/>
      <c r="E814" s="8"/>
      <c r="F814" s="8"/>
      <c r="G814" s="8"/>
      <c r="H814" s="8"/>
      <c r="I814" s="8"/>
      <c r="J814" s="64"/>
      <c r="K814" s="157"/>
      <c r="L814" s="157"/>
      <c r="M814" s="141"/>
      <c r="N814" s="141"/>
      <c r="O814" s="141"/>
    </row>
    <row r="815" spans="1:15" ht="151.5" customHeight="1">
      <c r="A815" s="10" t="s">
        <v>340</v>
      </c>
      <c r="B815" s="10" t="s">
        <v>411</v>
      </c>
      <c r="C815" s="27" t="s">
        <v>763</v>
      </c>
      <c r="D815" s="8"/>
      <c r="E815" s="8"/>
      <c r="F815" s="8"/>
      <c r="G815" s="8"/>
      <c r="H815" s="8"/>
      <c r="I815" s="8"/>
      <c r="J815" s="64"/>
      <c r="K815" s="157"/>
      <c r="L815" s="157"/>
      <c r="M815" s="141"/>
      <c r="N815" s="141"/>
      <c r="O815" s="141"/>
    </row>
    <row r="816" spans="1:15" ht="63.75">
      <c r="A816" s="10"/>
      <c r="B816" s="10" t="s">
        <v>412</v>
      </c>
      <c r="C816" s="27" t="s">
        <v>413</v>
      </c>
      <c r="D816" s="8"/>
      <c r="E816" s="8"/>
      <c r="F816" s="8"/>
      <c r="G816" s="8"/>
      <c r="H816" s="8"/>
      <c r="I816" s="8"/>
      <c r="J816" s="64"/>
      <c r="K816" s="157"/>
      <c r="L816" s="157"/>
      <c r="M816" s="141"/>
      <c r="N816" s="141"/>
      <c r="O816" s="141"/>
    </row>
    <row r="817" spans="1:15" ht="25.5">
      <c r="A817" s="10"/>
      <c r="B817" s="10" t="s">
        <v>764</v>
      </c>
      <c r="C817" s="27" t="s">
        <v>392</v>
      </c>
      <c r="D817" s="18" t="s">
        <v>171</v>
      </c>
      <c r="E817" s="18"/>
      <c r="F817" s="18">
        <v>1</v>
      </c>
      <c r="G817" s="18">
        <v>6</v>
      </c>
      <c r="H817" s="18"/>
      <c r="I817" s="18"/>
      <c r="J817" s="17">
        <f>F817*G817</f>
        <v>6</v>
      </c>
      <c r="K817" s="157"/>
      <c r="L817" s="157"/>
      <c r="M817" s="141"/>
      <c r="N817" s="141"/>
      <c r="O817" s="141"/>
    </row>
    <row r="818" spans="1:15" ht="14.25">
      <c r="A818" s="10"/>
      <c r="B818" s="10"/>
      <c r="C818" s="27"/>
      <c r="D818" s="8"/>
      <c r="E818" s="8"/>
      <c r="F818" s="8"/>
      <c r="G818" s="8"/>
      <c r="H818" s="8"/>
      <c r="I818" s="8"/>
      <c r="J818" s="23"/>
      <c r="K818" s="157"/>
      <c r="L818" s="157"/>
      <c r="M818" s="141"/>
      <c r="N818" s="141"/>
      <c r="O818" s="141"/>
    </row>
    <row r="819" spans="1:15" ht="14.25">
      <c r="A819" s="10" t="s">
        <v>345</v>
      </c>
      <c r="B819" s="10" t="s">
        <v>414</v>
      </c>
      <c r="C819" s="27" t="s">
        <v>415</v>
      </c>
      <c r="D819" s="8"/>
      <c r="E819" s="8"/>
      <c r="F819" s="8"/>
      <c r="G819" s="8"/>
      <c r="H819" s="8"/>
      <c r="I819" s="8"/>
      <c r="J819" s="23"/>
      <c r="K819" s="157"/>
      <c r="L819" s="157"/>
      <c r="M819" s="141"/>
      <c r="N819" s="141"/>
      <c r="O819" s="141"/>
    </row>
    <row r="820" spans="1:15" ht="14.25">
      <c r="A820" s="10" t="s">
        <v>683</v>
      </c>
      <c r="B820" s="10" t="s">
        <v>417</v>
      </c>
      <c r="C820" s="27" t="s">
        <v>418</v>
      </c>
      <c r="D820" s="8"/>
      <c r="E820" s="8"/>
      <c r="F820" s="8"/>
      <c r="G820" s="8"/>
      <c r="H820" s="8"/>
      <c r="I820" s="8"/>
      <c r="J820" s="23"/>
      <c r="K820" s="157"/>
      <c r="L820" s="157"/>
      <c r="M820" s="141"/>
      <c r="N820" s="141"/>
      <c r="O820" s="141"/>
    </row>
    <row r="821" spans="1:15" ht="25.5">
      <c r="A821" s="10"/>
      <c r="B821" s="10" t="s">
        <v>419</v>
      </c>
      <c r="C821" s="27" t="s">
        <v>392</v>
      </c>
      <c r="D821" s="8" t="s">
        <v>416</v>
      </c>
      <c r="E821" s="8"/>
      <c r="F821" s="18">
        <v>9</v>
      </c>
      <c r="G821" s="18">
        <v>0.5</v>
      </c>
      <c r="H821" s="18"/>
      <c r="I821" s="18"/>
      <c r="J821" s="17">
        <f>F821*G821</f>
        <v>4.5</v>
      </c>
      <c r="K821" s="157"/>
      <c r="L821" s="157"/>
      <c r="M821" s="141"/>
      <c r="N821" s="141"/>
      <c r="O821" s="141"/>
    </row>
    <row r="822" spans="1:15" ht="14.25">
      <c r="A822" s="10"/>
      <c r="B822" s="10"/>
      <c r="C822" s="9"/>
      <c r="D822" s="8"/>
      <c r="E822" s="8"/>
      <c r="F822" s="8"/>
      <c r="G822" s="8"/>
      <c r="H822" s="8"/>
      <c r="I822" s="8"/>
      <c r="J822" s="23"/>
      <c r="K822" s="157"/>
      <c r="L822" s="157"/>
      <c r="M822" s="141"/>
      <c r="N822" s="141"/>
      <c r="O822" s="141"/>
    </row>
    <row r="823" spans="1:15" ht="193.5" customHeight="1">
      <c r="A823" s="10" t="s">
        <v>346</v>
      </c>
      <c r="B823" s="10" t="s">
        <v>420</v>
      </c>
      <c r="C823" s="27" t="s">
        <v>765</v>
      </c>
      <c r="D823" s="8"/>
      <c r="E823" s="8"/>
      <c r="F823" s="8"/>
      <c r="G823" s="8"/>
      <c r="H823" s="8"/>
      <c r="I823" s="8"/>
      <c r="J823" s="62"/>
      <c r="K823" s="157"/>
      <c r="L823" s="157"/>
      <c r="M823" s="141"/>
      <c r="N823" s="141"/>
      <c r="O823" s="141"/>
    </row>
    <row r="824" spans="1:15" ht="14.25">
      <c r="A824" s="10" t="s">
        <v>84</v>
      </c>
      <c r="B824" s="10" t="s">
        <v>766</v>
      </c>
      <c r="C824" s="27" t="s">
        <v>767</v>
      </c>
      <c r="D824" s="8" t="s">
        <v>471</v>
      </c>
      <c r="E824" s="8"/>
      <c r="F824" s="8"/>
      <c r="G824" s="14"/>
      <c r="H824" s="63"/>
      <c r="I824" s="8"/>
      <c r="J824" s="32"/>
      <c r="K824" s="157"/>
      <c r="L824" s="157"/>
      <c r="M824" s="141"/>
      <c r="N824" s="141"/>
      <c r="O824" s="141"/>
    </row>
    <row r="825" spans="1:15" ht="31.5" customHeight="1">
      <c r="A825" s="10" t="s">
        <v>135</v>
      </c>
      <c r="B825" s="10"/>
      <c r="C825" s="27"/>
      <c r="D825" s="8"/>
      <c r="E825" s="8"/>
      <c r="F825" s="8"/>
      <c r="G825" s="14"/>
      <c r="H825" s="63"/>
      <c r="I825" s="8"/>
      <c r="J825" s="32"/>
      <c r="K825" s="157"/>
      <c r="L825" s="157"/>
      <c r="M825" s="141"/>
      <c r="N825" s="141"/>
      <c r="O825" s="141"/>
    </row>
    <row r="826" spans="1:15" ht="25.5">
      <c r="A826" s="10"/>
      <c r="B826" s="10"/>
      <c r="C826" s="26" t="s">
        <v>768</v>
      </c>
      <c r="D826" s="8" t="s">
        <v>769</v>
      </c>
      <c r="E826" s="8"/>
      <c r="F826" s="8">
        <v>1</v>
      </c>
      <c r="G826" s="14">
        <f>J841</f>
        <v>113.77799999999999</v>
      </c>
      <c r="H826" s="63" t="s">
        <v>770</v>
      </c>
      <c r="I826" s="8"/>
      <c r="J826" s="32">
        <f>G826*F826*8</f>
        <v>910.22399999999993</v>
      </c>
      <c r="K826" s="157"/>
      <c r="L826" s="157"/>
      <c r="M826" s="141"/>
      <c r="N826" s="141"/>
      <c r="O826" s="141"/>
    </row>
    <row r="827" spans="1:15" ht="14.25">
      <c r="A827" s="10"/>
      <c r="B827" s="10"/>
      <c r="C827" s="26"/>
      <c r="D827" s="8"/>
      <c r="E827" s="8"/>
      <c r="F827" s="8"/>
      <c r="G827" s="14"/>
      <c r="H827" s="63"/>
      <c r="I827" s="8"/>
      <c r="J827" s="32"/>
      <c r="K827" s="157"/>
      <c r="L827" s="157"/>
      <c r="M827" s="141"/>
      <c r="N827" s="141"/>
      <c r="O827" s="141"/>
    </row>
    <row r="828" spans="1:15" ht="14.25">
      <c r="A828" s="10"/>
      <c r="B828" s="10"/>
      <c r="C828" s="26"/>
      <c r="D828" s="8"/>
      <c r="E828" s="8"/>
      <c r="F828" s="8"/>
      <c r="G828" s="14"/>
      <c r="H828" s="63"/>
      <c r="I828" s="8" t="s">
        <v>491</v>
      </c>
      <c r="J828" s="32">
        <f>SUM(J826:J827)</f>
        <v>910.22399999999993</v>
      </c>
      <c r="K828" s="157"/>
      <c r="L828" s="157"/>
      <c r="M828" s="141"/>
      <c r="N828" s="141"/>
      <c r="O828" s="141"/>
    </row>
    <row r="829" spans="1:15" ht="14.25">
      <c r="A829" s="10"/>
      <c r="B829" s="10"/>
      <c r="C829" s="9"/>
      <c r="D829" s="8"/>
      <c r="E829" s="8"/>
      <c r="F829" s="8"/>
      <c r="G829" s="8"/>
      <c r="H829" s="8"/>
      <c r="I829" s="24" t="s">
        <v>492</v>
      </c>
      <c r="J829" s="23">
        <f>J828</f>
        <v>910.22399999999993</v>
      </c>
      <c r="K829" s="157"/>
      <c r="L829" s="157"/>
      <c r="M829" s="141"/>
      <c r="N829" s="141"/>
      <c r="O829" s="141"/>
    </row>
    <row r="830" spans="1:15" ht="67.5" customHeight="1">
      <c r="A830" s="10" t="s">
        <v>87</v>
      </c>
      <c r="B830" s="10" t="s">
        <v>424</v>
      </c>
      <c r="C830" s="27" t="s">
        <v>425</v>
      </c>
      <c r="D830" s="8"/>
      <c r="E830" s="8"/>
      <c r="F830" s="8"/>
      <c r="G830" s="8"/>
      <c r="H830" s="8"/>
      <c r="I830" s="8"/>
      <c r="J830" s="62"/>
      <c r="K830" s="157"/>
      <c r="L830" s="157"/>
      <c r="M830" s="141"/>
      <c r="N830" s="141"/>
      <c r="O830" s="141"/>
    </row>
    <row r="831" spans="1:15" ht="25.5">
      <c r="A831" s="10" t="s">
        <v>135</v>
      </c>
      <c r="B831" s="10" t="s">
        <v>426</v>
      </c>
      <c r="C831" s="27" t="s">
        <v>423</v>
      </c>
      <c r="D831" s="8" t="s">
        <v>771</v>
      </c>
      <c r="E831" s="8"/>
      <c r="F831" s="8" t="s">
        <v>471</v>
      </c>
      <c r="G831" s="14">
        <f>J840</f>
        <v>113.77799999999999</v>
      </c>
      <c r="H831" s="63"/>
      <c r="I831" s="8"/>
      <c r="J831" s="32">
        <f>G831</f>
        <v>113.77799999999999</v>
      </c>
      <c r="K831" s="157"/>
      <c r="L831" s="157"/>
      <c r="M831" s="141"/>
      <c r="N831" s="141"/>
      <c r="O831" s="141"/>
    </row>
    <row r="832" spans="1:15" ht="14.25">
      <c r="A832" s="10"/>
      <c r="B832" s="10"/>
      <c r="C832" s="9"/>
      <c r="D832" s="8"/>
      <c r="E832" s="8"/>
      <c r="F832" s="8"/>
      <c r="G832" s="8"/>
      <c r="H832" s="8"/>
      <c r="I832" s="24" t="s">
        <v>492</v>
      </c>
      <c r="J832" s="23">
        <f>J831</f>
        <v>113.77799999999999</v>
      </c>
      <c r="K832" s="157"/>
      <c r="L832" s="157"/>
      <c r="M832" s="141"/>
      <c r="N832" s="141"/>
      <c r="O832" s="141"/>
    </row>
    <row r="833" spans="1:15" ht="76.5">
      <c r="A833" s="10" t="s">
        <v>346</v>
      </c>
      <c r="B833" s="10" t="s">
        <v>427</v>
      </c>
      <c r="C833" s="27" t="s">
        <v>772</v>
      </c>
      <c r="D833" s="8"/>
      <c r="E833" s="8"/>
      <c r="F833" s="8"/>
      <c r="G833" s="8"/>
      <c r="H833" s="8"/>
      <c r="I833" s="8"/>
      <c r="J833" s="62"/>
      <c r="K833" s="157"/>
      <c r="L833" s="157"/>
      <c r="M833" s="141"/>
      <c r="N833" s="141"/>
      <c r="O833" s="141"/>
    </row>
    <row r="834" spans="1:15" ht="14.25">
      <c r="A834" s="10" t="s">
        <v>87</v>
      </c>
      <c r="B834" s="10" t="s">
        <v>429</v>
      </c>
      <c r="C834" s="9" t="s">
        <v>773</v>
      </c>
      <c r="D834" s="8" t="s">
        <v>518</v>
      </c>
      <c r="E834" s="8"/>
      <c r="F834" s="8"/>
      <c r="G834" s="8"/>
      <c r="H834" s="8"/>
      <c r="I834" s="8"/>
      <c r="J834" s="62"/>
      <c r="K834" s="157"/>
      <c r="L834" s="157"/>
      <c r="M834" s="141"/>
      <c r="N834" s="141"/>
      <c r="O834" s="141"/>
    </row>
    <row r="835" spans="1:15" ht="14.25">
      <c r="A835" s="10"/>
      <c r="B835" s="10"/>
      <c r="C835" s="26"/>
      <c r="D835" s="8"/>
      <c r="E835" s="8"/>
      <c r="F835" s="8"/>
      <c r="G835" s="8"/>
      <c r="H835" s="8"/>
      <c r="I835" s="8"/>
      <c r="J835" s="14"/>
      <c r="K835" s="157"/>
      <c r="L835" s="157">
        <v>0.45</v>
      </c>
      <c r="M835" s="141">
        <f>E835*F835*G835*L835</f>
        <v>0</v>
      </c>
      <c r="N835" s="141"/>
      <c r="O835" s="141"/>
    </row>
    <row r="836" spans="1:15" ht="14.25">
      <c r="A836" s="10"/>
      <c r="B836" s="10"/>
      <c r="C836" s="26" t="s">
        <v>774</v>
      </c>
      <c r="D836" s="8" t="s">
        <v>518</v>
      </c>
      <c r="E836" s="8">
        <v>8</v>
      </c>
      <c r="F836" s="8">
        <v>1.5</v>
      </c>
      <c r="G836" s="8">
        <v>1.75</v>
      </c>
      <c r="H836" s="8"/>
      <c r="I836" s="8">
        <v>1.35</v>
      </c>
      <c r="J836" s="14">
        <f>E836*F836*G836*I836</f>
        <v>28.35</v>
      </c>
      <c r="K836" s="157"/>
      <c r="L836" s="157">
        <v>0.45</v>
      </c>
      <c r="M836" s="141">
        <f>E836*F836*G836*L836</f>
        <v>9.4500000000000011</v>
      </c>
      <c r="N836" s="141"/>
      <c r="O836" s="141"/>
    </row>
    <row r="837" spans="1:15" ht="14.25">
      <c r="A837" s="10"/>
      <c r="B837" s="10"/>
      <c r="C837" s="26" t="s">
        <v>775</v>
      </c>
      <c r="D837" s="8" t="s">
        <v>518</v>
      </c>
      <c r="E837" s="8">
        <v>12</v>
      </c>
      <c r="F837" s="8">
        <v>1.2</v>
      </c>
      <c r="G837" s="8">
        <v>1.75</v>
      </c>
      <c r="H837" s="8"/>
      <c r="I837" s="8">
        <v>1.65</v>
      </c>
      <c r="J837" s="14">
        <f>E837*F837*G837*I837</f>
        <v>41.579999999999991</v>
      </c>
      <c r="K837" s="157"/>
      <c r="L837" s="157"/>
      <c r="M837" s="141"/>
      <c r="N837" s="141"/>
      <c r="O837" s="141"/>
    </row>
    <row r="838" spans="1:15" ht="14.25">
      <c r="A838" s="10"/>
      <c r="B838" s="10"/>
      <c r="C838" s="26" t="s">
        <v>776</v>
      </c>
      <c r="D838" s="8" t="s">
        <v>518</v>
      </c>
      <c r="E838" s="8">
        <v>16</v>
      </c>
      <c r="F838" s="8">
        <v>0.9</v>
      </c>
      <c r="G838" s="8">
        <v>1.75</v>
      </c>
      <c r="H838" s="8"/>
      <c r="I838" s="8">
        <v>1.65</v>
      </c>
      <c r="J838" s="14">
        <f>E838*F838*G838*I838</f>
        <v>41.58</v>
      </c>
      <c r="K838" s="157"/>
      <c r="L838" s="157">
        <v>0.45</v>
      </c>
      <c r="M838" s="141">
        <f>E838*F838*G838*L838</f>
        <v>11.34</v>
      </c>
      <c r="N838" s="141"/>
      <c r="O838" s="141"/>
    </row>
    <row r="839" spans="1:15" ht="14.25">
      <c r="A839" s="10"/>
      <c r="B839" s="10"/>
      <c r="C839" s="26" t="s">
        <v>777</v>
      </c>
      <c r="D839" s="8" t="s">
        <v>518</v>
      </c>
      <c r="E839" s="8">
        <v>8</v>
      </c>
      <c r="F839" s="8">
        <v>0.6</v>
      </c>
      <c r="G839" s="8">
        <v>0.45</v>
      </c>
      <c r="H839" s="8"/>
      <c r="I839" s="8">
        <v>1.05</v>
      </c>
      <c r="J839" s="14">
        <f>E839*F839*G839*I839</f>
        <v>2.2680000000000002</v>
      </c>
      <c r="K839" s="157"/>
      <c r="L839" s="157">
        <v>0.45</v>
      </c>
      <c r="M839" s="141">
        <f>E839*F839*G839*L839</f>
        <v>0.97200000000000009</v>
      </c>
      <c r="N839" s="141"/>
      <c r="O839" s="141"/>
    </row>
    <row r="840" spans="1:15" ht="14.25">
      <c r="A840" s="10"/>
      <c r="B840" s="10"/>
      <c r="C840" s="9"/>
      <c r="D840" s="8"/>
      <c r="E840" s="8"/>
      <c r="F840" s="8"/>
      <c r="G840" s="8"/>
      <c r="H840" s="8"/>
      <c r="I840" s="23" t="s">
        <v>491</v>
      </c>
      <c r="J840" s="32">
        <f>SUM(J835:J839)</f>
        <v>113.77799999999999</v>
      </c>
      <c r="K840" s="157"/>
      <c r="L840" s="157"/>
      <c r="M840" s="141"/>
      <c r="N840" s="141"/>
      <c r="O840" s="141"/>
    </row>
    <row r="841" spans="1:15" ht="14.25">
      <c r="A841" s="10"/>
      <c r="B841" s="10"/>
      <c r="C841" s="9"/>
      <c r="D841" s="8"/>
      <c r="E841" s="8"/>
      <c r="F841" s="8"/>
      <c r="G841" s="8"/>
      <c r="H841" s="8"/>
      <c r="I841" s="23" t="s">
        <v>492</v>
      </c>
      <c r="J841" s="32">
        <f>J840</f>
        <v>113.77799999999999</v>
      </c>
      <c r="K841" s="157"/>
      <c r="L841" s="157"/>
      <c r="M841" s="141"/>
      <c r="N841" s="141"/>
      <c r="O841" s="141"/>
    </row>
    <row r="842" spans="1:15" ht="14.25">
      <c r="A842" s="10"/>
      <c r="B842" s="10"/>
      <c r="C842" s="9"/>
      <c r="D842" s="8"/>
      <c r="E842" s="8"/>
      <c r="F842" s="8"/>
      <c r="G842" s="8"/>
      <c r="H842" s="8"/>
      <c r="I842" s="23"/>
      <c r="J842" s="32"/>
      <c r="K842" s="157"/>
      <c r="L842" s="157"/>
      <c r="M842" s="141"/>
      <c r="N842" s="141"/>
      <c r="O842" s="141"/>
    </row>
    <row r="843" spans="1:15" ht="14.25">
      <c r="A843" s="10"/>
      <c r="B843" s="10"/>
      <c r="C843" s="9"/>
      <c r="D843" s="8"/>
      <c r="E843" s="8"/>
      <c r="F843" s="8"/>
      <c r="G843" s="8"/>
      <c r="H843" s="8"/>
      <c r="I843" s="23"/>
      <c r="J843" s="32"/>
      <c r="K843" s="157"/>
      <c r="L843" s="157"/>
      <c r="M843" s="141"/>
      <c r="N843" s="141"/>
      <c r="O843" s="141"/>
    </row>
    <row r="844" spans="1:15" ht="14.25">
      <c r="A844" s="10" t="s">
        <v>471</v>
      </c>
      <c r="B844" s="10"/>
      <c r="C844" s="9"/>
      <c r="D844" s="8"/>
      <c r="E844" s="8"/>
      <c r="F844" s="8"/>
      <c r="G844" s="8"/>
      <c r="H844" s="8"/>
      <c r="I844" s="23"/>
      <c r="J844" s="32"/>
      <c r="K844" s="157"/>
      <c r="L844" s="157"/>
      <c r="M844" s="141"/>
      <c r="N844" s="141"/>
      <c r="O844" s="141"/>
    </row>
    <row r="845" spans="1:15" ht="14.25">
      <c r="A845" s="10"/>
      <c r="B845" s="10"/>
      <c r="C845" s="9"/>
      <c r="D845" s="8"/>
      <c r="E845" s="8"/>
      <c r="F845" s="8"/>
      <c r="G845" s="8"/>
      <c r="H845" s="8"/>
      <c r="I845" s="8"/>
      <c r="J845" s="62"/>
      <c r="K845" s="157"/>
      <c r="L845" s="157"/>
      <c r="M845" s="141"/>
      <c r="N845" s="141"/>
      <c r="O845" s="141"/>
    </row>
    <row r="846" spans="1:15" ht="63.75">
      <c r="A846" s="10" t="s">
        <v>357</v>
      </c>
      <c r="B846" s="10" t="s">
        <v>430</v>
      </c>
      <c r="C846" s="27" t="s">
        <v>431</v>
      </c>
      <c r="D846" s="8"/>
      <c r="E846" s="8"/>
      <c r="F846" s="8"/>
      <c r="G846" s="8"/>
      <c r="H846" s="8"/>
      <c r="I846" s="8"/>
      <c r="J846" s="62"/>
      <c r="K846" s="157"/>
      <c r="L846" s="157"/>
      <c r="M846" s="141"/>
      <c r="N846" s="141"/>
      <c r="O846" s="141"/>
    </row>
    <row r="847" spans="1:15" ht="14.25">
      <c r="A847" s="10"/>
      <c r="B847" s="10" t="s">
        <v>432</v>
      </c>
      <c r="C847" s="27" t="s">
        <v>433</v>
      </c>
      <c r="D847" s="8" t="s">
        <v>650</v>
      </c>
      <c r="E847" s="8"/>
      <c r="F847" s="8"/>
      <c r="G847" s="8"/>
      <c r="H847" s="8"/>
      <c r="I847" s="8"/>
      <c r="J847" s="62"/>
      <c r="K847" s="157"/>
      <c r="L847" s="157"/>
      <c r="M847" s="141"/>
      <c r="N847" s="141"/>
      <c r="O847" s="141"/>
    </row>
    <row r="848" spans="1:15" ht="14.25">
      <c r="A848" s="10"/>
      <c r="B848" s="10"/>
      <c r="C848" s="26" t="s">
        <v>774</v>
      </c>
      <c r="D848" s="8" t="s">
        <v>650</v>
      </c>
      <c r="E848" s="8">
        <v>8</v>
      </c>
      <c r="F848" s="8">
        <v>1.5</v>
      </c>
      <c r="G848" s="8">
        <v>1.75</v>
      </c>
      <c r="H848" s="8"/>
      <c r="I848" s="8">
        <v>4</v>
      </c>
      <c r="J848" s="14">
        <f>E848*F848*G848*I848</f>
        <v>84</v>
      </c>
      <c r="K848" s="157"/>
      <c r="L848" s="157"/>
      <c r="M848" s="141"/>
      <c r="N848" s="141"/>
      <c r="O848" s="141"/>
    </row>
    <row r="849" spans="1:15" ht="14.25">
      <c r="A849" s="10"/>
      <c r="B849" s="10"/>
      <c r="C849" s="26" t="s">
        <v>775</v>
      </c>
      <c r="D849" s="8" t="s">
        <v>650</v>
      </c>
      <c r="E849" s="8">
        <v>12</v>
      </c>
      <c r="F849" s="8">
        <v>1.2</v>
      </c>
      <c r="G849" s="8">
        <v>1.75</v>
      </c>
      <c r="H849" s="8"/>
      <c r="I849" s="8">
        <v>4</v>
      </c>
      <c r="J849" s="14">
        <f>E849*F849*G849*I849</f>
        <v>100.79999999999998</v>
      </c>
      <c r="K849" s="157"/>
      <c r="L849" s="157"/>
      <c r="M849" s="141"/>
      <c r="N849" s="141"/>
      <c r="O849" s="141"/>
    </row>
    <row r="850" spans="1:15" ht="14.25">
      <c r="A850" s="10"/>
      <c r="B850" s="10"/>
      <c r="C850" s="26" t="s">
        <v>776</v>
      </c>
      <c r="D850" s="8" t="s">
        <v>650</v>
      </c>
      <c r="E850" s="8">
        <v>16</v>
      </c>
      <c r="F850" s="8">
        <v>0.9</v>
      </c>
      <c r="G850" s="8">
        <v>1.75</v>
      </c>
      <c r="H850" s="8"/>
      <c r="I850" s="8">
        <v>4</v>
      </c>
      <c r="J850" s="14">
        <f>E850*F850*G850*I850</f>
        <v>100.8</v>
      </c>
      <c r="K850" s="157"/>
      <c r="L850" s="157"/>
      <c r="M850" s="141"/>
      <c r="N850" s="141"/>
      <c r="O850" s="141"/>
    </row>
    <row r="851" spans="1:15" ht="14.25">
      <c r="A851" s="10"/>
      <c r="B851" s="10"/>
      <c r="C851" s="26" t="s">
        <v>777</v>
      </c>
      <c r="D851" s="8" t="s">
        <v>650</v>
      </c>
      <c r="E851" s="8">
        <v>8</v>
      </c>
      <c r="F851" s="8">
        <v>0.6</v>
      </c>
      <c r="G851" s="8">
        <v>0.45</v>
      </c>
      <c r="H851" s="8"/>
      <c r="I851" s="8">
        <v>4</v>
      </c>
      <c r="J851" s="14">
        <f>E851*F851*G851*I851</f>
        <v>8.64</v>
      </c>
      <c r="K851" s="157"/>
      <c r="L851" s="157"/>
      <c r="M851" s="141"/>
      <c r="N851" s="141"/>
      <c r="O851" s="141"/>
    </row>
    <row r="852" spans="1:15" ht="14.25">
      <c r="A852" s="10"/>
      <c r="B852" s="10"/>
      <c r="C852" s="9"/>
      <c r="D852" s="8"/>
      <c r="E852" s="8"/>
      <c r="F852" s="8"/>
      <c r="G852" s="8"/>
      <c r="H852" s="8"/>
      <c r="I852" s="23" t="s">
        <v>491</v>
      </c>
      <c r="J852" s="32">
        <f>SUM(J848:J851)</f>
        <v>294.23999999999995</v>
      </c>
      <c r="K852" s="157"/>
      <c r="L852" s="157"/>
      <c r="M852" s="141"/>
      <c r="N852" s="141"/>
      <c r="O852" s="141"/>
    </row>
    <row r="853" spans="1:15" ht="14.25">
      <c r="A853" s="37" t="s">
        <v>471</v>
      </c>
      <c r="B853" s="37"/>
      <c r="C853" s="58"/>
      <c r="D853" s="50"/>
      <c r="E853" s="50"/>
      <c r="F853" s="50"/>
      <c r="G853" s="50"/>
      <c r="H853" s="50"/>
      <c r="I853" s="57" t="s">
        <v>492</v>
      </c>
      <c r="J853" s="56">
        <f>J852</f>
        <v>294.23999999999995</v>
      </c>
      <c r="K853" s="157"/>
      <c r="L853" s="157"/>
      <c r="M853" s="141"/>
      <c r="N853" s="141"/>
      <c r="O853" s="141"/>
    </row>
    <row r="854" spans="1:15" ht="14.25">
      <c r="A854" s="37"/>
      <c r="B854" s="37"/>
      <c r="C854" s="58"/>
      <c r="D854" s="50"/>
      <c r="E854" s="50"/>
      <c r="F854" s="50"/>
      <c r="G854" s="50"/>
      <c r="H854" s="50"/>
      <c r="I854" s="57"/>
      <c r="J854" s="56"/>
      <c r="K854" s="157"/>
      <c r="L854" s="157"/>
      <c r="M854" s="141"/>
      <c r="N854" s="141"/>
      <c r="O854" s="141"/>
    </row>
    <row r="855" spans="1:15" ht="38.25">
      <c r="A855" s="37" t="s">
        <v>362</v>
      </c>
      <c r="B855" s="61" t="s">
        <v>434</v>
      </c>
      <c r="C855" s="60" t="s">
        <v>435</v>
      </c>
      <c r="D855" s="59"/>
      <c r="E855" s="50"/>
      <c r="F855" s="50"/>
      <c r="G855" s="50"/>
      <c r="H855" s="50"/>
      <c r="I855" s="57"/>
      <c r="J855" s="56"/>
      <c r="K855" s="157"/>
      <c r="L855" s="157"/>
      <c r="M855" s="141"/>
      <c r="N855" s="141"/>
      <c r="O855" s="141"/>
    </row>
    <row r="856" spans="1:15" ht="25.5">
      <c r="A856" s="37"/>
      <c r="B856" s="61" t="s">
        <v>436</v>
      </c>
      <c r="C856" s="60" t="s">
        <v>437</v>
      </c>
      <c r="D856" s="59" t="s">
        <v>171</v>
      </c>
      <c r="E856" s="50"/>
      <c r="F856" s="50"/>
      <c r="G856" s="50"/>
      <c r="H856" s="50"/>
      <c r="I856" s="57"/>
      <c r="J856" s="56"/>
      <c r="K856" s="157"/>
      <c r="L856" s="157"/>
      <c r="M856" s="141"/>
      <c r="N856" s="141"/>
      <c r="O856" s="141"/>
    </row>
    <row r="857" spans="1:15" ht="14.25">
      <c r="A857" s="37"/>
      <c r="B857" s="37"/>
      <c r="C857" s="26" t="s">
        <v>778</v>
      </c>
      <c r="D857" s="50" t="s">
        <v>171</v>
      </c>
      <c r="E857" s="8">
        <v>4</v>
      </c>
      <c r="F857" s="8">
        <v>3</v>
      </c>
      <c r="G857" s="50">
        <v>4</v>
      </c>
      <c r="H857" s="50"/>
      <c r="I857" s="57"/>
      <c r="J857" s="49">
        <f>G857*F857*E857</f>
        <v>48</v>
      </c>
      <c r="K857" s="157"/>
      <c r="L857" s="157"/>
      <c r="M857" s="141"/>
      <c r="N857" s="141"/>
      <c r="O857" s="141"/>
    </row>
    <row r="858" spans="1:15" ht="14.25">
      <c r="A858" s="37"/>
      <c r="B858" s="37"/>
      <c r="C858" s="26" t="s">
        <v>774</v>
      </c>
      <c r="D858" s="50" t="s">
        <v>171</v>
      </c>
      <c r="E858" s="8">
        <v>4</v>
      </c>
      <c r="F858" s="8">
        <v>1</v>
      </c>
      <c r="G858" s="50">
        <v>4</v>
      </c>
      <c r="H858" s="50"/>
      <c r="I858" s="57"/>
      <c r="J858" s="49">
        <f>G858*F858*E858</f>
        <v>16</v>
      </c>
      <c r="K858" s="157"/>
      <c r="L858" s="157"/>
      <c r="M858" s="141"/>
      <c r="N858" s="141"/>
      <c r="O858" s="141"/>
    </row>
    <row r="859" spans="1:15" ht="14.25">
      <c r="A859" s="37"/>
      <c r="B859" s="37"/>
      <c r="C859" s="26" t="s">
        <v>775</v>
      </c>
      <c r="D859" s="50" t="s">
        <v>171</v>
      </c>
      <c r="E859" s="8">
        <v>4</v>
      </c>
      <c r="F859" s="8">
        <v>1</v>
      </c>
      <c r="G859" s="50">
        <v>4</v>
      </c>
      <c r="H859" s="50"/>
      <c r="I859" s="57"/>
      <c r="J859" s="49">
        <f>G859*F859*E859</f>
        <v>16</v>
      </c>
      <c r="K859" s="157"/>
      <c r="L859" s="157"/>
      <c r="M859" s="141"/>
      <c r="N859" s="141"/>
      <c r="O859" s="141"/>
    </row>
    <row r="860" spans="1:15" ht="14.25">
      <c r="A860" s="37"/>
      <c r="B860" s="37"/>
      <c r="C860" s="26" t="s">
        <v>776</v>
      </c>
      <c r="D860" s="50" t="s">
        <v>171</v>
      </c>
      <c r="E860" s="8">
        <v>4</v>
      </c>
      <c r="F860" s="8">
        <v>2</v>
      </c>
      <c r="G860" s="50">
        <v>4</v>
      </c>
      <c r="H860" s="50"/>
      <c r="I860" s="57"/>
      <c r="J860" s="49">
        <f>G860*F860*E860</f>
        <v>32</v>
      </c>
      <c r="K860" s="157"/>
      <c r="L860" s="157"/>
      <c r="M860" s="141"/>
      <c r="N860" s="141"/>
      <c r="O860" s="141"/>
    </row>
    <row r="861" spans="1:15" ht="14.25">
      <c r="A861" s="37"/>
      <c r="B861" s="37"/>
      <c r="C861" s="26" t="s">
        <v>777</v>
      </c>
      <c r="D861" s="50" t="s">
        <v>171</v>
      </c>
      <c r="E861" s="8">
        <v>4</v>
      </c>
      <c r="F861" s="8">
        <v>2</v>
      </c>
      <c r="G861" s="50">
        <v>2</v>
      </c>
      <c r="H861" s="50"/>
      <c r="I861" s="57"/>
      <c r="J861" s="49">
        <f>G861*F861*E861</f>
        <v>16</v>
      </c>
      <c r="K861" s="157"/>
      <c r="L861" s="157"/>
      <c r="M861" s="141"/>
      <c r="N861" s="141"/>
      <c r="O861" s="141"/>
    </row>
    <row r="862" spans="1:15" ht="14.25">
      <c r="A862" s="37"/>
      <c r="B862" s="37"/>
      <c r="C862" s="58"/>
      <c r="D862" s="50"/>
      <c r="E862" s="50"/>
      <c r="F862" s="50"/>
      <c r="G862" s="50"/>
      <c r="H862" s="50"/>
      <c r="I862" s="23" t="s">
        <v>491</v>
      </c>
      <c r="J862" s="56">
        <f>SUM(J857:J861)</f>
        <v>128</v>
      </c>
      <c r="K862" s="157"/>
      <c r="L862" s="157"/>
      <c r="M862" s="141"/>
      <c r="N862" s="141"/>
      <c r="O862" s="141"/>
    </row>
    <row r="863" spans="1:15" ht="14.25">
      <c r="A863" s="37"/>
      <c r="B863" s="37"/>
      <c r="C863" s="58"/>
      <c r="D863" s="50"/>
      <c r="E863" s="50"/>
      <c r="F863" s="50"/>
      <c r="G863" s="50"/>
      <c r="H863" s="50"/>
      <c r="I863" s="57" t="s">
        <v>492</v>
      </c>
      <c r="J863" s="56"/>
      <c r="K863" s="157"/>
      <c r="L863" s="157"/>
      <c r="M863" s="141"/>
      <c r="N863" s="141"/>
      <c r="O863" s="141"/>
    </row>
    <row r="864" spans="1:15" ht="14.25">
      <c r="A864" s="37"/>
      <c r="B864" s="37"/>
      <c r="C864" s="58"/>
      <c r="D864" s="50"/>
      <c r="E864" s="50"/>
      <c r="F864" s="50"/>
      <c r="G864" s="50"/>
      <c r="H864" s="50"/>
      <c r="I864" s="57"/>
      <c r="J864" s="56"/>
      <c r="K864" s="157"/>
      <c r="L864" s="157"/>
      <c r="M864" s="141"/>
      <c r="N864" s="141"/>
      <c r="O864" s="141"/>
    </row>
    <row r="865" spans="1:15" ht="38.25">
      <c r="A865" s="37" t="s">
        <v>369</v>
      </c>
      <c r="B865" s="52">
        <v>22.5</v>
      </c>
      <c r="C865" s="55" t="s">
        <v>779</v>
      </c>
      <c r="D865" s="50"/>
      <c r="E865" s="50"/>
      <c r="F865" s="50"/>
      <c r="G865" s="50"/>
      <c r="H865" s="50"/>
      <c r="I865" s="50"/>
      <c r="J865" s="49"/>
      <c r="K865" s="157"/>
      <c r="L865" s="157"/>
      <c r="M865" s="141"/>
      <c r="N865" s="141"/>
      <c r="O865" s="141"/>
    </row>
    <row r="866" spans="1:15" ht="63.75">
      <c r="A866" s="39"/>
      <c r="B866" s="47" t="s">
        <v>471</v>
      </c>
      <c r="C866" s="54" t="s">
        <v>780</v>
      </c>
      <c r="D866" s="45"/>
      <c r="E866" s="45"/>
      <c r="F866" s="45"/>
      <c r="G866" s="45"/>
      <c r="H866" s="45"/>
      <c r="I866" s="45"/>
      <c r="J866" s="44"/>
      <c r="K866" s="157"/>
      <c r="L866" s="157"/>
      <c r="M866" s="141"/>
      <c r="N866" s="141"/>
      <c r="O866" s="141"/>
    </row>
    <row r="867" spans="1:15" ht="51">
      <c r="A867" s="39"/>
      <c r="B867" s="47" t="s">
        <v>471</v>
      </c>
      <c r="C867" s="54" t="s">
        <v>781</v>
      </c>
      <c r="D867" s="45"/>
      <c r="E867" s="45"/>
      <c r="F867" s="45"/>
      <c r="G867" s="45"/>
      <c r="H867" s="45"/>
      <c r="I867" s="45"/>
      <c r="J867" s="44"/>
      <c r="K867" s="157"/>
      <c r="L867" s="157"/>
      <c r="M867" s="141"/>
      <c r="N867" s="141"/>
      <c r="O867" s="141"/>
    </row>
    <row r="868" spans="1:15" ht="25.5">
      <c r="A868" s="39"/>
      <c r="B868" s="47"/>
      <c r="C868" s="54" t="s">
        <v>782</v>
      </c>
      <c r="D868" s="45"/>
      <c r="E868" s="45"/>
      <c r="F868" s="45"/>
      <c r="G868" s="45"/>
      <c r="H868" s="45"/>
      <c r="I868" s="45"/>
      <c r="J868" s="44"/>
      <c r="K868" s="157"/>
      <c r="L868" s="157"/>
      <c r="M868" s="141"/>
      <c r="N868" s="141"/>
      <c r="O868" s="141"/>
    </row>
    <row r="869" spans="1:15" ht="51">
      <c r="A869" s="38"/>
      <c r="B869" s="43"/>
      <c r="C869" s="53" t="s">
        <v>783</v>
      </c>
      <c r="D869" s="41"/>
      <c r="E869" s="41"/>
      <c r="F869" s="41"/>
      <c r="G869" s="41"/>
      <c r="H869" s="41"/>
      <c r="I869" s="41"/>
      <c r="J869" s="40"/>
      <c r="K869" s="157"/>
      <c r="L869" s="157"/>
      <c r="M869" s="141"/>
      <c r="N869" s="141"/>
      <c r="O869" s="141"/>
    </row>
    <row r="870" spans="1:15" ht="14.25">
      <c r="A870" s="10"/>
      <c r="B870" s="10"/>
      <c r="C870" s="26" t="s">
        <v>784</v>
      </c>
      <c r="D870" s="8" t="s">
        <v>525</v>
      </c>
      <c r="E870" s="8">
        <v>4</v>
      </c>
      <c r="F870" s="8">
        <v>1.5</v>
      </c>
      <c r="G870" s="8">
        <v>2.1</v>
      </c>
      <c r="H870" s="8"/>
      <c r="I870" s="8"/>
      <c r="J870" s="14">
        <f>G870*F870*E870</f>
        <v>12.600000000000001</v>
      </c>
      <c r="K870" s="157"/>
      <c r="L870" s="157"/>
      <c r="M870" s="141"/>
      <c r="N870" s="141"/>
      <c r="O870" s="141"/>
    </row>
    <row r="871" spans="1:15" ht="14.25">
      <c r="A871" s="10"/>
      <c r="B871" s="10"/>
      <c r="C871" s="26" t="s">
        <v>785</v>
      </c>
      <c r="D871" s="8" t="s">
        <v>525</v>
      </c>
      <c r="E871" s="8">
        <v>8</v>
      </c>
      <c r="F871" s="8">
        <v>2.2999999999999998</v>
      </c>
      <c r="G871" s="8">
        <v>1.38</v>
      </c>
      <c r="H871" s="8"/>
      <c r="I871" s="8"/>
      <c r="J871" s="14">
        <f>G871*F871*E871</f>
        <v>25.391999999999996</v>
      </c>
      <c r="K871" s="157"/>
      <c r="L871" s="157"/>
      <c r="M871" s="141"/>
      <c r="N871" s="141"/>
      <c r="O871" s="141"/>
    </row>
    <row r="872" spans="1:15" ht="14.25">
      <c r="A872" s="10"/>
      <c r="B872" s="10"/>
      <c r="C872" s="26" t="s">
        <v>786</v>
      </c>
      <c r="D872" s="8"/>
      <c r="E872" s="8">
        <v>4</v>
      </c>
      <c r="F872" s="8">
        <v>1.95</v>
      </c>
      <c r="G872" s="8">
        <v>1.85</v>
      </c>
      <c r="H872" s="8"/>
      <c r="I872" s="8"/>
      <c r="J872" s="14">
        <f>G872*F872*E872</f>
        <v>14.43</v>
      </c>
      <c r="K872" s="157"/>
      <c r="L872" s="157"/>
      <c r="M872" s="141"/>
      <c r="N872" s="141"/>
      <c r="O872" s="141"/>
    </row>
    <row r="873" spans="1:15" ht="14.25">
      <c r="A873" s="10"/>
      <c r="B873" s="10"/>
      <c r="C873" s="26" t="s">
        <v>787</v>
      </c>
      <c r="D873" s="8" t="s">
        <v>525</v>
      </c>
      <c r="E873" s="8">
        <v>4</v>
      </c>
      <c r="F873" s="8">
        <f>1.5+1.5+2.1+2.4</f>
        <v>7.5</v>
      </c>
      <c r="G873" s="8">
        <v>1</v>
      </c>
      <c r="H873" s="8" t="s">
        <v>471</v>
      </c>
      <c r="I873" s="8"/>
      <c r="J873" s="14">
        <f>G873*F873*E873</f>
        <v>30</v>
      </c>
      <c r="K873" s="157"/>
      <c r="L873" s="157"/>
      <c r="M873" s="141"/>
      <c r="N873" s="141"/>
      <c r="O873" s="141"/>
    </row>
    <row r="874" spans="1:15" ht="14.25">
      <c r="A874" s="10"/>
      <c r="B874" s="10"/>
      <c r="C874" s="26"/>
      <c r="D874" s="8"/>
      <c r="E874" s="8">
        <v>8</v>
      </c>
      <c r="F874" s="8">
        <f>1.3+1.5+1.5+2</f>
        <v>6.3</v>
      </c>
      <c r="G874" s="8">
        <v>1</v>
      </c>
      <c r="H874" s="8"/>
      <c r="I874" s="8"/>
      <c r="J874" s="14">
        <f>G874*F874*E874</f>
        <v>50.4</v>
      </c>
      <c r="K874" s="157"/>
      <c r="L874" s="157"/>
      <c r="M874" s="141"/>
      <c r="N874" s="141"/>
      <c r="O874" s="141"/>
    </row>
    <row r="875" spans="1:15" ht="14.25">
      <c r="A875" s="10"/>
      <c r="B875" s="10"/>
      <c r="C875" s="9"/>
      <c r="D875" s="8"/>
      <c r="E875" s="8"/>
      <c r="F875" s="8"/>
      <c r="G875" s="8"/>
      <c r="H875" s="8"/>
      <c r="I875" s="23" t="s">
        <v>491</v>
      </c>
      <c r="J875" s="32">
        <f>SUM(J870:J874)</f>
        <v>132.822</v>
      </c>
      <c r="K875" s="157"/>
      <c r="L875" s="157"/>
      <c r="M875" s="141"/>
      <c r="N875" s="141"/>
      <c r="O875" s="141"/>
    </row>
    <row r="876" spans="1:15" ht="14.25">
      <c r="A876" s="10"/>
      <c r="B876" s="10"/>
      <c r="C876" s="9"/>
      <c r="D876" s="8"/>
      <c r="E876" s="8"/>
      <c r="F876" s="8"/>
      <c r="G876" s="8"/>
      <c r="H876" s="8"/>
      <c r="I876" s="24" t="s">
        <v>492</v>
      </c>
      <c r="J876" s="23">
        <f>J875</f>
        <v>132.822</v>
      </c>
      <c r="K876" s="157"/>
      <c r="L876" s="157"/>
      <c r="M876" s="141"/>
      <c r="N876" s="141"/>
      <c r="O876" s="141"/>
    </row>
    <row r="877" spans="1:15" ht="51">
      <c r="A877" s="10" t="s">
        <v>373</v>
      </c>
      <c r="B877" s="52">
        <v>22.7</v>
      </c>
      <c r="C877" s="51" t="s">
        <v>788</v>
      </c>
      <c r="D877" s="50"/>
      <c r="E877" s="50"/>
      <c r="F877" s="50"/>
      <c r="G877" s="50"/>
      <c r="H877" s="50"/>
      <c r="I877" s="50"/>
      <c r="J877" s="49"/>
      <c r="K877" s="157"/>
      <c r="L877" s="157"/>
      <c r="M877" s="141"/>
      <c r="N877" s="141"/>
      <c r="O877" s="141"/>
    </row>
    <row r="878" spans="1:15" ht="76.5">
      <c r="A878" s="10"/>
      <c r="B878" s="47"/>
      <c r="C878" s="48" t="s">
        <v>789</v>
      </c>
      <c r="D878" s="45"/>
      <c r="E878" s="45"/>
      <c r="F878" s="45"/>
      <c r="G878" s="45"/>
      <c r="H878" s="45"/>
      <c r="I878" s="45"/>
      <c r="J878" s="44"/>
      <c r="K878" s="157"/>
      <c r="L878" s="157"/>
      <c r="M878" s="141"/>
      <c r="N878" s="141"/>
      <c r="O878" s="141"/>
    </row>
    <row r="879" spans="1:15" ht="140.25">
      <c r="A879" s="10"/>
      <c r="B879" s="47"/>
      <c r="C879" s="48" t="s">
        <v>438</v>
      </c>
      <c r="D879" s="45"/>
      <c r="E879" s="45"/>
      <c r="F879" s="45"/>
      <c r="G879" s="45"/>
      <c r="H879" s="45"/>
      <c r="I879" s="45"/>
      <c r="J879" s="44"/>
      <c r="K879" s="157"/>
      <c r="L879" s="157"/>
      <c r="M879" s="141"/>
      <c r="N879" s="141"/>
      <c r="O879" s="141"/>
    </row>
    <row r="880" spans="1:15" ht="51">
      <c r="A880" s="10"/>
      <c r="B880" s="47"/>
      <c r="C880" s="46" t="s">
        <v>790</v>
      </c>
      <c r="D880" s="45"/>
      <c r="E880" s="45"/>
      <c r="F880" s="45"/>
      <c r="G880" s="45"/>
      <c r="H880" s="45"/>
      <c r="I880" s="45"/>
      <c r="J880" s="44"/>
      <c r="K880" s="157"/>
      <c r="L880" s="157"/>
      <c r="M880" s="141"/>
      <c r="N880" s="141"/>
      <c r="O880" s="141"/>
    </row>
    <row r="881" spans="1:15" ht="89.25">
      <c r="A881" s="10"/>
      <c r="B881" s="47"/>
      <c r="C881" s="46" t="s">
        <v>791</v>
      </c>
      <c r="D881" s="45"/>
      <c r="E881" s="45"/>
      <c r="F881" s="45"/>
      <c r="G881" s="45"/>
      <c r="H881" s="45"/>
      <c r="I881" s="45"/>
      <c r="J881" s="44"/>
      <c r="K881" s="157"/>
      <c r="L881" s="157"/>
      <c r="M881" s="141"/>
      <c r="N881" s="141"/>
      <c r="O881" s="141"/>
    </row>
    <row r="882" spans="1:15" ht="63.75">
      <c r="A882" s="37" t="s">
        <v>471</v>
      </c>
      <c r="B882" s="43"/>
      <c r="C882" s="42" t="s">
        <v>439</v>
      </c>
      <c r="D882" s="41"/>
      <c r="E882" s="41"/>
      <c r="F882" s="41"/>
      <c r="G882" s="41"/>
      <c r="H882" s="41"/>
      <c r="I882" s="41"/>
      <c r="J882" s="40"/>
      <c r="K882" s="157"/>
      <c r="L882" s="157"/>
      <c r="M882" s="141"/>
      <c r="N882" s="141"/>
      <c r="O882" s="141"/>
    </row>
    <row r="883" spans="1:15" ht="25.5">
      <c r="A883" s="39"/>
      <c r="B883" s="10" t="s">
        <v>440</v>
      </c>
      <c r="C883" s="9" t="s">
        <v>441</v>
      </c>
      <c r="D883" s="8" t="s">
        <v>525</v>
      </c>
      <c r="E883" s="8"/>
      <c r="F883" s="8" t="s">
        <v>471</v>
      </c>
      <c r="G883" s="8" t="s">
        <v>471</v>
      </c>
      <c r="H883" s="8" t="s">
        <v>471</v>
      </c>
      <c r="I883" s="8"/>
      <c r="J883" s="14" t="s">
        <v>471</v>
      </c>
      <c r="K883" s="157"/>
      <c r="L883" s="157"/>
      <c r="M883" s="141"/>
      <c r="N883" s="141"/>
      <c r="O883" s="141"/>
    </row>
    <row r="884" spans="1:15" ht="14.25">
      <c r="A884" s="39"/>
      <c r="B884" s="10"/>
      <c r="C884" s="26" t="s">
        <v>792</v>
      </c>
      <c r="D884" s="8" t="s">
        <v>525</v>
      </c>
      <c r="E884" s="8"/>
      <c r="F884" s="8"/>
      <c r="G884" s="8"/>
      <c r="H884" s="8"/>
      <c r="I884" s="8"/>
      <c r="J884" s="14">
        <v>270</v>
      </c>
      <c r="K884" s="157"/>
      <c r="L884" s="157"/>
      <c r="M884" s="141"/>
      <c r="N884" s="141"/>
      <c r="O884" s="141"/>
    </row>
    <row r="885" spans="1:15" ht="14.25">
      <c r="A885" s="10"/>
      <c r="B885" s="10"/>
      <c r="C885" s="9"/>
      <c r="D885" s="8"/>
      <c r="E885" s="8"/>
      <c r="F885" s="8"/>
      <c r="G885" s="8" t="s">
        <v>471</v>
      </c>
      <c r="H885" s="8" t="s">
        <v>471</v>
      </c>
      <c r="I885" s="23" t="s">
        <v>491</v>
      </c>
      <c r="J885" s="32">
        <f>SUM(J884:J884)</f>
        <v>270</v>
      </c>
      <c r="K885" s="157"/>
      <c r="L885" s="157"/>
      <c r="M885" s="141"/>
      <c r="N885" s="141"/>
      <c r="O885" s="141"/>
    </row>
    <row r="886" spans="1:15" ht="14.25">
      <c r="A886" s="10"/>
      <c r="B886" s="10"/>
      <c r="C886" s="9"/>
      <c r="D886" s="8"/>
      <c r="E886" s="8"/>
      <c r="F886" s="8"/>
      <c r="G886" s="8"/>
      <c r="H886" s="8"/>
      <c r="I886" s="24" t="s">
        <v>492</v>
      </c>
      <c r="J886" s="23">
        <f>J885</f>
        <v>270</v>
      </c>
      <c r="K886" s="157"/>
      <c r="L886" s="157"/>
      <c r="M886" s="141"/>
      <c r="N886" s="141"/>
      <c r="O886" s="141"/>
    </row>
    <row r="887" spans="1:15" ht="14.25">
      <c r="A887" s="36"/>
      <c r="B887" s="10"/>
      <c r="C887" s="24"/>
      <c r="D887" s="24"/>
      <c r="E887" s="24"/>
      <c r="F887" s="24"/>
      <c r="G887" s="24"/>
      <c r="H887" s="24"/>
      <c r="I887" s="24"/>
      <c r="J887" s="24"/>
      <c r="K887" s="141"/>
      <c r="L887" s="141"/>
      <c r="M887" s="141"/>
      <c r="N887" s="141"/>
      <c r="O887" s="141"/>
    </row>
    <row r="888" spans="1:15" ht="26.45" customHeight="1">
      <c r="A888" s="36"/>
      <c r="B888" s="10"/>
      <c r="C888" s="570" t="s">
        <v>793</v>
      </c>
      <c r="D888" s="571"/>
      <c r="E888" s="571"/>
      <c r="F888" s="571"/>
      <c r="G888" s="571"/>
      <c r="H888" s="571"/>
      <c r="I888" s="572"/>
      <c r="J888" s="24"/>
      <c r="K888" s="141"/>
      <c r="L888" s="141"/>
      <c r="M888" s="141"/>
      <c r="N888" s="141"/>
      <c r="O888" s="141"/>
    </row>
    <row r="889" spans="1:15" ht="25.5">
      <c r="A889" s="36" t="s">
        <v>479</v>
      </c>
      <c r="B889" s="33" t="s">
        <v>794</v>
      </c>
      <c r="C889" s="24" t="s">
        <v>481</v>
      </c>
      <c r="D889" s="24" t="s">
        <v>482</v>
      </c>
      <c r="E889" s="24"/>
      <c r="F889" s="24" t="s">
        <v>483</v>
      </c>
      <c r="G889" s="24" t="s">
        <v>484</v>
      </c>
      <c r="H889" s="24" t="s">
        <v>485</v>
      </c>
      <c r="I889" s="24" t="s">
        <v>486</v>
      </c>
      <c r="J889" s="24" t="s">
        <v>795</v>
      </c>
      <c r="K889" s="141"/>
      <c r="L889" s="141"/>
      <c r="M889" s="141"/>
      <c r="N889" s="141"/>
      <c r="O889" s="141"/>
    </row>
    <row r="890" spans="1:15" ht="158.44999999999999" customHeight="1">
      <c r="A890" s="10" t="s">
        <v>30</v>
      </c>
      <c r="B890" s="10" t="s">
        <v>796</v>
      </c>
      <c r="C890" s="9" t="s">
        <v>797</v>
      </c>
      <c r="D890" s="31"/>
      <c r="E890" s="31"/>
      <c r="F890" s="31"/>
      <c r="G890" s="31"/>
      <c r="H890" s="31"/>
      <c r="I890" s="31"/>
      <c r="J890" s="34"/>
    </row>
    <row r="891" spans="1:15" ht="25.5">
      <c r="A891" s="10"/>
      <c r="B891" s="33" t="s">
        <v>683</v>
      </c>
      <c r="C891" s="27" t="s">
        <v>798</v>
      </c>
      <c r="D891" s="8" t="s">
        <v>525</v>
      </c>
      <c r="E891" s="8"/>
      <c r="F891" s="31"/>
      <c r="G891" s="31"/>
      <c r="H891" s="31"/>
      <c r="I891" s="31"/>
      <c r="J891" s="23"/>
    </row>
    <row r="892" spans="1:15">
      <c r="A892" s="10"/>
      <c r="B892" s="33"/>
      <c r="C892" s="26" t="s">
        <v>799</v>
      </c>
      <c r="D892" s="8" t="s">
        <v>525</v>
      </c>
      <c r="E892" s="8"/>
      <c r="F892" s="8"/>
      <c r="G892" s="8"/>
      <c r="H892" s="8"/>
      <c r="I892" s="8"/>
      <c r="J892" s="14">
        <f>J886</f>
        <v>270</v>
      </c>
    </row>
    <row r="893" spans="1:15">
      <c r="A893" s="10"/>
      <c r="B893" s="33"/>
      <c r="C893" s="26"/>
      <c r="D893" s="8"/>
      <c r="E893" s="8"/>
      <c r="F893" s="8"/>
      <c r="G893" s="8"/>
      <c r="H893" s="8"/>
      <c r="I893" s="8"/>
      <c r="J893" s="14"/>
    </row>
    <row r="894" spans="1:15" ht="14.25">
      <c r="A894" s="10"/>
      <c r="B894" s="33"/>
      <c r="C894" s="9"/>
      <c r="D894" s="8"/>
      <c r="E894" s="8"/>
      <c r="F894" s="8"/>
      <c r="G894" s="8"/>
      <c r="H894" s="8"/>
      <c r="I894" s="23" t="s">
        <v>491</v>
      </c>
      <c r="J894" s="32">
        <f>SUM(J892:J893)</f>
        <v>270</v>
      </c>
      <c r="K894" s="174"/>
      <c r="L894" s="141"/>
      <c r="M894" s="141"/>
      <c r="N894" s="141"/>
      <c r="O894" s="141"/>
    </row>
    <row r="895" spans="1:15" ht="14.25">
      <c r="A895" s="10" t="s">
        <v>471</v>
      </c>
      <c r="B895" s="10" t="s">
        <v>471</v>
      </c>
      <c r="C895" s="27"/>
      <c r="D895" s="8"/>
      <c r="E895" s="8"/>
      <c r="F895" s="31"/>
      <c r="G895" s="31"/>
      <c r="H895" s="31"/>
      <c r="I895" s="31"/>
      <c r="J895" s="23"/>
      <c r="K895" s="174"/>
      <c r="L895" s="141"/>
      <c r="M895" s="141"/>
      <c r="N895" s="141"/>
      <c r="O895" s="141"/>
    </row>
    <row r="896" spans="1:15" ht="52.9" customHeight="1">
      <c r="A896" s="10" t="s">
        <v>36</v>
      </c>
      <c r="B896" s="10" t="s">
        <v>800</v>
      </c>
      <c r="C896" s="9" t="s">
        <v>801</v>
      </c>
      <c r="D896" s="18" t="s">
        <v>171</v>
      </c>
      <c r="E896" s="8"/>
      <c r="F896" s="8" t="s">
        <v>471</v>
      </c>
      <c r="G896" s="8" t="s">
        <v>471</v>
      </c>
      <c r="H896" s="8"/>
      <c r="I896" s="8"/>
      <c r="J896" s="30" t="s">
        <v>471</v>
      </c>
      <c r="K896" s="141"/>
      <c r="L896" s="141"/>
      <c r="M896" s="141"/>
      <c r="N896" s="141"/>
      <c r="O896" s="141"/>
    </row>
    <row r="897" spans="1:15" ht="14.25">
      <c r="A897" s="10"/>
      <c r="B897" s="10"/>
      <c r="C897" s="26" t="s">
        <v>802</v>
      </c>
      <c r="D897" s="14"/>
      <c r="E897" s="25">
        <v>4</v>
      </c>
      <c r="F897" s="25">
        <v>1</v>
      </c>
      <c r="G897" s="14">
        <v>1</v>
      </c>
      <c r="H897" s="14"/>
      <c r="I897" s="14" t="s">
        <v>471</v>
      </c>
      <c r="J897" s="14">
        <f>E897*F897*G897</f>
        <v>4</v>
      </c>
      <c r="K897" s="141"/>
      <c r="L897" s="141"/>
      <c r="M897" s="141"/>
      <c r="N897" s="141"/>
      <c r="O897" s="141"/>
    </row>
    <row r="898" spans="1:15" ht="14.25">
      <c r="A898" s="10"/>
      <c r="B898" s="10"/>
      <c r="C898" s="26" t="s">
        <v>668</v>
      </c>
      <c r="D898" s="14"/>
      <c r="E898" s="25">
        <v>4</v>
      </c>
      <c r="F898" s="25">
        <v>3</v>
      </c>
      <c r="G898" s="14">
        <v>1</v>
      </c>
      <c r="H898" s="14"/>
      <c r="I898" s="14"/>
      <c r="J898" s="14">
        <f>E898*F898*G898</f>
        <v>12</v>
      </c>
      <c r="K898" s="141"/>
      <c r="L898" s="141"/>
      <c r="M898" s="141"/>
      <c r="N898" s="141"/>
      <c r="O898" s="141"/>
    </row>
    <row r="899" spans="1:15" ht="14.25">
      <c r="A899" s="10"/>
      <c r="B899" s="10"/>
      <c r="C899" s="9"/>
      <c r="D899" s="8"/>
      <c r="E899" s="8"/>
      <c r="F899" s="8"/>
      <c r="G899" s="8"/>
      <c r="H899" s="8"/>
      <c r="I899" s="8" t="s">
        <v>803</v>
      </c>
      <c r="J899" s="23">
        <f>SUM(J897:J898)</f>
        <v>16</v>
      </c>
      <c r="K899" s="141"/>
      <c r="L899" s="141"/>
      <c r="M899" s="141"/>
      <c r="N899" s="141"/>
      <c r="O899" s="141"/>
    </row>
    <row r="900" spans="1:15" ht="14.25">
      <c r="A900" s="10"/>
      <c r="B900" s="10"/>
      <c r="C900" s="9"/>
      <c r="D900" s="8"/>
      <c r="E900" s="8"/>
      <c r="F900" s="8"/>
      <c r="G900" s="8"/>
      <c r="H900" s="8"/>
      <c r="I900" s="8"/>
      <c r="J900" s="23"/>
      <c r="K900" s="141"/>
      <c r="L900" s="141"/>
      <c r="M900" s="141"/>
      <c r="N900" s="141"/>
      <c r="O900" s="141"/>
    </row>
    <row r="901" spans="1:15" ht="127.5">
      <c r="A901" s="10" t="s">
        <v>40</v>
      </c>
      <c r="B901" s="10" t="s">
        <v>804</v>
      </c>
      <c r="C901" s="27" t="s">
        <v>805</v>
      </c>
      <c r="D901" s="18" t="s">
        <v>584</v>
      </c>
      <c r="E901" s="20">
        <v>12</v>
      </c>
      <c r="F901" s="18">
        <v>2.5</v>
      </c>
      <c r="G901" s="18">
        <v>1.5</v>
      </c>
      <c r="H901" s="18">
        <v>1</v>
      </c>
      <c r="I901" s="18">
        <v>0.45</v>
      </c>
      <c r="J901" s="17">
        <f>E901*F901*G901*H901*I901</f>
        <v>20.25</v>
      </c>
      <c r="K901" s="141"/>
      <c r="L901" s="141"/>
      <c r="M901" s="141"/>
      <c r="N901" s="141"/>
      <c r="O901" s="141"/>
    </row>
    <row r="902" spans="1:15" ht="14.25">
      <c r="A902" s="10" t="s">
        <v>471</v>
      </c>
      <c r="B902" s="29" t="s">
        <v>471</v>
      </c>
      <c r="C902" s="15"/>
      <c r="D902" s="8"/>
      <c r="E902" s="8"/>
      <c r="F902" s="8"/>
      <c r="G902" s="8"/>
      <c r="H902" s="8"/>
      <c r="I902" s="24" t="s">
        <v>492</v>
      </c>
      <c r="J902" s="23">
        <f>J901</f>
        <v>20.25</v>
      </c>
      <c r="K902" s="141"/>
      <c r="L902" s="141"/>
      <c r="M902" s="141"/>
      <c r="N902" s="141"/>
      <c r="O902" s="141"/>
    </row>
    <row r="903" spans="1:15" ht="178.5">
      <c r="A903" s="10" t="s">
        <v>43</v>
      </c>
      <c r="B903" s="10" t="s">
        <v>806</v>
      </c>
      <c r="C903" s="27" t="s">
        <v>807</v>
      </c>
      <c r="D903" s="19"/>
      <c r="E903" s="19"/>
      <c r="F903" s="8"/>
      <c r="G903" s="8"/>
      <c r="H903" s="8"/>
      <c r="I903" s="8"/>
      <c r="J903" s="14"/>
      <c r="K903" s="175"/>
      <c r="L903" s="141"/>
      <c r="M903" s="141"/>
      <c r="N903" s="141"/>
      <c r="O903" s="141"/>
    </row>
    <row r="904" spans="1:15" ht="14.25">
      <c r="A904" s="10" t="s">
        <v>808</v>
      </c>
      <c r="B904" s="10" t="s">
        <v>84</v>
      </c>
      <c r="C904" s="9" t="s">
        <v>809</v>
      </c>
      <c r="D904" s="19" t="s">
        <v>111</v>
      </c>
      <c r="E904" s="19"/>
      <c r="F904" s="8"/>
      <c r="G904" s="8"/>
      <c r="H904" s="8"/>
      <c r="I904" s="8"/>
      <c r="J904" s="17"/>
      <c r="K904" s="175"/>
      <c r="L904" s="141"/>
      <c r="M904" s="141"/>
      <c r="N904" s="141"/>
      <c r="O904" s="141"/>
    </row>
    <row r="905" spans="1:15" ht="14.25">
      <c r="A905" s="10"/>
      <c r="B905" s="10"/>
      <c r="C905" s="9" t="s">
        <v>810</v>
      </c>
      <c r="D905" s="19"/>
      <c r="E905" s="19">
        <v>4</v>
      </c>
      <c r="F905" s="8">
        <v>3</v>
      </c>
      <c r="G905" s="8">
        <v>3</v>
      </c>
      <c r="H905" s="8"/>
      <c r="I905" s="8"/>
      <c r="J905" s="17">
        <f>E905*F905*G905</f>
        <v>36</v>
      </c>
      <c r="K905" s="175"/>
      <c r="L905" s="141"/>
      <c r="M905" s="141"/>
      <c r="N905" s="141"/>
      <c r="O905" s="141"/>
    </row>
    <row r="906" spans="1:15" ht="14.25">
      <c r="A906" s="10"/>
      <c r="B906" s="10"/>
      <c r="C906" s="9" t="s">
        <v>811</v>
      </c>
      <c r="D906" s="19"/>
      <c r="E906" s="19">
        <v>4</v>
      </c>
      <c r="F906" s="8">
        <v>1</v>
      </c>
      <c r="G906" s="8">
        <v>3</v>
      </c>
      <c r="H906" s="8"/>
      <c r="I906" s="8"/>
      <c r="J906" s="17">
        <f>E906*F906*G906</f>
        <v>12</v>
      </c>
      <c r="K906" s="175"/>
      <c r="L906" s="141"/>
      <c r="M906" s="141"/>
      <c r="N906" s="141"/>
      <c r="O906" s="141"/>
    </row>
    <row r="907" spans="1:15" ht="14.25">
      <c r="A907" s="10"/>
      <c r="B907" s="10"/>
      <c r="C907" s="9"/>
      <c r="D907" s="19"/>
      <c r="E907" s="19"/>
      <c r="F907" s="8"/>
      <c r="G907" s="8"/>
      <c r="H907" s="8"/>
      <c r="I907" s="8" t="s">
        <v>491</v>
      </c>
      <c r="J907" s="17">
        <f>SUM(J905:J906)</f>
        <v>48</v>
      </c>
      <c r="K907" s="175"/>
      <c r="L907" s="141"/>
      <c r="M907" s="141"/>
      <c r="N907" s="141"/>
      <c r="O907" s="141"/>
    </row>
    <row r="908" spans="1:15" ht="14.25">
      <c r="A908" s="10"/>
      <c r="B908" s="10"/>
      <c r="C908" s="9"/>
      <c r="D908" s="19"/>
      <c r="E908" s="19"/>
      <c r="F908" s="8"/>
      <c r="G908" s="8"/>
      <c r="H908" s="8"/>
      <c r="I908" s="8"/>
      <c r="J908" s="17"/>
      <c r="K908" s="175"/>
      <c r="L908" s="141"/>
      <c r="M908" s="141"/>
      <c r="N908" s="141"/>
      <c r="O908" s="141"/>
    </row>
    <row r="909" spans="1:15" ht="14.25">
      <c r="A909" s="10" t="s">
        <v>812</v>
      </c>
      <c r="B909" s="10" t="s">
        <v>87</v>
      </c>
      <c r="C909" s="9" t="s">
        <v>813</v>
      </c>
      <c r="D909" s="19"/>
      <c r="E909" s="19"/>
      <c r="F909" s="8"/>
      <c r="G909" s="8"/>
      <c r="H909" s="8"/>
      <c r="I909" s="8"/>
      <c r="J909" s="17"/>
      <c r="K909" s="175"/>
      <c r="L909" s="141"/>
      <c r="M909" s="141"/>
      <c r="N909" s="141"/>
      <c r="O909" s="141"/>
    </row>
    <row r="910" spans="1:15" ht="14.25">
      <c r="A910" s="10"/>
      <c r="B910" s="10"/>
      <c r="C910" s="9" t="s">
        <v>810</v>
      </c>
      <c r="D910" s="19" t="s">
        <v>111</v>
      </c>
      <c r="E910" s="19">
        <v>4</v>
      </c>
      <c r="F910" s="8">
        <v>3</v>
      </c>
      <c r="G910" s="8">
        <v>2</v>
      </c>
      <c r="H910" s="8"/>
      <c r="I910" s="8"/>
      <c r="J910" s="22">
        <f>E910*F910*G910</f>
        <v>24</v>
      </c>
      <c r="K910" s="175"/>
      <c r="L910" s="141"/>
      <c r="M910" s="141"/>
      <c r="N910" s="141"/>
      <c r="O910" s="141"/>
    </row>
    <row r="911" spans="1:15" ht="14.25">
      <c r="A911" s="10"/>
      <c r="B911" s="10"/>
      <c r="C911" s="9" t="s">
        <v>811</v>
      </c>
      <c r="D911" s="19" t="s">
        <v>111</v>
      </c>
      <c r="E911" s="19">
        <v>4</v>
      </c>
      <c r="F911" s="8">
        <v>1</v>
      </c>
      <c r="G911" s="8">
        <v>2</v>
      </c>
      <c r="H911" s="8"/>
      <c r="I911" s="8"/>
      <c r="J911" s="22">
        <f>E911*F911*G911</f>
        <v>8</v>
      </c>
      <c r="K911" s="175"/>
      <c r="L911" s="141"/>
      <c r="M911" s="141"/>
      <c r="N911" s="141"/>
      <c r="O911" s="141"/>
    </row>
    <row r="912" spans="1:15" ht="14.25">
      <c r="A912" s="10"/>
      <c r="B912" s="10"/>
      <c r="C912" s="9" t="s">
        <v>814</v>
      </c>
      <c r="D912" s="19" t="s">
        <v>111</v>
      </c>
      <c r="E912" s="19">
        <v>4</v>
      </c>
      <c r="F912" s="8">
        <v>1</v>
      </c>
      <c r="G912" s="8">
        <v>8</v>
      </c>
      <c r="H912" s="8"/>
      <c r="I912" s="8"/>
      <c r="J912" s="22">
        <f>E912*F912*G912</f>
        <v>32</v>
      </c>
      <c r="K912" s="175"/>
      <c r="L912" s="141"/>
      <c r="M912" s="141"/>
      <c r="N912" s="141"/>
      <c r="O912" s="141"/>
    </row>
    <row r="913" spans="1:15" ht="14.25">
      <c r="A913" s="10"/>
      <c r="B913" s="10"/>
      <c r="C913" s="9" t="s">
        <v>815</v>
      </c>
      <c r="D913" s="19" t="s">
        <v>111</v>
      </c>
      <c r="E913" s="19">
        <v>2</v>
      </c>
      <c r="F913" s="8">
        <v>1</v>
      </c>
      <c r="G913" s="8">
        <v>8</v>
      </c>
      <c r="H913" s="8"/>
      <c r="I913" s="8"/>
      <c r="J913" s="22">
        <f>E913*F913*G913</f>
        <v>16</v>
      </c>
      <c r="K913" s="175"/>
      <c r="L913" s="141"/>
      <c r="M913" s="141"/>
      <c r="N913" s="141"/>
      <c r="O913" s="141"/>
    </row>
    <row r="914" spans="1:15" ht="14.25">
      <c r="A914" s="10"/>
      <c r="B914" s="10"/>
      <c r="C914" s="9"/>
      <c r="D914" s="19"/>
      <c r="E914" s="19"/>
      <c r="F914" s="8"/>
      <c r="G914" s="8"/>
      <c r="H914" s="8"/>
      <c r="I914" s="8" t="s">
        <v>491</v>
      </c>
      <c r="J914" s="17">
        <f>SUM(J910:J913)</f>
        <v>80</v>
      </c>
      <c r="K914" s="175"/>
      <c r="L914" s="141"/>
      <c r="M914" s="141"/>
      <c r="N914" s="141"/>
      <c r="O914" s="141"/>
    </row>
    <row r="915" spans="1:15" ht="14.25">
      <c r="A915" s="10"/>
      <c r="B915" s="10"/>
      <c r="C915" s="9"/>
      <c r="D915" s="19"/>
      <c r="E915" s="19"/>
      <c r="F915" s="8"/>
      <c r="G915" s="8"/>
      <c r="H915" s="8"/>
      <c r="I915" s="8"/>
      <c r="J915" s="17"/>
      <c r="K915" s="175"/>
      <c r="L915" s="141"/>
      <c r="M915" s="141"/>
      <c r="N915" s="141"/>
      <c r="O915" s="141"/>
    </row>
    <row r="916" spans="1:15" ht="14.25">
      <c r="A916" s="10" t="s">
        <v>816</v>
      </c>
      <c r="B916" s="10" t="s">
        <v>89</v>
      </c>
      <c r="C916" s="9" t="s">
        <v>817</v>
      </c>
      <c r="D916" s="19"/>
      <c r="E916" s="19"/>
      <c r="F916" s="18"/>
      <c r="G916" s="18"/>
      <c r="H916" s="18"/>
      <c r="I916" s="18"/>
      <c r="J916" s="17"/>
      <c r="K916" s="175"/>
      <c r="L916" s="141"/>
      <c r="M916" s="141"/>
      <c r="N916" s="141"/>
      <c r="O916" s="141"/>
    </row>
    <row r="917" spans="1:15" ht="14.25">
      <c r="A917" s="10"/>
      <c r="B917" s="10"/>
      <c r="C917" s="9" t="s">
        <v>810</v>
      </c>
      <c r="D917" s="19" t="s">
        <v>111</v>
      </c>
      <c r="E917" s="19">
        <v>4</v>
      </c>
      <c r="F917" s="8">
        <v>3</v>
      </c>
      <c r="G917" s="8">
        <v>1</v>
      </c>
      <c r="H917" s="8"/>
      <c r="I917" s="8"/>
      <c r="J917" s="22">
        <f>E917*F917*G917</f>
        <v>12</v>
      </c>
      <c r="K917" s="175"/>
      <c r="L917" s="141"/>
      <c r="M917" s="141"/>
      <c r="N917" s="141"/>
      <c r="O917" s="141"/>
    </row>
    <row r="918" spans="1:15" ht="14.25">
      <c r="A918" s="10"/>
      <c r="B918" s="10"/>
      <c r="C918" s="9" t="s">
        <v>814</v>
      </c>
      <c r="D918" s="19" t="s">
        <v>111</v>
      </c>
      <c r="E918" s="19">
        <v>4</v>
      </c>
      <c r="F918" s="8">
        <v>1</v>
      </c>
      <c r="G918" s="8">
        <v>8</v>
      </c>
      <c r="H918" s="8"/>
      <c r="I918" s="8"/>
      <c r="J918" s="22">
        <f>E918*F918*G918</f>
        <v>32</v>
      </c>
      <c r="K918" s="175"/>
      <c r="L918" s="141"/>
      <c r="M918" s="141"/>
      <c r="N918" s="141"/>
      <c r="O918" s="141"/>
    </row>
    <row r="919" spans="1:15" ht="14.25">
      <c r="A919" s="10"/>
      <c r="B919" s="10"/>
      <c r="C919" s="9"/>
      <c r="D919" s="19"/>
      <c r="E919" s="19"/>
      <c r="F919" s="8"/>
      <c r="G919" s="8"/>
      <c r="H919" s="8"/>
      <c r="I919" s="8"/>
      <c r="J919" s="22"/>
      <c r="K919" s="175"/>
      <c r="L919" s="141"/>
      <c r="M919" s="141"/>
      <c r="N919" s="141"/>
      <c r="O919" s="141"/>
    </row>
    <row r="920" spans="1:15" ht="14.25">
      <c r="A920" s="10"/>
      <c r="B920" s="10"/>
      <c r="C920" s="9"/>
      <c r="D920" s="19"/>
      <c r="E920" s="19"/>
      <c r="F920" s="8"/>
      <c r="G920" s="8"/>
      <c r="H920" s="8"/>
      <c r="I920" s="8" t="s">
        <v>491</v>
      </c>
      <c r="J920" s="17">
        <f>SUM(J917:J918)</f>
        <v>44</v>
      </c>
      <c r="K920" s="175"/>
      <c r="L920" s="141"/>
      <c r="M920" s="141"/>
      <c r="N920" s="141"/>
      <c r="O920" s="141"/>
    </row>
    <row r="921" spans="1:15" ht="14.25">
      <c r="A921" s="10"/>
      <c r="B921" s="10"/>
      <c r="C921" s="9"/>
      <c r="D921" s="19"/>
      <c r="E921" s="19"/>
      <c r="F921" s="8"/>
      <c r="G921" s="8"/>
      <c r="H921" s="8"/>
      <c r="I921" s="8"/>
      <c r="J921" s="17"/>
      <c r="K921" s="175"/>
      <c r="L921" s="141"/>
      <c r="M921" s="141"/>
      <c r="N921" s="141"/>
      <c r="O921" s="141"/>
    </row>
    <row r="922" spans="1:15" ht="14.25">
      <c r="A922" s="10"/>
      <c r="B922" s="10"/>
      <c r="C922" s="9"/>
      <c r="D922" s="19"/>
      <c r="E922" s="19"/>
      <c r="F922" s="8"/>
      <c r="G922" s="8"/>
      <c r="H922" s="8"/>
      <c r="I922" s="8"/>
      <c r="J922" s="17"/>
      <c r="K922" s="175"/>
      <c r="L922" s="141"/>
      <c r="M922" s="141"/>
      <c r="N922" s="141"/>
      <c r="O922" s="141"/>
    </row>
    <row r="923" spans="1:15" ht="114.75">
      <c r="A923" s="10" t="s">
        <v>48</v>
      </c>
      <c r="B923" s="10" t="s">
        <v>818</v>
      </c>
      <c r="C923" s="9" t="s">
        <v>819</v>
      </c>
      <c r="D923" s="19"/>
      <c r="E923" s="19"/>
      <c r="F923" s="18"/>
      <c r="G923" s="18"/>
      <c r="H923" s="8"/>
      <c r="I923" s="8"/>
      <c r="J923" s="17"/>
      <c r="K923" s="175"/>
      <c r="L923" s="141"/>
      <c r="M923" s="141"/>
      <c r="N923" s="141"/>
      <c r="O923" s="141"/>
    </row>
    <row r="924" spans="1:15" ht="14.25">
      <c r="A924" s="10"/>
      <c r="B924" s="10"/>
      <c r="C924" s="26" t="s">
        <v>820</v>
      </c>
      <c r="D924" s="19" t="s">
        <v>171</v>
      </c>
      <c r="E924" s="19">
        <v>12</v>
      </c>
      <c r="F924" s="18"/>
      <c r="G924" s="18"/>
      <c r="H924" s="8"/>
      <c r="I924" s="8"/>
      <c r="J924" s="22">
        <f>E924</f>
        <v>12</v>
      </c>
      <c r="K924" s="175"/>
      <c r="L924" s="141"/>
      <c r="M924" s="141"/>
      <c r="N924" s="141"/>
      <c r="O924" s="141"/>
    </row>
    <row r="925" spans="1:15" ht="14.25">
      <c r="A925" s="10"/>
      <c r="B925" s="10"/>
      <c r="C925" s="26" t="s">
        <v>821</v>
      </c>
      <c r="D925" s="19" t="s">
        <v>171</v>
      </c>
      <c r="E925" s="19">
        <v>4</v>
      </c>
      <c r="F925" s="18">
        <v>1</v>
      </c>
      <c r="G925" s="18">
        <v>1</v>
      </c>
      <c r="H925" s="8"/>
      <c r="I925" s="8"/>
      <c r="J925" s="22">
        <f>E925*F925*G925</f>
        <v>4</v>
      </c>
      <c r="K925" s="175"/>
      <c r="L925" s="141"/>
      <c r="M925" s="141"/>
      <c r="N925" s="141"/>
      <c r="O925" s="141"/>
    </row>
    <row r="926" spans="1:15" ht="14.25">
      <c r="A926" s="10"/>
      <c r="B926" s="10"/>
      <c r="C926" s="9"/>
      <c r="D926" s="19"/>
      <c r="E926" s="19"/>
      <c r="F926" s="18"/>
      <c r="G926" s="18"/>
      <c r="H926" s="8"/>
      <c r="I926" s="8" t="s">
        <v>491</v>
      </c>
      <c r="J926" s="17">
        <f>SUM(J924:J925)</f>
        <v>16</v>
      </c>
      <c r="K926" s="175"/>
      <c r="L926" s="141"/>
      <c r="M926" s="141"/>
      <c r="N926" s="141"/>
      <c r="O926" s="141"/>
    </row>
    <row r="927" spans="1:15" ht="14.25">
      <c r="A927" s="10"/>
      <c r="B927" s="10"/>
      <c r="C927" s="9"/>
      <c r="D927" s="19"/>
      <c r="E927" s="19"/>
      <c r="F927" s="18"/>
      <c r="G927" s="18"/>
      <c r="H927" s="8"/>
      <c r="I927" s="8"/>
      <c r="J927" s="17"/>
      <c r="K927" s="175"/>
      <c r="L927" s="141"/>
      <c r="M927" s="141"/>
      <c r="N927" s="141"/>
      <c r="O927" s="141"/>
    </row>
    <row r="928" spans="1:15" ht="51">
      <c r="A928" s="10" t="s">
        <v>51</v>
      </c>
      <c r="B928" s="10" t="s">
        <v>822</v>
      </c>
      <c r="C928" s="9" t="s">
        <v>823</v>
      </c>
      <c r="D928" s="8"/>
      <c r="E928" s="8"/>
      <c r="F928" s="8"/>
      <c r="G928" s="8"/>
      <c r="H928" s="8"/>
      <c r="I928" s="8"/>
      <c r="J928" s="14"/>
      <c r="K928" s="175"/>
      <c r="L928" s="141"/>
      <c r="M928" s="141"/>
      <c r="N928" s="141"/>
      <c r="O928" s="141"/>
    </row>
    <row r="929" spans="1:15" ht="25.5">
      <c r="A929" s="10"/>
      <c r="B929" s="10"/>
      <c r="C929" s="9" t="s">
        <v>824</v>
      </c>
      <c r="D929" s="8" t="s">
        <v>525</v>
      </c>
      <c r="E929" s="8">
        <v>12</v>
      </c>
      <c r="F929" s="8">
        <v>1</v>
      </c>
      <c r="G929" s="8">
        <v>7</v>
      </c>
      <c r="H929" s="8">
        <v>0.6</v>
      </c>
      <c r="I929" s="8">
        <v>1.2</v>
      </c>
      <c r="J929" s="23">
        <f>E929*F929*G929*H929*I929</f>
        <v>60.48</v>
      </c>
      <c r="K929" s="175"/>
      <c r="L929" s="141"/>
      <c r="M929" s="141"/>
      <c r="N929" s="141"/>
      <c r="O929" s="141"/>
    </row>
    <row r="930" spans="1:15" ht="14.25">
      <c r="A930" s="10"/>
      <c r="B930" s="16"/>
      <c r="C930" s="15"/>
      <c r="D930" s="8"/>
      <c r="E930" s="8"/>
      <c r="F930" s="8"/>
      <c r="G930" s="8"/>
      <c r="H930" s="8"/>
      <c r="I930" s="24" t="s">
        <v>492</v>
      </c>
      <c r="J930" s="23">
        <f>J929</f>
        <v>60.48</v>
      </c>
      <c r="K930" s="175"/>
      <c r="L930" s="141"/>
      <c r="M930" s="141"/>
      <c r="N930" s="141"/>
      <c r="O930" s="141"/>
    </row>
    <row r="931" spans="1:15" ht="14.25">
      <c r="A931" s="10"/>
      <c r="B931" s="10"/>
      <c r="C931" s="9"/>
      <c r="D931" s="19"/>
      <c r="E931" s="19"/>
      <c r="F931" s="18"/>
      <c r="G931" s="18"/>
      <c r="H931" s="8"/>
      <c r="I931" s="8"/>
      <c r="J931" s="17"/>
      <c r="K931" s="175"/>
      <c r="L931" s="141"/>
      <c r="M931" s="141"/>
      <c r="N931" s="141"/>
      <c r="O931" s="141"/>
    </row>
    <row r="932" spans="1:15" ht="51">
      <c r="A932" s="10" t="s">
        <v>55</v>
      </c>
      <c r="B932" s="10" t="s">
        <v>825</v>
      </c>
      <c r="C932" s="27" t="s">
        <v>826</v>
      </c>
      <c r="D932" s="18"/>
      <c r="E932" s="18"/>
      <c r="F932" s="22"/>
      <c r="G932" s="22"/>
      <c r="H932" s="142"/>
      <c r="I932" s="142"/>
      <c r="J932" s="22"/>
      <c r="K932" s="175"/>
      <c r="L932" s="141"/>
      <c r="M932" s="141"/>
      <c r="N932" s="141"/>
      <c r="O932" s="141"/>
    </row>
    <row r="933" spans="1:15" ht="14.25">
      <c r="A933" s="10"/>
      <c r="B933" s="10"/>
      <c r="C933" s="27"/>
      <c r="D933" s="18"/>
      <c r="E933" s="18"/>
      <c r="F933" s="22"/>
      <c r="G933" s="22"/>
      <c r="H933" s="142"/>
      <c r="I933" s="142"/>
      <c r="J933" s="22"/>
      <c r="K933" s="175"/>
      <c r="L933" s="141"/>
      <c r="M933" s="141"/>
      <c r="N933" s="141"/>
      <c r="O933" s="141"/>
    </row>
    <row r="934" spans="1:15" ht="25.5">
      <c r="A934" s="10" t="s">
        <v>827</v>
      </c>
      <c r="B934" s="10" t="s">
        <v>84</v>
      </c>
      <c r="C934" s="27" t="s">
        <v>828</v>
      </c>
      <c r="D934" s="19" t="s">
        <v>471</v>
      </c>
      <c r="E934" s="19"/>
      <c r="F934" s="18"/>
      <c r="G934" s="18"/>
      <c r="H934" s="8"/>
      <c r="I934" s="8"/>
      <c r="J934" s="17"/>
      <c r="K934" s="175"/>
      <c r="L934" s="141"/>
      <c r="M934" s="141"/>
      <c r="N934" s="141"/>
      <c r="O934" s="141"/>
    </row>
    <row r="935" spans="1:15" ht="14.25">
      <c r="A935" s="10"/>
      <c r="B935" s="10"/>
      <c r="C935" s="26" t="s">
        <v>829</v>
      </c>
      <c r="D935" s="19" t="s">
        <v>171</v>
      </c>
      <c r="E935" s="19">
        <v>4</v>
      </c>
      <c r="F935" s="18">
        <v>3</v>
      </c>
      <c r="G935" s="18">
        <v>1</v>
      </c>
      <c r="H935" s="8"/>
      <c r="I935" s="8"/>
      <c r="J935" s="17">
        <f>E935*F935*G935</f>
        <v>12</v>
      </c>
      <c r="K935" s="175"/>
      <c r="L935" s="141"/>
      <c r="M935" s="141"/>
      <c r="N935" s="141"/>
      <c r="O935" s="141"/>
    </row>
    <row r="936" spans="1:15" ht="14.25">
      <c r="A936" s="10"/>
      <c r="B936" s="10"/>
      <c r="C936" s="27"/>
      <c r="D936" s="19"/>
      <c r="E936" s="19"/>
      <c r="F936" s="18"/>
      <c r="G936" s="18"/>
      <c r="H936" s="8"/>
      <c r="I936" s="8"/>
      <c r="J936" s="17"/>
      <c r="K936" s="175"/>
      <c r="L936" s="141"/>
      <c r="M936" s="141"/>
      <c r="N936" s="141"/>
      <c r="O936" s="141"/>
    </row>
    <row r="937" spans="1:15" ht="25.5">
      <c r="A937" s="10" t="s">
        <v>830</v>
      </c>
      <c r="B937" s="10" t="s">
        <v>87</v>
      </c>
      <c r="C937" s="27" t="s">
        <v>831</v>
      </c>
      <c r="D937" s="19"/>
      <c r="E937" s="19"/>
      <c r="F937" s="18"/>
      <c r="G937" s="18"/>
      <c r="H937" s="8"/>
      <c r="I937" s="8"/>
      <c r="J937" s="17"/>
      <c r="K937" s="175"/>
      <c r="L937" s="141"/>
      <c r="M937" s="141"/>
      <c r="N937" s="141"/>
      <c r="O937" s="141"/>
    </row>
    <row r="938" spans="1:15" ht="14.25">
      <c r="A938" s="10"/>
      <c r="B938" s="10"/>
      <c r="C938" s="26" t="s">
        <v>829</v>
      </c>
      <c r="D938" s="19" t="s">
        <v>171</v>
      </c>
      <c r="E938" s="19">
        <v>4</v>
      </c>
      <c r="F938" s="18">
        <v>3</v>
      </c>
      <c r="G938" s="18">
        <v>1</v>
      </c>
      <c r="H938" s="8"/>
      <c r="I938" s="8"/>
      <c r="J938" s="17">
        <f>E938*F938*G938</f>
        <v>12</v>
      </c>
      <c r="K938" s="175"/>
      <c r="L938" s="141"/>
      <c r="M938" s="141"/>
      <c r="N938" s="141"/>
      <c r="O938" s="141"/>
    </row>
    <row r="939" spans="1:15" ht="14.25">
      <c r="A939" s="10"/>
      <c r="B939" s="10"/>
      <c r="C939" s="26"/>
      <c r="D939" s="19"/>
      <c r="E939" s="19"/>
      <c r="F939" s="18"/>
      <c r="G939" s="18"/>
      <c r="H939" s="8"/>
      <c r="I939" s="8"/>
      <c r="J939" s="17"/>
      <c r="K939" s="175"/>
      <c r="L939" s="141"/>
      <c r="M939" s="141"/>
      <c r="N939" s="141"/>
      <c r="O939" s="141"/>
    </row>
    <row r="940" spans="1:15" ht="99.75">
      <c r="A940" s="10"/>
      <c r="B940" s="10"/>
      <c r="C940" s="27" t="s">
        <v>458</v>
      </c>
      <c r="D940" s="27"/>
      <c r="E940" s="19"/>
      <c r="F940" s="18"/>
      <c r="G940" s="18"/>
      <c r="H940" s="8"/>
      <c r="I940" s="8"/>
      <c r="J940" s="17"/>
      <c r="K940" s="175"/>
      <c r="L940" s="141"/>
      <c r="M940" s="141"/>
      <c r="N940" s="141"/>
      <c r="O940" s="141"/>
    </row>
    <row r="941" spans="1:15" ht="14.25">
      <c r="A941" s="10"/>
      <c r="B941" s="10"/>
      <c r="C941" s="27" t="s">
        <v>832</v>
      </c>
      <c r="D941" s="27" t="s">
        <v>650</v>
      </c>
      <c r="E941" s="19"/>
      <c r="F941" s="18"/>
      <c r="G941" s="18"/>
      <c r="H941" s="8"/>
      <c r="I941" s="8"/>
      <c r="J941" s="17">
        <v>100</v>
      </c>
      <c r="K941" s="175"/>
      <c r="L941" s="141"/>
      <c r="M941" s="141"/>
      <c r="N941" s="141"/>
      <c r="O941" s="141"/>
    </row>
    <row r="942" spans="1:15" ht="14.25">
      <c r="A942" s="10"/>
      <c r="B942" s="10"/>
      <c r="C942" s="27"/>
      <c r="D942" s="27"/>
      <c r="E942" s="19"/>
      <c r="F942" s="18"/>
      <c r="G942" s="18"/>
      <c r="H942" s="8"/>
      <c r="I942" s="8"/>
      <c r="J942" s="17"/>
      <c r="K942" s="175"/>
      <c r="L942" s="141"/>
      <c r="M942" s="141"/>
      <c r="N942" s="141"/>
      <c r="O942" s="141"/>
    </row>
    <row r="943" spans="1:15" ht="99.75">
      <c r="A943" s="10"/>
      <c r="B943" s="10"/>
      <c r="C943" s="27" t="s">
        <v>459</v>
      </c>
      <c r="D943" s="27" t="s">
        <v>171</v>
      </c>
      <c r="E943" s="19"/>
      <c r="F943" s="18"/>
      <c r="G943" s="18"/>
      <c r="H943" s="8"/>
      <c r="I943" s="8"/>
      <c r="J943" s="17"/>
      <c r="K943" s="175"/>
      <c r="L943" s="141"/>
      <c r="M943" s="141"/>
      <c r="N943" s="141"/>
      <c r="O943" s="141"/>
    </row>
    <row r="944" spans="1:15" ht="14.25">
      <c r="A944" s="10"/>
      <c r="B944" s="10"/>
      <c r="C944" s="27"/>
      <c r="D944" s="27"/>
      <c r="E944" s="19"/>
      <c r="F944" s="18"/>
      <c r="G944" s="18"/>
      <c r="H944" s="8"/>
      <c r="I944" s="8"/>
      <c r="J944" s="17">
        <v>3</v>
      </c>
      <c r="K944" s="175"/>
      <c r="L944" s="141"/>
      <c r="M944" s="141"/>
      <c r="N944" s="141"/>
      <c r="O944" s="141"/>
    </row>
    <row r="945" spans="1:15" ht="105">
      <c r="A945" s="10"/>
      <c r="B945" s="10"/>
      <c r="C945" s="27" t="s">
        <v>460</v>
      </c>
      <c r="D945" s="27" t="s">
        <v>171</v>
      </c>
      <c r="E945" s="19"/>
      <c r="F945" s="18"/>
      <c r="G945" s="18"/>
      <c r="H945" s="8"/>
      <c r="I945" s="8"/>
      <c r="J945" s="17"/>
      <c r="K945" s="175"/>
      <c r="L945" s="141"/>
      <c r="M945" s="141"/>
      <c r="N945" s="141"/>
      <c r="O945" s="141"/>
    </row>
    <row r="946" spans="1:15" ht="14.25">
      <c r="A946" s="10"/>
      <c r="B946" s="10"/>
      <c r="C946" s="27"/>
      <c r="D946" s="27"/>
      <c r="E946" s="19"/>
      <c r="F946" s="18"/>
      <c r="G946" s="18"/>
      <c r="H946" s="8"/>
      <c r="I946" s="8"/>
      <c r="J946" s="17">
        <v>3</v>
      </c>
      <c r="K946" s="175"/>
      <c r="L946" s="141"/>
      <c r="M946" s="141"/>
      <c r="N946" s="141"/>
      <c r="O946" s="141"/>
    </row>
    <row r="947" spans="1:15" ht="135">
      <c r="A947" s="10"/>
      <c r="B947" s="10"/>
      <c r="C947" s="27" t="s">
        <v>461</v>
      </c>
      <c r="D947" s="27" t="s">
        <v>171</v>
      </c>
      <c r="E947" s="19"/>
      <c r="F947" s="18"/>
      <c r="G947" s="18"/>
      <c r="H947" s="8"/>
      <c r="I947" s="8"/>
      <c r="J947" s="17"/>
      <c r="K947" s="175"/>
      <c r="L947" s="141"/>
      <c r="M947" s="141"/>
      <c r="N947" s="141"/>
      <c r="O947" s="141"/>
    </row>
    <row r="948" spans="1:15" ht="14.25">
      <c r="A948" s="10"/>
      <c r="B948" s="10"/>
      <c r="C948" s="27"/>
      <c r="D948" s="27"/>
      <c r="E948" s="19"/>
      <c r="F948" s="18"/>
      <c r="G948" s="18"/>
      <c r="H948" s="8"/>
      <c r="I948" s="8"/>
      <c r="J948" s="17">
        <v>3</v>
      </c>
      <c r="K948" s="175"/>
      <c r="L948" s="141"/>
      <c r="M948" s="141"/>
      <c r="N948" s="141"/>
      <c r="O948" s="141"/>
    </row>
    <row r="949" spans="1:15" ht="150">
      <c r="A949" s="10"/>
      <c r="B949" s="10"/>
      <c r="C949" s="27" t="s">
        <v>462</v>
      </c>
      <c r="D949" s="27" t="s">
        <v>171</v>
      </c>
      <c r="E949" s="19"/>
      <c r="F949" s="18"/>
      <c r="G949" s="18"/>
      <c r="H949" s="8"/>
      <c r="I949" s="8"/>
      <c r="J949" s="17"/>
      <c r="K949" s="175"/>
      <c r="L949" s="141"/>
      <c r="M949" s="141"/>
      <c r="N949" s="141"/>
      <c r="O949" s="141"/>
    </row>
    <row r="950" spans="1:15" ht="14.25">
      <c r="A950" s="10"/>
      <c r="B950" s="10"/>
      <c r="C950" s="27"/>
      <c r="D950" s="27"/>
      <c r="E950" s="19"/>
      <c r="F950" s="18"/>
      <c r="G950" s="18"/>
      <c r="H950" s="8"/>
      <c r="I950" s="8"/>
      <c r="J950" s="17"/>
      <c r="K950" s="175"/>
      <c r="L950" s="141"/>
      <c r="M950" s="141"/>
      <c r="N950" s="141"/>
      <c r="O950" s="141"/>
    </row>
    <row r="951" spans="1:15" ht="105">
      <c r="A951" s="10"/>
      <c r="B951" s="10"/>
      <c r="C951" s="27" t="s">
        <v>463</v>
      </c>
      <c r="D951" s="27" t="s">
        <v>171</v>
      </c>
      <c r="E951" s="19"/>
      <c r="F951" s="18"/>
      <c r="G951" s="18"/>
      <c r="H951" s="8"/>
      <c r="I951" s="8"/>
      <c r="J951" s="17">
        <v>3</v>
      </c>
      <c r="K951" s="175"/>
      <c r="L951" s="141"/>
      <c r="M951" s="141"/>
      <c r="N951" s="141"/>
      <c r="O951" s="141"/>
    </row>
    <row r="952" spans="1:15" ht="14.25">
      <c r="A952" s="10"/>
      <c r="B952" s="10"/>
      <c r="C952" s="27"/>
      <c r="D952" s="27"/>
      <c r="E952" s="19"/>
      <c r="F952" s="18"/>
      <c r="G952" s="18"/>
      <c r="H952" s="8"/>
      <c r="I952" s="8"/>
      <c r="J952" s="17"/>
      <c r="K952" s="175"/>
      <c r="L952" s="141"/>
      <c r="M952" s="141"/>
      <c r="N952" s="141"/>
      <c r="O952" s="141"/>
    </row>
    <row r="953" spans="1:15" ht="120">
      <c r="A953" s="10"/>
      <c r="B953" s="10"/>
      <c r="C953" s="27" t="s">
        <v>464</v>
      </c>
      <c r="D953" s="27" t="s">
        <v>171</v>
      </c>
      <c r="E953" s="19"/>
      <c r="F953" s="18"/>
      <c r="G953" s="18"/>
      <c r="H953" s="8"/>
      <c r="I953" s="8"/>
      <c r="J953" s="17">
        <v>3</v>
      </c>
      <c r="K953" s="175"/>
      <c r="L953" s="141"/>
      <c r="M953" s="141"/>
      <c r="N953" s="141"/>
      <c r="O953" s="141"/>
    </row>
    <row r="954" spans="1:15" ht="14.25">
      <c r="A954" s="10"/>
      <c r="B954" s="10"/>
      <c r="C954" s="27"/>
      <c r="D954" s="27"/>
      <c r="E954" s="19"/>
      <c r="F954" s="18"/>
      <c r="G954" s="18"/>
      <c r="H954" s="8"/>
      <c r="I954" s="8"/>
      <c r="J954" s="17"/>
      <c r="K954" s="175"/>
      <c r="L954" s="141"/>
      <c r="M954" s="141"/>
      <c r="N954" s="141"/>
      <c r="O954" s="141"/>
    </row>
    <row r="955" spans="1:15" ht="135">
      <c r="A955" s="10"/>
      <c r="B955" s="10"/>
      <c r="C955" s="27" t="s">
        <v>465</v>
      </c>
      <c r="D955" s="27" t="s">
        <v>171</v>
      </c>
      <c r="E955" s="19"/>
      <c r="F955" s="18"/>
      <c r="G955" s="18"/>
      <c r="H955" s="8"/>
      <c r="I955" s="8"/>
      <c r="J955" s="17"/>
      <c r="K955" s="175"/>
      <c r="L955" s="141"/>
      <c r="M955" s="141"/>
      <c r="N955" s="141"/>
      <c r="O955" s="141"/>
    </row>
    <row r="956" spans="1:15" ht="14.25">
      <c r="A956" s="10"/>
      <c r="B956" s="10"/>
      <c r="C956" s="27"/>
      <c r="D956" s="27"/>
      <c r="E956" s="19"/>
      <c r="F956" s="18"/>
      <c r="G956" s="18"/>
      <c r="H956" s="8"/>
      <c r="I956" s="8"/>
      <c r="J956" s="17">
        <v>3</v>
      </c>
      <c r="K956" s="175"/>
      <c r="L956" s="141"/>
      <c r="M956" s="141"/>
      <c r="N956" s="141"/>
      <c r="O956" s="141"/>
    </row>
    <row r="957" spans="1:15" ht="120">
      <c r="A957" s="10"/>
      <c r="B957" s="10"/>
      <c r="C957" s="27" t="s">
        <v>466</v>
      </c>
      <c r="D957" s="27" t="s">
        <v>171</v>
      </c>
      <c r="E957" s="19"/>
      <c r="F957" s="18"/>
      <c r="G957" s="18"/>
      <c r="H957" s="8"/>
      <c r="I957" s="8"/>
      <c r="J957" s="17"/>
      <c r="K957" s="175"/>
      <c r="L957" s="141"/>
      <c r="M957" s="141"/>
      <c r="N957" s="141"/>
      <c r="O957" s="141"/>
    </row>
    <row r="958" spans="1:15" ht="14.25">
      <c r="A958" s="10"/>
      <c r="B958" s="10"/>
      <c r="C958" s="27"/>
      <c r="D958" s="27"/>
      <c r="E958" s="19"/>
      <c r="F958" s="18"/>
      <c r="G958" s="18"/>
      <c r="H958" s="8"/>
      <c r="I958" s="8"/>
      <c r="J958" s="17">
        <v>3</v>
      </c>
      <c r="K958" s="175"/>
      <c r="L958" s="141"/>
      <c r="M958" s="141"/>
      <c r="N958" s="141"/>
      <c r="O958" s="141"/>
    </row>
    <row r="959" spans="1:15" ht="165">
      <c r="A959" s="10"/>
      <c r="B959" s="10"/>
      <c r="C959" s="27" t="s">
        <v>467</v>
      </c>
      <c r="D959" s="27" t="s">
        <v>171</v>
      </c>
      <c r="E959" s="19"/>
      <c r="F959" s="18"/>
      <c r="G959" s="18"/>
      <c r="H959" s="8"/>
      <c r="I959" s="8"/>
      <c r="J959" s="17">
        <v>3</v>
      </c>
      <c r="K959" s="175"/>
      <c r="L959" s="141"/>
      <c r="M959" s="141"/>
      <c r="N959" s="141"/>
      <c r="O959" s="141"/>
    </row>
    <row r="960" spans="1:15" ht="14.25">
      <c r="A960" s="10"/>
      <c r="B960" s="10"/>
      <c r="C960" s="27"/>
      <c r="D960" s="27"/>
      <c r="E960" s="19"/>
      <c r="F960" s="18"/>
      <c r="G960" s="18"/>
      <c r="H960" s="8"/>
      <c r="I960" s="8"/>
      <c r="J960" s="17"/>
      <c r="K960" s="175"/>
      <c r="L960" s="141"/>
      <c r="M960" s="141"/>
      <c r="N960" s="141"/>
      <c r="O960" s="141"/>
    </row>
    <row r="961" spans="1:15" ht="120">
      <c r="A961" s="10"/>
      <c r="B961" s="10"/>
      <c r="C961" s="205" t="s">
        <v>833</v>
      </c>
      <c r="D961" s="27" t="s">
        <v>69</v>
      </c>
      <c r="E961" s="19"/>
      <c r="F961" s="18"/>
      <c r="G961" s="18"/>
      <c r="H961" s="8"/>
      <c r="I961" s="8"/>
      <c r="J961" s="17">
        <v>15</v>
      </c>
      <c r="K961" s="175"/>
      <c r="L961" s="141"/>
      <c r="M961" s="141"/>
      <c r="N961" s="141"/>
      <c r="O961" s="141"/>
    </row>
    <row r="962" spans="1:15" ht="14.25">
      <c r="A962" s="10"/>
      <c r="B962" s="10"/>
      <c r="C962" s="27"/>
      <c r="D962" s="27"/>
      <c r="E962" s="19"/>
      <c r="F962" s="18"/>
      <c r="G962" s="18"/>
      <c r="H962" s="8"/>
      <c r="I962" s="8"/>
      <c r="J962" s="17"/>
      <c r="K962" s="175"/>
      <c r="L962" s="141"/>
      <c r="M962" s="141"/>
      <c r="N962" s="141"/>
      <c r="O962" s="141"/>
    </row>
    <row r="963" spans="1:15" ht="60">
      <c r="A963" s="10"/>
      <c r="B963" s="10"/>
      <c r="C963" s="205" t="s">
        <v>468</v>
      </c>
      <c r="D963" s="27" t="s">
        <v>33</v>
      </c>
      <c r="E963" s="19"/>
      <c r="F963" s="18"/>
      <c r="G963" s="18"/>
      <c r="H963" s="8"/>
      <c r="I963" s="8"/>
      <c r="J963" s="17">
        <v>3</v>
      </c>
      <c r="K963" s="175"/>
      <c r="L963" s="141"/>
      <c r="M963" s="141"/>
      <c r="N963" s="141"/>
      <c r="O963" s="141"/>
    </row>
    <row r="964" spans="1:15" ht="14.25">
      <c r="A964" s="10"/>
      <c r="B964" s="10"/>
      <c r="C964" s="27"/>
      <c r="D964" s="27"/>
      <c r="E964" s="19"/>
      <c r="F964" s="18"/>
      <c r="G964" s="18"/>
      <c r="H964" s="8"/>
      <c r="I964" s="8"/>
      <c r="J964" s="17"/>
      <c r="K964" s="175"/>
      <c r="L964" s="141"/>
      <c r="M964" s="141"/>
      <c r="N964" s="141"/>
      <c r="O964" s="141"/>
    </row>
    <row r="965" spans="1:15" ht="69.75" customHeight="1">
      <c r="A965" s="10" t="s">
        <v>62</v>
      </c>
      <c r="B965" s="10" t="s">
        <v>834</v>
      </c>
      <c r="C965" s="27" t="s">
        <v>835</v>
      </c>
      <c r="D965" s="27" t="s">
        <v>836</v>
      </c>
      <c r="E965" s="8">
        <v>1</v>
      </c>
      <c r="F965" s="8">
        <v>276</v>
      </c>
      <c r="G965" s="8">
        <v>0.75</v>
      </c>
      <c r="H965" s="8"/>
      <c r="I965" s="8"/>
      <c r="J965" s="14">
        <f>G965*F965*E965</f>
        <v>207</v>
      </c>
      <c r="K965" s="175"/>
      <c r="L965" s="141"/>
      <c r="M965" s="141"/>
      <c r="N965" s="141"/>
      <c r="O965" s="141"/>
    </row>
    <row r="966" spans="1:15" ht="14.25">
      <c r="A966" s="10"/>
      <c r="B966" s="16"/>
      <c r="C966" s="27"/>
      <c r="D966" s="27"/>
      <c r="E966" s="8"/>
      <c r="F966" s="8"/>
      <c r="G966" s="8"/>
      <c r="H966" s="8"/>
      <c r="I966" s="8"/>
      <c r="J966" s="14"/>
      <c r="K966" s="175"/>
      <c r="L966" s="141"/>
      <c r="M966" s="141"/>
      <c r="N966" s="141"/>
      <c r="O966" s="141"/>
    </row>
    <row r="967" spans="1:15" ht="114.75">
      <c r="A967" s="10"/>
      <c r="B967" s="8" t="s">
        <v>837</v>
      </c>
      <c r="C967" s="27" t="s">
        <v>838</v>
      </c>
      <c r="D967" s="8" t="s">
        <v>469</v>
      </c>
      <c r="E967" s="8">
        <v>1</v>
      </c>
      <c r="F967" s="8">
        <v>100</v>
      </c>
      <c r="G967" s="8">
        <v>50</v>
      </c>
      <c r="H967" s="8"/>
      <c r="I967" s="8"/>
      <c r="J967" s="14">
        <f>E967*F967*G967</f>
        <v>5000</v>
      </c>
      <c r="K967" s="175"/>
      <c r="L967" s="141"/>
      <c r="M967" s="141"/>
      <c r="N967" s="141"/>
      <c r="O967" s="141"/>
    </row>
    <row r="968" spans="1:15" ht="14.25">
      <c r="A968" s="10"/>
      <c r="B968" s="16"/>
      <c r="C968" s="27"/>
      <c r="D968" s="27"/>
      <c r="E968" s="8"/>
      <c r="F968" s="8"/>
      <c r="G968" s="8"/>
      <c r="H968" s="8"/>
      <c r="I968" s="8"/>
      <c r="J968" s="14"/>
      <c r="K968" s="175"/>
      <c r="L968" s="141"/>
      <c r="M968" s="141"/>
      <c r="N968" s="141"/>
      <c r="O968" s="141"/>
    </row>
    <row r="969" spans="1:15" ht="14.25">
      <c r="A969" s="10"/>
      <c r="B969" s="16"/>
      <c r="C969" s="27"/>
      <c r="D969" s="27"/>
      <c r="E969" s="8"/>
      <c r="F969" s="8"/>
      <c r="G969" s="8"/>
      <c r="H969" s="8"/>
      <c r="I969" s="8"/>
      <c r="J969" s="14"/>
      <c r="K969" s="175"/>
      <c r="L969" s="141"/>
      <c r="M969" s="141"/>
      <c r="N969" s="141"/>
      <c r="O969" s="141"/>
    </row>
    <row r="970" spans="1:15" ht="14.25">
      <c r="A970" s="10"/>
      <c r="B970" s="16"/>
      <c r="C970" s="27"/>
      <c r="D970" s="27"/>
      <c r="E970" s="8"/>
      <c r="F970" s="8"/>
      <c r="G970" s="8"/>
      <c r="H970" s="8"/>
      <c r="I970" s="8"/>
      <c r="J970" s="14"/>
      <c r="K970" s="175"/>
      <c r="L970" s="141"/>
      <c r="M970" s="141"/>
      <c r="N970" s="141"/>
      <c r="O970" s="141"/>
    </row>
    <row r="971" spans="1:15" ht="14.25">
      <c r="A971" s="10"/>
      <c r="B971" s="16"/>
      <c r="C971" s="27"/>
      <c r="D971" s="27"/>
      <c r="E971" s="8"/>
      <c r="F971" s="8"/>
      <c r="G971" s="8"/>
      <c r="H971" s="8"/>
      <c r="I971" s="8"/>
      <c r="J971" s="14"/>
      <c r="K971" s="175"/>
      <c r="L971" s="141"/>
      <c r="M971" s="141"/>
      <c r="N971" s="141"/>
      <c r="O971" s="141"/>
    </row>
    <row r="972" spans="1:15" ht="14.25">
      <c r="A972" s="10"/>
      <c r="B972" s="16"/>
      <c r="C972" s="27"/>
      <c r="D972" s="27"/>
      <c r="E972" s="8"/>
      <c r="F972" s="8"/>
      <c r="G972" s="8"/>
      <c r="H972" s="8"/>
      <c r="I972" s="8"/>
      <c r="J972" s="14"/>
      <c r="K972" s="175"/>
      <c r="L972" s="141"/>
      <c r="M972" s="141"/>
      <c r="N972" s="141"/>
      <c r="O972" s="141"/>
    </row>
    <row r="973" spans="1:15" ht="14.25">
      <c r="A973" s="10"/>
      <c r="B973" s="16"/>
      <c r="C973" s="27"/>
      <c r="D973" s="27"/>
      <c r="E973" s="8"/>
      <c r="F973" s="8"/>
      <c r="G973" s="8"/>
      <c r="H973" s="8"/>
      <c r="I973" s="8"/>
      <c r="J973" s="14"/>
      <c r="K973" s="175"/>
      <c r="L973" s="141"/>
      <c r="M973" s="141"/>
      <c r="N973" s="141"/>
      <c r="O973" s="141"/>
    </row>
    <row r="974" spans="1:15" ht="14.25">
      <c r="A974" s="10"/>
      <c r="B974" s="16"/>
      <c r="C974" s="27"/>
      <c r="D974" s="27"/>
      <c r="E974" s="8"/>
      <c r="F974" s="8"/>
      <c r="G974" s="8"/>
      <c r="H974" s="8"/>
      <c r="I974" s="8"/>
      <c r="J974" s="14"/>
      <c r="K974" s="175"/>
      <c r="L974" s="141"/>
      <c r="M974" s="141"/>
      <c r="N974" s="141"/>
      <c r="O974" s="141"/>
    </row>
    <row r="975" spans="1:15" ht="14.25">
      <c r="A975" s="10"/>
      <c r="B975" s="16"/>
      <c r="C975" s="27"/>
      <c r="D975" s="27"/>
      <c r="E975" s="8"/>
      <c r="F975" s="8"/>
      <c r="G975" s="8"/>
      <c r="H975" s="8"/>
      <c r="I975" s="8"/>
      <c r="J975" s="14"/>
      <c r="K975" s="175"/>
      <c r="L975" s="141"/>
      <c r="M975" s="141"/>
      <c r="N975" s="141"/>
      <c r="O975" s="141"/>
    </row>
    <row r="976" spans="1:15" ht="14.25">
      <c r="A976" s="10"/>
      <c r="B976" s="16"/>
      <c r="C976" s="27"/>
      <c r="D976" s="27"/>
      <c r="E976" s="8"/>
      <c r="F976" s="8"/>
      <c r="G976" s="8"/>
      <c r="H976" s="8"/>
      <c r="I976" s="8"/>
      <c r="J976" s="14"/>
      <c r="K976" s="175"/>
      <c r="L976" s="141"/>
      <c r="M976" s="141"/>
      <c r="N976" s="141"/>
      <c r="O976" s="141"/>
    </row>
    <row r="977" spans="1:15" ht="14.25">
      <c r="A977" s="10"/>
      <c r="B977" s="16"/>
      <c r="C977" s="27"/>
      <c r="D977" s="27"/>
      <c r="E977" s="8"/>
      <c r="F977" s="8"/>
      <c r="G977" s="8"/>
      <c r="H977" s="8"/>
      <c r="I977" s="8"/>
      <c r="J977" s="14"/>
      <c r="K977" s="175"/>
      <c r="L977" s="141"/>
      <c r="M977" s="141"/>
      <c r="N977" s="141"/>
      <c r="O977" s="141"/>
    </row>
    <row r="978" spans="1:15" ht="14.25">
      <c r="A978" s="10"/>
      <c r="B978" s="16"/>
      <c r="C978" s="27"/>
      <c r="D978" s="27"/>
      <c r="E978" s="8"/>
      <c r="F978" s="8"/>
      <c r="G978" s="8"/>
      <c r="H978" s="8"/>
      <c r="I978" s="8"/>
      <c r="J978" s="14"/>
      <c r="K978" s="175"/>
      <c r="L978" s="141"/>
      <c r="M978" s="141"/>
      <c r="N978" s="141"/>
      <c r="O978" s="141"/>
    </row>
    <row r="979" spans="1:15" ht="14.25">
      <c r="A979" s="10"/>
      <c r="B979" s="16"/>
      <c r="C979" s="27"/>
      <c r="D979" s="27"/>
      <c r="E979" s="8"/>
      <c r="F979" s="8"/>
      <c r="G979" s="8"/>
      <c r="H979" s="8"/>
      <c r="I979" s="8"/>
      <c r="J979" s="14"/>
      <c r="K979" s="175"/>
      <c r="L979" s="141"/>
      <c r="M979" s="141"/>
      <c r="N979" s="141"/>
      <c r="O979" s="141"/>
    </row>
    <row r="980" spans="1:15" ht="14.25">
      <c r="A980" s="10"/>
      <c r="B980" s="16"/>
      <c r="C980" s="27"/>
      <c r="D980" s="27"/>
      <c r="E980" s="8"/>
      <c r="F980" s="8"/>
      <c r="G980" s="8"/>
      <c r="H980" s="8"/>
      <c r="I980" s="8"/>
      <c r="J980" s="14"/>
      <c r="K980" s="175"/>
      <c r="L980" s="141"/>
      <c r="M980" s="141"/>
      <c r="N980" s="141"/>
      <c r="O980" s="141"/>
    </row>
    <row r="981" spans="1:15" ht="14.25">
      <c r="A981" s="10"/>
      <c r="B981" s="16"/>
      <c r="C981" s="27"/>
      <c r="D981" s="27"/>
      <c r="E981" s="8"/>
      <c r="F981" s="8"/>
      <c r="G981" s="8"/>
      <c r="H981" s="8"/>
      <c r="I981" s="8"/>
      <c r="J981" s="14"/>
      <c r="K981" s="175"/>
      <c r="L981" s="141"/>
      <c r="M981" s="141"/>
      <c r="N981" s="141"/>
      <c r="O981" s="141"/>
    </row>
    <row r="982" spans="1:15" ht="14.25">
      <c r="A982" s="10"/>
      <c r="B982" s="16"/>
      <c r="C982" s="27"/>
      <c r="D982" s="27"/>
      <c r="E982" s="8"/>
      <c r="F982" s="8"/>
      <c r="G982" s="8"/>
      <c r="H982" s="8"/>
      <c r="I982" s="8"/>
      <c r="J982" s="14"/>
      <c r="K982" s="175"/>
      <c r="L982" s="141"/>
      <c r="M982" s="141"/>
      <c r="N982" s="141"/>
      <c r="O982" s="141"/>
    </row>
    <row r="983" spans="1:15" ht="14.25">
      <c r="A983" s="10"/>
      <c r="B983" s="16"/>
      <c r="C983" s="27"/>
      <c r="D983" s="27"/>
      <c r="E983" s="8"/>
      <c r="F983" s="8"/>
      <c r="G983" s="8"/>
      <c r="H983" s="8"/>
      <c r="I983" s="8"/>
      <c r="J983" s="14"/>
      <c r="K983" s="175"/>
      <c r="L983" s="141"/>
      <c r="M983" s="141"/>
      <c r="N983" s="141"/>
      <c r="O983" s="141"/>
    </row>
    <row r="984" spans="1:15" ht="14.25">
      <c r="A984" s="10"/>
      <c r="B984" s="16"/>
      <c r="C984" s="27"/>
      <c r="D984" s="27"/>
      <c r="E984" s="8"/>
      <c r="F984" s="8"/>
      <c r="G984" s="8"/>
      <c r="H984" s="8"/>
      <c r="I984" s="8"/>
      <c r="J984" s="14"/>
      <c r="K984" s="175"/>
      <c r="L984" s="141"/>
      <c r="M984" s="141"/>
      <c r="N984" s="141"/>
      <c r="O984" s="141"/>
    </row>
    <row r="985" spans="1:15" ht="14.25">
      <c r="A985" s="10"/>
      <c r="B985" s="16"/>
      <c r="C985" s="27"/>
      <c r="D985" s="27"/>
      <c r="E985" s="8"/>
      <c r="F985" s="8"/>
      <c r="G985" s="8"/>
      <c r="H985" s="8"/>
      <c r="I985" s="8"/>
      <c r="J985" s="14"/>
      <c r="K985" s="175"/>
      <c r="L985" s="141"/>
      <c r="M985" s="141"/>
      <c r="N985" s="141"/>
      <c r="O985" s="141"/>
    </row>
    <row r="986" spans="1:15" ht="14.25">
      <c r="A986" s="10"/>
      <c r="B986" s="16"/>
      <c r="C986" s="27"/>
      <c r="D986" s="27"/>
      <c r="E986" s="8"/>
      <c r="F986" s="8"/>
      <c r="G986" s="8"/>
      <c r="H986" s="8"/>
      <c r="I986" s="8"/>
      <c r="J986" s="14"/>
      <c r="K986" s="175"/>
      <c r="L986" s="141"/>
      <c r="M986" s="141"/>
      <c r="N986" s="141"/>
      <c r="O986" s="141"/>
    </row>
    <row r="987" spans="1:15" ht="14.25">
      <c r="A987" s="10"/>
      <c r="B987" s="16"/>
      <c r="C987" s="27"/>
      <c r="D987" s="27"/>
      <c r="E987" s="8"/>
      <c r="F987" s="8"/>
      <c r="G987" s="8"/>
      <c r="H987" s="8"/>
      <c r="I987" s="8"/>
      <c r="J987" s="14"/>
      <c r="K987" s="175"/>
      <c r="L987" s="141"/>
      <c r="M987" s="141"/>
      <c r="N987" s="141"/>
      <c r="O987" s="141"/>
    </row>
    <row r="988" spans="1:15" ht="14.25">
      <c r="A988" s="10"/>
      <c r="B988" s="16"/>
      <c r="C988" s="27"/>
      <c r="D988" s="27"/>
      <c r="E988" s="8"/>
      <c r="F988" s="8"/>
      <c r="G988" s="8"/>
      <c r="H988" s="8"/>
      <c r="I988" s="8"/>
      <c r="J988" s="14"/>
      <c r="K988" s="175"/>
      <c r="L988" s="141"/>
      <c r="M988" s="141"/>
      <c r="N988" s="141"/>
      <c r="O988" s="141"/>
    </row>
    <row r="989" spans="1:15" ht="14.25">
      <c r="A989" s="10"/>
      <c r="B989" s="16"/>
      <c r="C989" s="27"/>
      <c r="D989" s="27"/>
      <c r="E989" s="8"/>
      <c r="F989" s="8"/>
      <c r="G989" s="8"/>
      <c r="H989" s="8"/>
      <c r="I989" s="8"/>
      <c r="J989" s="14"/>
      <c r="K989" s="175"/>
      <c r="L989" s="141"/>
      <c r="M989" s="141"/>
      <c r="N989" s="141"/>
      <c r="O989" s="141"/>
    </row>
    <row r="990" spans="1:15" ht="14.25">
      <c r="A990" s="10"/>
      <c r="B990" s="16"/>
      <c r="C990" s="27"/>
      <c r="D990" s="27"/>
      <c r="E990" s="8"/>
      <c r="F990" s="8"/>
      <c r="G990" s="8"/>
      <c r="H990" s="8"/>
      <c r="I990" s="8"/>
      <c r="J990" s="14"/>
      <c r="K990" s="175"/>
      <c r="L990" s="141"/>
      <c r="M990" s="141"/>
      <c r="N990" s="141"/>
      <c r="O990" s="141"/>
    </row>
    <row r="991" spans="1:15" ht="14.25">
      <c r="A991" s="10"/>
      <c r="B991" s="16"/>
      <c r="C991" s="27"/>
      <c r="D991" s="27"/>
      <c r="E991" s="8"/>
      <c r="F991" s="8"/>
      <c r="G991" s="8"/>
      <c r="H991" s="8"/>
      <c r="I991" s="8"/>
      <c r="J991" s="14"/>
      <c r="K991" s="175"/>
      <c r="L991" s="141"/>
      <c r="M991" s="141"/>
      <c r="N991" s="141"/>
      <c r="O991" s="141"/>
    </row>
    <row r="992" spans="1:15" ht="14.25">
      <c r="A992" s="10"/>
      <c r="B992" s="16"/>
      <c r="C992" s="27"/>
      <c r="D992" s="27"/>
      <c r="E992" s="8"/>
      <c r="F992" s="8"/>
      <c r="G992" s="8"/>
      <c r="H992" s="8"/>
      <c r="I992" s="8"/>
      <c r="J992" s="14"/>
      <c r="K992" s="175"/>
      <c r="L992" s="141"/>
      <c r="M992" s="141"/>
      <c r="N992" s="141"/>
      <c r="O992" s="141"/>
    </row>
    <row r="993" spans="1:15" ht="14.25">
      <c r="A993" s="10"/>
      <c r="B993" s="16"/>
      <c r="C993" s="27"/>
      <c r="D993" s="27"/>
      <c r="E993" s="8"/>
      <c r="F993" s="8"/>
      <c r="G993" s="8"/>
      <c r="H993" s="8"/>
      <c r="I993" s="8"/>
      <c r="J993" s="14"/>
      <c r="K993" s="175"/>
      <c r="L993" s="141"/>
      <c r="M993" s="141"/>
      <c r="N993" s="141"/>
      <c r="O993" s="141"/>
    </row>
    <row r="994" spans="1:15" ht="14.25">
      <c r="A994" s="10"/>
      <c r="B994" s="16"/>
      <c r="C994" s="27"/>
      <c r="D994" s="27"/>
      <c r="E994" s="8"/>
      <c r="F994" s="8"/>
      <c r="G994" s="8"/>
      <c r="H994" s="8"/>
      <c r="I994" s="8"/>
      <c r="J994" s="14"/>
      <c r="K994" s="175"/>
      <c r="L994" s="141"/>
      <c r="M994" s="141"/>
      <c r="N994" s="141"/>
      <c r="O994" s="141"/>
    </row>
    <row r="995" spans="1:15" ht="14.25">
      <c r="A995" s="10"/>
      <c r="B995" s="16"/>
      <c r="C995" s="27"/>
      <c r="D995" s="27"/>
      <c r="E995" s="8"/>
      <c r="F995" s="8"/>
      <c r="G995" s="8"/>
      <c r="H995" s="8"/>
      <c r="I995" s="8"/>
      <c r="J995" s="14"/>
      <c r="K995" s="175"/>
      <c r="L995" s="141"/>
      <c r="M995" s="141"/>
      <c r="N995" s="141"/>
      <c r="O995" s="141"/>
    </row>
    <row r="996" spans="1:15" ht="14.25">
      <c r="A996" s="10"/>
      <c r="B996" s="16"/>
      <c r="C996" s="27"/>
      <c r="D996" s="27"/>
      <c r="E996" s="8"/>
      <c r="F996" s="8"/>
      <c r="G996" s="8"/>
      <c r="H996" s="8"/>
      <c r="I996" s="8"/>
      <c r="J996" s="14"/>
      <c r="K996" s="175"/>
      <c r="L996" s="141"/>
      <c r="M996" s="141"/>
      <c r="N996" s="141"/>
      <c r="O996" s="141"/>
    </row>
    <row r="997" spans="1:15" ht="14.25">
      <c r="A997" s="10"/>
      <c r="B997" s="16"/>
      <c r="C997" s="27"/>
      <c r="D997" s="27"/>
      <c r="E997" s="8"/>
      <c r="F997" s="8"/>
      <c r="G997" s="8"/>
      <c r="H997" s="8"/>
      <c r="I997" s="8"/>
      <c r="J997" s="14"/>
      <c r="K997" s="175"/>
      <c r="L997" s="141"/>
      <c r="M997" s="141"/>
      <c r="N997" s="141"/>
      <c r="O997" s="141"/>
    </row>
    <row r="998" spans="1:15" ht="14.25">
      <c r="A998" s="10"/>
      <c r="B998" s="16"/>
      <c r="C998" s="27"/>
      <c r="D998" s="27"/>
      <c r="E998" s="8"/>
      <c r="F998" s="8"/>
      <c r="G998" s="8"/>
      <c r="H998" s="8"/>
      <c r="I998" s="8"/>
      <c r="J998" s="14"/>
      <c r="K998" s="175"/>
      <c r="L998" s="141"/>
      <c r="M998" s="141"/>
      <c r="N998" s="141"/>
      <c r="O998" s="141"/>
    </row>
    <row r="999" spans="1:15" ht="14.25">
      <c r="A999" s="10"/>
      <c r="B999" s="16"/>
      <c r="C999" s="27"/>
      <c r="D999" s="27"/>
      <c r="E999" s="8"/>
      <c r="F999" s="8"/>
      <c r="G999" s="8"/>
      <c r="H999" s="8"/>
      <c r="I999" s="8"/>
      <c r="J999" s="14"/>
      <c r="K999" s="175"/>
      <c r="L999" s="141"/>
      <c r="M999" s="141"/>
      <c r="N999" s="141"/>
      <c r="O999" s="141"/>
    </row>
    <row r="1000" spans="1:15" ht="14.25">
      <c r="A1000" s="10"/>
      <c r="B1000" s="16"/>
      <c r="C1000" s="27"/>
      <c r="D1000" s="27"/>
      <c r="E1000" s="8"/>
      <c r="F1000" s="8"/>
      <c r="G1000" s="8"/>
      <c r="H1000" s="8"/>
      <c r="I1000" s="8"/>
      <c r="J1000" s="14"/>
      <c r="K1000" s="175"/>
      <c r="L1000" s="141"/>
      <c r="M1000" s="141"/>
      <c r="N1000" s="141"/>
      <c r="O1000" s="141"/>
    </row>
    <row r="1001" spans="1:15" ht="14.25">
      <c r="A1001" s="10"/>
      <c r="B1001" s="16"/>
      <c r="C1001" s="27"/>
      <c r="D1001" s="27"/>
      <c r="E1001" s="8"/>
      <c r="F1001" s="8"/>
      <c r="G1001" s="8"/>
      <c r="H1001" s="8"/>
      <c r="I1001" s="8"/>
      <c r="J1001" s="14"/>
      <c r="K1001" s="175"/>
      <c r="L1001" s="141"/>
      <c r="M1001" s="141"/>
      <c r="N1001" s="141"/>
      <c r="O1001" s="141"/>
    </row>
    <row r="1002" spans="1:15" ht="14.25">
      <c r="A1002" s="10"/>
      <c r="B1002" s="16"/>
      <c r="C1002" s="27"/>
      <c r="D1002" s="27"/>
      <c r="E1002" s="8"/>
      <c r="F1002" s="8"/>
      <c r="G1002" s="8"/>
      <c r="H1002" s="8"/>
      <c r="I1002" s="8"/>
      <c r="J1002" s="14"/>
      <c r="K1002" s="175"/>
      <c r="L1002" s="141"/>
      <c r="M1002" s="141"/>
      <c r="N1002" s="141"/>
      <c r="O1002" s="141"/>
    </row>
    <row r="1003" spans="1:15" ht="14.25">
      <c r="A1003" s="10"/>
      <c r="B1003" s="16"/>
      <c r="C1003" s="27"/>
      <c r="D1003" s="27"/>
      <c r="E1003" s="8"/>
      <c r="F1003" s="8"/>
      <c r="G1003" s="8"/>
      <c r="H1003" s="8"/>
      <c r="I1003" s="8"/>
      <c r="J1003" s="14"/>
      <c r="K1003" s="175"/>
      <c r="L1003" s="141"/>
      <c r="M1003" s="141"/>
      <c r="N1003" s="141"/>
      <c r="O1003" s="141"/>
    </row>
    <row r="1004" spans="1:15" ht="14.25">
      <c r="A1004" s="10"/>
      <c r="B1004" s="16"/>
      <c r="C1004" s="27"/>
      <c r="D1004" s="27"/>
      <c r="E1004" s="8"/>
      <c r="F1004" s="8"/>
      <c r="G1004" s="8"/>
      <c r="H1004" s="8"/>
      <c r="I1004" s="8"/>
      <c r="J1004" s="14"/>
      <c r="K1004" s="175"/>
      <c r="L1004" s="141"/>
      <c r="M1004" s="141"/>
      <c r="N1004" s="141"/>
      <c r="O1004" s="141"/>
    </row>
    <row r="1005" spans="1:15" ht="14.25">
      <c r="A1005" s="10"/>
      <c r="B1005" s="16"/>
      <c r="C1005" s="27"/>
      <c r="D1005" s="27"/>
      <c r="E1005" s="8"/>
      <c r="F1005" s="8"/>
      <c r="G1005" s="8"/>
      <c r="H1005" s="8"/>
      <c r="I1005" s="8"/>
      <c r="J1005" s="14"/>
      <c r="K1005" s="175"/>
      <c r="L1005" s="141"/>
      <c r="M1005" s="141"/>
      <c r="N1005" s="141"/>
      <c r="O1005" s="141"/>
    </row>
    <row r="1006" spans="1:15" ht="14.25">
      <c r="A1006" s="10"/>
      <c r="B1006" s="16"/>
      <c r="C1006" s="27"/>
      <c r="D1006" s="27"/>
      <c r="E1006" s="8"/>
      <c r="F1006" s="8"/>
      <c r="G1006" s="8"/>
      <c r="H1006" s="8"/>
      <c r="I1006" s="8"/>
      <c r="J1006" s="14"/>
      <c r="K1006" s="175"/>
      <c r="L1006" s="141"/>
      <c r="M1006" s="141"/>
      <c r="N1006" s="141"/>
      <c r="O1006" s="141"/>
    </row>
    <row r="1007" spans="1:15" ht="14.25">
      <c r="A1007" s="10"/>
      <c r="B1007" s="16"/>
      <c r="C1007" s="27"/>
      <c r="D1007" s="27"/>
      <c r="E1007" s="8"/>
      <c r="F1007" s="8"/>
      <c r="G1007" s="8"/>
      <c r="H1007" s="8"/>
      <c r="I1007" s="8"/>
      <c r="J1007" s="14"/>
      <c r="K1007" s="175"/>
      <c r="L1007" s="141"/>
      <c r="M1007" s="141"/>
      <c r="N1007" s="141"/>
      <c r="O1007" s="141"/>
    </row>
    <row r="1008" spans="1:15" ht="14.25">
      <c r="A1008" s="10"/>
      <c r="B1008" s="16"/>
      <c r="C1008" s="27"/>
      <c r="D1008" s="27"/>
      <c r="E1008" s="8"/>
      <c r="F1008" s="8"/>
      <c r="G1008" s="8"/>
      <c r="H1008" s="8"/>
      <c r="I1008" s="8"/>
      <c r="J1008" s="14"/>
      <c r="K1008" s="175"/>
      <c r="L1008" s="141"/>
      <c r="M1008" s="141"/>
      <c r="N1008" s="141"/>
      <c r="O1008" s="141"/>
    </row>
    <row r="1009" spans="1:15" ht="14.25">
      <c r="A1009" s="10"/>
      <c r="B1009" s="16"/>
      <c r="C1009" s="27"/>
      <c r="D1009" s="27"/>
      <c r="E1009" s="8"/>
      <c r="F1009" s="8"/>
      <c r="G1009" s="8"/>
      <c r="H1009" s="8"/>
      <c r="I1009" s="8"/>
      <c r="J1009" s="14"/>
      <c r="K1009" s="175"/>
      <c r="L1009" s="141"/>
      <c r="M1009" s="141"/>
      <c r="N1009" s="141"/>
      <c r="O1009" s="141"/>
    </row>
    <row r="1010" spans="1:15" ht="14.25">
      <c r="A1010" s="10"/>
      <c r="B1010" s="16"/>
      <c r="C1010" s="27"/>
      <c r="D1010" s="27"/>
      <c r="E1010" s="8"/>
      <c r="F1010" s="8"/>
      <c r="G1010" s="8"/>
      <c r="H1010" s="8"/>
      <c r="I1010" s="8"/>
      <c r="J1010" s="14"/>
      <c r="K1010" s="175"/>
      <c r="L1010" s="141"/>
      <c r="M1010" s="141"/>
      <c r="N1010" s="141"/>
      <c r="O1010" s="141"/>
    </row>
    <row r="1011" spans="1:15" ht="14.25">
      <c r="A1011" s="10"/>
      <c r="B1011" s="16"/>
      <c r="C1011" s="27"/>
      <c r="D1011" s="27"/>
      <c r="E1011" s="8"/>
      <c r="F1011" s="8"/>
      <c r="G1011" s="8"/>
      <c r="H1011" s="8"/>
      <c r="I1011" s="8"/>
      <c r="J1011" s="14"/>
      <c r="K1011" s="175"/>
      <c r="L1011" s="141"/>
      <c r="M1011" s="141"/>
      <c r="N1011" s="141"/>
      <c r="O1011" s="141"/>
    </row>
    <row r="1012" spans="1:15" ht="14.25">
      <c r="A1012" s="10"/>
      <c r="B1012" s="16"/>
      <c r="C1012" s="27"/>
      <c r="D1012" s="27"/>
      <c r="E1012" s="8"/>
      <c r="F1012" s="8"/>
      <c r="G1012" s="8"/>
      <c r="H1012" s="8"/>
      <c r="I1012" s="8"/>
      <c r="J1012" s="14"/>
      <c r="K1012" s="175"/>
      <c r="L1012" s="141"/>
      <c r="M1012" s="141"/>
      <c r="N1012" s="141"/>
      <c r="O1012" s="141"/>
    </row>
    <row r="1013" spans="1:15" ht="14.25">
      <c r="A1013" s="10"/>
      <c r="B1013" s="16"/>
      <c r="C1013" s="15"/>
      <c r="D1013" s="8"/>
      <c r="E1013" s="8"/>
      <c r="F1013" s="8"/>
      <c r="G1013" s="8"/>
      <c r="H1013" s="8"/>
      <c r="I1013" s="8"/>
      <c r="J1013" s="14"/>
      <c r="K1013" s="175"/>
      <c r="L1013" s="141"/>
      <c r="M1013" s="141"/>
      <c r="N1013" s="141"/>
      <c r="O1013" s="141"/>
    </row>
    <row r="1014" spans="1:15" ht="14.25">
      <c r="A1014" s="10"/>
      <c r="B1014" s="16"/>
      <c r="C1014" s="15"/>
      <c r="D1014" s="8"/>
      <c r="E1014" s="8"/>
      <c r="F1014" s="8"/>
      <c r="G1014" s="8"/>
      <c r="H1014" s="8"/>
      <c r="I1014" s="8"/>
      <c r="J1014" s="14"/>
      <c r="K1014" s="175"/>
      <c r="L1014" s="141"/>
      <c r="M1014" s="141"/>
      <c r="N1014" s="141"/>
      <c r="O1014" s="141"/>
    </row>
    <row r="1015" spans="1:15" ht="14.25">
      <c r="A1015" s="10"/>
      <c r="B1015" s="16"/>
      <c r="C1015" s="15"/>
      <c r="D1015" s="8"/>
      <c r="E1015" s="8"/>
      <c r="F1015" s="8"/>
      <c r="G1015" s="8"/>
      <c r="H1015" s="8"/>
      <c r="I1015" s="8"/>
      <c r="J1015" s="14"/>
      <c r="K1015" s="175"/>
      <c r="L1015" s="141"/>
      <c r="M1015" s="141"/>
      <c r="N1015" s="141"/>
      <c r="O1015" s="141"/>
    </row>
    <row r="1016" spans="1:15" ht="14.25">
      <c r="A1016" s="10"/>
      <c r="B1016" s="16"/>
      <c r="C1016" s="15"/>
      <c r="D1016" s="8"/>
      <c r="E1016" s="8"/>
      <c r="F1016" s="8"/>
      <c r="G1016" s="8"/>
      <c r="H1016" s="8"/>
      <c r="I1016" s="8"/>
      <c r="J1016" s="14"/>
      <c r="K1016" s="175"/>
      <c r="L1016" s="141"/>
      <c r="M1016" s="141"/>
      <c r="N1016" s="141"/>
      <c r="O1016" s="141"/>
    </row>
    <row r="1017" spans="1:15" ht="14.25">
      <c r="A1017" s="10"/>
      <c r="B1017" s="16"/>
      <c r="C1017" s="15"/>
      <c r="D1017" s="8"/>
      <c r="E1017" s="8"/>
      <c r="F1017" s="8"/>
      <c r="G1017" s="8"/>
      <c r="H1017" s="8"/>
      <c r="I1017" s="8"/>
      <c r="J1017" s="14"/>
      <c r="K1017" s="175"/>
      <c r="L1017" s="141"/>
      <c r="M1017" s="141"/>
      <c r="N1017" s="141"/>
      <c r="O1017" s="141"/>
    </row>
    <row r="1018" spans="1:15" ht="14.25">
      <c r="A1018" s="10"/>
      <c r="B1018" s="16"/>
      <c r="C1018" s="15"/>
      <c r="D1018" s="8"/>
      <c r="E1018" s="8"/>
      <c r="F1018" s="8"/>
      <c r="G1018" s="8"/>
      <c r="H1018" s="8"/>
      <c r="I1018" s="8"/>
      <c r="J1018" s="14"/>
      <c r="K1018" s="175"/>
      <c r="L1018" s="141"/>
      <c r="M1018" s="141"/>
      <c r="N1018" s="141"/>
      <c r="O1018" s="141"/>
    </row>
    <row r="1019" spans="1:15" ht="14.25">
      <c r="A1019" s="10"/>
      <c r="B1019" s="16"/>
      <c r="C1019" s="15"/>
      <c r="D1019" s="8"/>
      <c r="E1019" s="8"/>
      <c r="F1019" s="8"/>
      <c r="G1019" s="8"/>
      <c r="H1019" s="8"/>
      <c r="I1019" s="8"/>
      <c r="J1019" s="14"/>
      <c r="K1019" s="175"/>
      <c r="L1019" s="141"/>
      <c r="M1019" s="141"/>
      <c r="N1019" s="141"/>
      <c r="O1019" s="141"/>
    </row>
    <row r="1020" spans="1:15" ht="14.25">
      <c r="A1020" s="10"/>
      <c r="B1020" s="10"/>
      <c r="C1020" s="13"/>
      <c r="D1020" s="8"/>
      <c r="E1020" s="8"/>
      <c r="F1020" s="8"/>
      <c r="G1020" s="8"/>
      <c r="H1020" s="8"/>
      <c r="I1020" s="8"/>
      <c r="J1020" s="12"/>
      <c r="K1020" s="141"/>
      <c r="L1020" s="177"/>
      <c r="M1020" s="141"/>
      <c r="N1020" s="141"/>
      <c r="O1020" s="141"/>
    </row>
    <row r="1021" spans="1:15" ht="14.25">
      <c r="A1021" s="11"/>
      <c r="B1021" s="10"/>
      <c r="C1021" s="9"/>
      <c r="D1021" s="8"/>
      <c r="E1021" s="8"/>
      <c r="F1021" s="8"/>
      <c r="G1021" s="8"/>
      <c r="H1021" s="8"/>
      <c r="I1021" s="8"/>
      <c r="J1021" s="8"/>
      <c r="K1021" s="141"/>
      <c r="L1021" s="141"/>
      <c r="M1021" s="141"/>
      <c r="N1021" s="141"/>
      <c r="O1021" s="141"/>
    </row>
  </sheetData>
  <mergeCells count="31">
    <mergeCell ref="H508:I508"/>
    <mergeCell ref="F700:I700"/>
    <mergeCell ref="F708:I708"/>
    <mergeCell ref="F712:I712"/>
    <mergeCell ref="H510:I510"/>
    <mergeCell ref="H511:I511"/>
    <mergeCell ref="H542:I542"/>
    <mergeCell ref="H543:I543"/>
    <mergeCell ref="H544:I544"/>
    <mergeCell ref="H545:I545"/>
    <mergeCell ref="H414:I414"/>
    <mergeCell ref="H419:I419"/>
    <mergeCell ref="H420:I420"/>
    <mergeCell ref="G423:H423"/>
    <mergeCell ref="G424:H424"/>
    <mergeCell ref="D533:D534"/>
    <mergeCell ref="C888:I888"/>
    <mergeCell ref="A1:J1"/>
    <mergeCell ref="A2:J2"/>
    <mergeCell ref="A3:J3"/>
    <mergeCell ref="G9:H9"/>
    <mergeCell ref="G10:H10"/>
    <mergeCell ref="H299:I299"/>
    <mergeCell ref="H317:I317"/>
    <mergeCell ref="H324:I324"/>
    <mergeCell ref="H509:I509"/>
    <mergeCell ref="H330:I330"/>
    <mergeCell ref="H331:I331"/>
    <mergeCell ref="H332:I332"/>
    <mergeCell ref="H390:I390"/>
    <mergeCell ref="H410:I4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14"/>
  <sheetViews>
    <sheetView workbookViewId="0">
      <selection activeCell="C382" sqref="C382:C453"/>
    </sheetView>
  </sheetViews>
  <sheetFormatPr defaultRowHeight="12.75"/>
  <cols>
    <col min="1" max="1" width="9.140625" style="7"/>
    <col min="2" max="2" width="10" style="7" customWidth="1"/>
    <col min="3" max="3" width="47.7109375" style="7" customWidth="1"/>
    <col min="4" max="5" width="9.140625" style="7"/>
    <col min="6" max="6" width="8.140625" style="7" customWidth="1"/>
    <col min="7" max="8" width="9.140625" style="7"/>
    <col min="9" max="9" width="10.42578125" style="7" bestFit="1" customWidth="1"/>
    <col min="10" max="10" width="10.5703125" style="7" bestFit="1" customWidth="1"/>
    <col min="11" max="11" width="9.140625" style="7"/>
    <col min="12" max="12" width="9.42578125" style="7" bestFit="1" customWidth="1"/>
    <col min="13" max="16384" width="9.140625" style="7"/>
  </cols>
  <sheetData>
    <row r="1" spans="1:15" ht="20.25" customHeight="1">
      <c r="A1" s="573" t="s">
        <v>1</v>
      </c>
      <c r="B1" s="573"/>
      <c r="C1" s="573"/>
      <c r="D1" s="573"/>
      <c r="E1" s="573"/>
      <c r="F1" s="573"/>
      <c r="G1" s="573"/>
      <c r="H1" s="573"/>
      <c r="I1" s="573"/>
      <c r="J1" s="573"/>
      <c r="K1" s="141"/>
      <c r="L1" s="141"/>
      <c r="M1" s="141"/>
      <c r="N1" s="141"/>
      <c r="O1" s="141"/>
    </row>
    <row r="2" spans="1:15" ht="20.25" customHeight="1">
      <c r="A2" s="573" t="s">
        <v>2</v>
      </c>
      <c r="B2" s="573"/>
      <c r="C2" s="573"/>
      <c r="D2" s="573"/>
      <c r="E2" s="573"/>
      <c r="F2" s="573"/>
      <c r="G2" s="573"/>
      <c r="H2" s="573"/>
      <c r="I2" s="573"/>
      <c r="J2" s="573"/>
      <c r="K2" s="141"/>
      <c r="L2" s="141"/>
      <c r="M2" s="141"/>
      <c r="N2" s="141"/>
      <c r="O2" s="141"/>
    </row>
    <row r="3" spans="1:15" ht="14.25" customHeight="1">
      <c r="A3" s="574" t="s">
        <v>839</v>
      </c>
      <c r="B3" s="574"/>
      <c r="C3" s="574"/>
      <c r="D3" s="574"/>
      <c r="E3" s="574"/>
      <c r="F3" s="574"/>
      <c r="G3" s="574"/>
      <c r="H3" s="574"/>
      <c r="I3" s="574"/>
      <c r="J3" s="574"/>
      <c r="K3" s="140"/>
      <c r="L3" s="140"/>
      <c r="M3" s="141"/>
      <c r="N3" s="141"/>
      <c r="O3" s="141"/>
    </row>
    <row r="4" spans="1:15" ht="38.25">
      <c r="A4" s="36" t="s">
        <v>479</v>
      </c>
      <c r="B4" s="36" t="s">
        <v>480</v>
      </c>
      <c r="C4" s="24" t="s">
        <v>481</v>
      </c>
      <c r="D4" s="24" t="s">
        <v>482</v>
      </c>
      <c r="E4" s="24"/>
      <c r="F4" s="24" t="s">
        <v>483</v>
      </c>
      <c r="G4" s="24" t="s">
        <v>484</v>
      </c>
      <c r="H4" s="24" t="s">
        <v>485</v>
      </c>
      <c r="I4" s="24" t="s">
        <v>486</v>
      </c>
      <c r="J4" s="24" t="s">
        <v>487</v>
      </c>
      <c r="K4" s="139" t="s">
        <v>471</v>
      </c>
      <c r="L4" s="139"/>
      <c r="M4" s="141"/>
      <c r="N4" s="141"/>
      <c r="O4" s="141"/>
    </row>
    <row r="5" spans="1:15" ht="14.25">
      <c r="A5" s="11"/>
      <c r="B5" s="11"/>
      <c r="C5" s="94"/>
      <c r="D5" s="117"/>
      <c r="E5" s="117"/>
      <c r="F5" s="117"/>
      <c r="G5" s="117"/>
      <c r="H5" s="117"/>
      <c r="I5" s="117"/>
      <c r="J5" s="117"/>
      <c r="K5" s="157"/>
      <c r="L5" s="157"/>
      <c r="M5" s="141"/>
      <c r="N5" s="141"/>
      <c r="O5" s="141"/>
    </row>
    <row r="6" spans="1:15" ht="14.25">
      <c r="A6" s="11"/>
      <c r="B6" s="11"/>
      <c r="C6" s="118" t="s">
        <v>488</v>
      </c>
      <c r="D6" s="117"/>
      <c r="E6" s="117"/>
      <c r="F6" s="117"/>
      <c r="G6" s="117"/>
      <c r="H6" s="117"/>
      <c r="I6" s="117"/>
      <c r="J6" s="117"/>
      <c r="K6" s="157"/>
      <c r="L6" s="157"/>
      <c r="M6" s="141"/>
      <c r="N6" s="141"/>
      <c r="O6" s="141"/>
    </row>
    <row r="7" spans="1:15" ht="14.25">
      <c r="A7" s="11"/>
      <c r="B7" s="11"/>
      <c r="C7" s="94"/>
      <c r="D7" s="117"/>
      <c r="E7" s="117"/>
      <c r="F7" s="117"/>
      <c r="G7" s="117"/>
      <c r="H7" s="117"/>
      <c r="I7" s="117"/>
      <c r="J7" s="117"/>
      <c r="K7" s="157"/>
      <c r="L7" s="157"/>
      <c r="M7" s="141"/>
      <c r="N7" s="141"/>
      <c r="O7" s="141"/>
    </row>
    <row r="8" spans="1:15" ht="25.5">
      <c r="A8" s="11" t="s">
        <v>30</v>
      </c>
      <c r="B8" s="10" t="s">
        <v>31</v>
      </c>
      <c r="C8" s="27" t="s">
        <v>32</v>
      </c>
      <c r="D8" s="8"/>
      <c r="E8" s="8"/>
      <c r="F8" s="8">
        <v>2</v>
      </c>
      <c r="G8" s="8">
        <v>14</v>
      </c>
      <c r="H8" s="8"/>
      <c r="I8" s="8"/>
      <c r="J8" s="8">
        <f>G8*F8</f>
        <v>28</v>
      </c>
      <c r="K8" s="157"/>
      <c r="L8" s="157"/>
      <c r="M8" s="141"/>
      <c r="N8" s="141"/>
      <c r="O8" s="141"/>
    </row>
    <row r="9" spans="1:15" ht="14.25">
      <c r="A9" s="10"/>
      <c r="B9" s="10" t="s">
        <v>34</v>
      </c>
      <c r="C9" s="27" t="s">
        <v>35</v>
      </c>
      <c r="D9" s="14" t="s">
        <v>469</v>
      </c>
      <c r="E9" s="14"/>
      <c r="F9" s="14"/>
      <c r="G9" s="575" t="s">
        <v>489</v>
      </c>
      <c r="H9" s="576"/>
      <c r="I9" s="14" t="s">
        <v>471</v>
      </c>
      <c r="J9" s="14"/>
      <c r="K9" s="157"/>
      <c r="L9" s="157"/>
      <c r="M9" s="141"/>
      <c r="N9" s="141"/>
      <c r="O9" s="141"/>
    </row>
    <row r="10" spans="1:15" ht="14.25">
      <c r="A10" s="10"/>
      <c r="B10" s="10"/>
      <c r="C10" s="9"/>
      <c r="D10" s="14"/>
      <c r="E10" s="14"/>
      <c r="F10" s="14"/>
      <c r="G10" s="575" t="s">
        <v>490</v>
      </c>
      <c r="H10" s="576"/>
      <c r="I10" s="14"/>
      <c r="J10" s="49"/>
      <c r="K10" s="157"/>
      <c r="L10" s="157"/>
      <c r="M10" s="141"/>
      <c r="N10" s="141"/>
      <c r="O10" s="141"/>
    </row>
    <row r="11" spans="1:15" ht="14.25">
      <c r="A11" s="10"/>
      <c r="B11" s="10"/>
      <c r="C11" s="9"/>
      <c r="D11" s="14"/>
      <c r="E11" s="14"/>
      <c r="F11" s="14"/>
      <c r="G11" s="14"/>
      <c r="H11" s="14"/>
      <c r="I11" s="23" t="s">
        <v>491</v>
      </c>
      <c r="J11" s="32"/>
      <c r="K11" s="157"/>
      <c r="L11" s="157"/>
      <c r="M11" s="141"/>
      <c r="N11" s="141"/>
      <c r="O11" s="141"/>
    </row>
    <row r="12" spans="1:15" ht="14.25">
      <c r="A12" s="10"/>
      <c r="B12" s="10"/>
      <c r="C12" s="9"/>
      <c r="D12" s="14"/>
      <c r="E12" s="14"/>
      <c r="F12" s="14"/>
      <c r="G12" s="14"/>
      <c r="H12" s="14"/>
      <c r="I12" s="23" t="s">
        <v>492</v>
      </c>
      <c r="J12" s="116">
        <f>J8</f>
        <v>28</v>
      </c>
      <c r="K12" s="157"/>
      <c r="L12" s="157"/>
      <c r="M12" s="141"/>
      <c r="N12" s="141"/>
      <c r="O12" s="141"/>
    </row>
    <row r="13" spans="1:15" ht="63.75">
      <c r="A13" s="10" t="s">
        <v>493</v>
      </c>
      <c r="B13" s="10" t="s">
        <v>37</v>
      </c>
      <c r="C13" s="27" t="s">
        <v>494</v>
      </c>
      <c r="D13" s="8"/>
      <c r="E13" s="8"/>
      <c r="F13" s="8"/>
      <c r="G13" s="8"/>
      <c r="H13" s="8"/>
      <c r="I13" s="8"/>
      <c r="J13" s="14"/>
      <c r="K13" s="157"/>
      <c r="L13" s="157"/>
      <c r="M13" s="141"/>
      <c r="N13" s="141"/>
      <c r="O13" s="141"/>
    </row>
    <row r="14" spans="1:15" ht="14.25">
      <c r="A14" s="10"/>
      <c r="B14" s="10" t="s">
        <v>38</v>
      </c>
      <c r="C14" s="27" t="s">
        <v>39</v>
      </c>
      <c r="D14" s="8" t="s">
        <v>495</v>
      </c>
      <c r="E14" s="8"/>
      <c r="F14" s="8"/>
      <c r="G14" s="8"/>
      <c r="H14" s="8"/>
      <c r="I14" s="8"/>
      <c r="J14" s="14"/>
      <c r="K14" s="157"/>
      <c r="L14" s="157"/>
      <c r="M14" s="141"/>
      <c r="N14" s="141"/>
      <c r="O14" s="141"/>
    </row>
    <row r="15" spans="1:15" ht="14.25">
      <c r="A15" s="10"/>
      <c r="B15" s="10"/>
      <c r="C15" s="26" t="s">
        <v>491</v>
      </c>
      <c r="D15" s="8" t="s">
        <v>495</v>
      </c>
      <c r="E15" s="8"/>
      <c r="F15" s="131">
        <v>27</v>
      </c>
      <c r="G15" s="131">
        <v>2.2999999999999998</v>
      </c>
      <c r="H15" s="14">
        <v>2.2999999999999998</v>
      </c>
      <c r="I15" s="144">
        <v>2.9</v>
      </c>
      <c r="J15" s="14">
        <f>F15*G15*H15*I15</f>
        <v>414.20699999999994</v>
      </c>
      <c r="K15" s="157"/>
      <c r="L15" s="157"/>
      <c r="M15" s="141"/>
      <c r="N15" s="141"/>
      <c r="O15" s="141"/>
    </row>
    <row r="16" spans="1:15" ht="14.25">
      <c r="A16" s="10"/>
      <c r="B16" s="10"/>
      <c r="C16" s="26"/>
      <c r="D16" s="8"/>
      <c r="E16" s="8"/>
      <c r="F16" s="120"/>
      <c r="G16" s="120"/>
      <c r="H16" s="14"/>
      <c r="I16" s="144"/>
      <c r="J16" s="14"/>
      <c r="K16" s="157"/>
      <c r="L16" s="157"/>
      <c r="M16" s="141"/>
      <c r="N16" s="141"/>
      <c r="O16" s="141"/>
    </row>
    <row r="17" spans="1:15" ht="89.25">
      <c r="A17" s="10" t="s">
        <v>496</v>
      </c>
      <c r="B17" s="10" t="s">
        <v>41</v>
      </c>
      <c r="C17" s="27" t="s">
        <v>497</v>
      </c>
      <c r="D17" s="8"/>
      <c r="E17" s="8"/>
      <c r="F17" s="120"/>
      <c r="G17" s="120"/>
      <c r="H17" s="14"/>
      <c r="I17" s="144"/>
      <c r="J17" s="14"/>
      <c r="K17" s="157"/>
      <c r="L17" s="157"/>
      <c r="M17" s="141"/>
      <c r="N17" s="141"/>
      <c r="O17" s="141"/>
    </row>
    <row r="18" spans="1:15" ht="14.25">
      <c r="A18" s="10"/>
      <c r="B18" s="10" t="s">
        <v>42</v>
      </c>
      <c r="C18" s="26" t="s">
        <v>498</v>
      </c>
      <c r="D18" s="8"/>
      <c r="E18" s="8"/>
      <c r="F18" s="120"/>
      <c r="G18" s="120"/>
      <c r="H18" s="14"/>
      <c r="I18" s="144"/>
      <c r="J18" s="14"/>
      <c r="K18" s="157"/>
      <c r="L18" s="157"/>
      <c r="M18" s="141"/>
      <c r="N18" s="141"/>
      <c r="O18" s="141"/>
    </row>
    <row r="19" spans="1:15" ht="14.25">
      <c r="A19" s="10"/>
      <c r="B19" s="10"/>
      <c r="C19" s="26"/>
      <c r="D19" s="8"/>
      <c r="E19" s="8"/>
      <c r="F19" s="120"/>
      <c r="G19" s="120"/>
      <c r="H19" s="14"/>
      <c r="I19" s="144"/>
      <c r="J19" s="14"/>
      <c r="K19" s="157"/>
      <c r="L19" s="157"/>
      <c r="M19" s="141"/>
      <c r="N19" s="141"/>
      <c r="O19" s="141"/>
    </row>
    <row r="20" spans="1:15" ht="14.25">
      <c r="A20" s="10"/>
      <c r="B20" s="10"/>
      <c r="C20" s="26"/>
      <c r="D20" s="8"/>
      <c r="E20" s="8"/>
      <c r="F20" s="120"/>
      <c r="G20" s="120"/>
      <c r="H20" s="14"/>
      <c r="I20" s="144"/>
      <c r="J20" s="14"/>
      <c r="K20" s="157"/>
      <c r="L20" s="157"/>
      <c r="M20" s="141"/>
      <c r="N20" s="141"/>
      <c r="O20" s="141"/>
    </row>
    <row r="21" spans="1:15" ht="14.25">
      <c r="A21" s="10"/>
      <c r="B21" s="10"/>
      <c r="C21" s="26"/>
      <c r="D21" s="8"/>
      <c r="E21" s="8"/>
      <c r="F21" s="120"/>
      <c r="G21" s="120"/>
      <c r="H21" s="14"/>
      <c r="I21" s="144"/>
      <c r="J21" s="14"/>
      <c r="K21" s="157"/>
      <c r="L21" s="157"/>
      <c r="M21" s="141"/>
      <c r="N21" s="141"/>
      <c r="O21" s="141"/>
    </row>
    <row r="22" spans="1:15" ht="14.25">
      <c r="A22" s="10"/>
      <c r="B22" s="10"/>
      <c r="C22" s="66" t="s">
        <v>499</v>
      </c>
      <c r="D22" s="8"/>
      <c r="E22" s="8"/>
      <c r="F22" s="8"/>
      <c r="G22" s="111"/>
      <c r="H22" s="111"/>
      <c r="I22" s="111"/>
      <c r="J22" s="14"/>
      <c r="K22" s="157"/>
      <c r="L22" s="157"/>
      <c r="M22" s="141"/>
      <c r="N22" s="141"/>
      <c r="O22" s="141"/>
    </row>
    <row r="23" spans="1:15" ht="14.25">
      <c r="A23" s="10"/>
      <c r="B23" s="10"/>
      <c r="C23" s="26"/>
      <c r="D23" s="8" t="s">
        <v>495</v>
      </c>
      <c r="E23" s="8"/>
      <c r="F23" s="14">
        <v>2</v>
      </c>
      <c r="G23" s="14">
        <v>18.96</v>
      </c>
      <c r="H23" s="14">
        <f>0.23+0.3+0.3</f>
        <v>0.83000000000000007</v>
      </c>
      <c r="I23" s="14">
        <f>0.6+0.15</f>
        <v>0.75</v>
      </c>
      <c r="J23" s="14">
        <f t="shared" ref="J23:J31" si="0">F23*G23*H23*I23</f>
        <v>23.605200000000004</v>
      </c>
      <c r="K23" s="157"/>
      <c r="L23" s="157"/>
      <c r="M23" s="141"/>
      <c r="N23" s="141"/>
      <c r="O23" s="141"/>
    </row>
    <row r="24" spans="1:15" ht="14.25">
      <c r="A24" s="10"/>
      <c r="B24" s="10"/>
      <c r="C24" s="26"/>
      <c r="D24" s="8"/>
      <c r="E24" s="8"/>
      <c r="F24" s="14">
        <v>1</v>
      </c>
      <c r="G24" s="14">
        <v>1.8</v>
      </c>
      <c r="H24" s="14">
        <f t="shared" ref="H24:H33" si="1">0.23+0.3+0.3</f>
        <v>0.83000000000000007</v>
      </c>
      <c r="I24" s="14">
        <f t="shared" ref="I24:I33" si="2">0.6+0.15</f>
        <v>0.75</v>
      </c>
      <c r="J24" s="14">
        <f t="shared" si="0"/>
        <v>1.1205000000000003</v>
      </c>
      <c r="K24" s="157"/>
      <c r="L24" s="157"/>
      <c r="M24" s="141"/>
      <c r="N24" s="141"/>
      <c r="O24" s="141"/>
    </row>
    <row r="25" spans="1:15" ht="14.25">
      <c r="A25" s="10"/>
      <c r="B25" s="10"/>
      <c r="C25" s="26"/>
      <c r="D25" s="8"/>
      <c r="E25" s="8"/>
      <c r="F25" s="14">
        <v>1</v>
      </c>
      <c r="G25" s="14">
        <v>15.07</v>
      </c>
      <c r="H25" s="14">
        <f t="shared" si="1"/>
        <v>0.83000000000000007</v>
      </c>
      <c r="I25" s="14">
        <f t="shared" si="2"/>
        <v>0.75</v>
      </c>
      <c r="J25" s="14">
        <f t="shared" si="0"/>
        <v>9.3810750000000009</v>
      </c>
      <c r="K25" s="157"/>
      <c r="L25" s="157"/>
      <c r="M25" s="141"/>
      <c r="N25" s="141"/>
      <c r="O25" s="141"/>
    </row>
    <row r="26" spans="1:15" ht="14.25">
      <c r="A26" s="10"/>
      <c r="B26" s="10"/>
      <c r="C26" s="26"/>
      <c r="D26" s="8"/>
      <c r="E26" s="8"/>
      <c r="F26" s="14">
        <v>1</v>
      </c>
      <c r="G26" s="14">
        <v>12.41</v>
      </c>
      <c r="H26" s="14">
        <f t="shared" si="1"/>
        <v>0.83000000000000007</v>
      </c>
      <c r="I26" s="14">
        <f t="shared" si="2"/>
        <v>0.75</v>
      </c>
      <c r="J26" s="14">
        <f t="shared" si="0"/>
        <v>7.7252250000000018</v>
      </c>
      <c r="K26" s="157"/>
      <c r="L26" s="157"/>
      <c r="M26" s="141"/>
      <c r="N26" s="141"/>
      <c r="O26" s="141"/>
    </row>
    <row r="27" spans="1:15" ht="14.25">
      <c r="A27" s="10"/>
      <c r="B27" s="10"/>
      <c r="C27" s="26"/>
      <c r="D27" s="8"/>
      <c r="E27" s="8"/>
      <c r="F27" s="14">
        <v>1</v>
      </c>
      <c r="G27" s="14">
        <v>3.34</v>
      </c>
      <c r="H27" s="14">
        <f t="shared" si="1"/>
        <v>0.83000000000000007</v>
      </c>
      <c r="I27" s="14">
        <f t="shared" si="2"/>
        <v>0.75</v>
      </c>
      <c r="J27" s="14">
        <f t="shared" si="0"/>
        <v>2.0791500000000003</v>
      </c>
      <c r="K27" s="157"/>
      <c r="L27" s="157"/>
      <c r="M27" s="141"/>
      <c r="N27" s="141"/>
      <c r="O27" s="141"/>
    </row>
    <row r="28" spans="1:15" ht="14.25">
      <c r="A28" s="10"/>
      <c r="B28" s="10"/>
      <c r="C28" s="26"/>
      <c r="D28" s="8"/>
      <c r="E28" s="8"/>
      <c r="F28" s="14">
        <v>2</v>
      </c>
      <c r="G28" s="14">
        <v>5</v>
      </c>
      <c r="H28" s="14">
        <f t="shared" si="1"/>
        <v>0.83000000000000007</v>
      </c>
      <c r="I28" s="14">
        <f t="shared" si="2"/>
        <v>0.75</v>
      </c>
      <c r="J28" s="14">
        <f t="shared" si="0"/>
        <v>6.2250000000000005</v>
      </c>
      <c r="K28" s="157"/>
      <c r="L28" s="157"/>
      <c r="M28" s="141"/>
      <c r="N28" s="141"/>
      <c r="O28" s="141"/>
    </row>
    <row r="29" spans="1:15" ht="14.25">
      <c r="A29" s="10"/>
      <c r="B29" s="10"/>
      <c r="C29" s="26"/>
      <c r="D29" s="8"/>
      <c r="E29" s="8"/>
      <c r="F29" s="14">
        <v>1</v>
      </c>
      <c r="G29" s="14">
        <v>5.13</v>
      </c>
      <c r="H29" s="14">
        <f t="shared" si="1"/>
        <v>0.83000000000000007</v>
      </c>
      <c r="I29" s="14">
        <f t="shared" si="2"/>
        <v>0.75</v>
      </c>
      <c r="J29" s="14">
        <f t="shared" si="0"/>
        <v>3.1934250000000004</v>
      </c>
      <c r="K29" s="157"/>
      <c r="L29" s="157"/>
      <c r="M29" s="141"/>
      <c r="N29" s="141"/>
      <c r="O29" s="141"/>
    </row>
    <row r="30" spans="1:15" ht="14.25">
      <c r="A30" s="10"/>
      <c r="B30" s="10"/>
      <c r="C30" s="26" t="s">
        <v>840</v>
      </c>
      <c r="D30" s="8"/>
      <c r="E30" s="8"/>
      <c r="F30" s="14">
        <v>2</v>
      </c>
      <c r="G30" s="14">
        <v>6.14</v>
      </c>
      <c r="H30" s="14">
        <f t="shared" si="1"/>
        <v>0.83000000000000007</v>
      </c>
      <c r="I30" s="14">
        <f t="shared" si="2"/>
        <v>0.75</v>
      </c>
      <c r="J30" s="14">
        <f t="shared" si="0"/>
        <v>7.6443000000000012</v>
      </c>
      <c r="K30" s="157"/>
      <c r="L30" s="157"/>
      <c r="M30" s="141"/>
      <c r="N30" s="141"/>
      <c r="O30" s="141"/>
    </row>
    <row r="31" spans="1:15" ht="14.25">
      <c r="A31" s="10"/>
      <c r="B31" s="10"/>
      <c r="C31" s="26"/>
      <c r="D31" s="8"/>
      <c r="E31" s="8"/>
      <c r="F31" s="14">
        <v>4</v>
      </c>
      <c r="G31" s="14">
        <v>12.68</v>
      </c>
      <c r="H31" s="14">
        <f t="shared" si="1"/>
        <v>0.83000000000000007</v>
      </c>
      <c r="I31" s="14">
        <f t="shared" si="2"/>
        <v>0.75</v>
      </c>
      <c r="J31" s="14">
        <f t="shared" si="0"/>
        <v>31.5732</v>
      </c>
      <c r="K31" s="157"/>
      <c r="L31" s="157"/>
      <c r="M31" s="141"/>
      <c r="N31" s="141"/>
      <c r="O31" s="141"/>
    </row>
    <row r="32" spans="1:15" ht="14.25">
      <c r="A32" s="10"/>
      <c r="B32" s="10"/>
      <c r="C32" s="26"/>
      <c r="D32" s="8"/>
      <c r="E32" s="8"/>
      <c r="F32" s="14">
        <v>1</v>
      </c>
      <c r="G32" s="14">
        <v>3.22</v>
      </c>
      <c r="H32" s="14">
        <f t="shared" si="1"/>
        <v>0.83000000000000007</v>
      </c>
      <c r="I32" s="14">
        <f t="shared" si="2"/>
        <v>0.75</v>
      </c>
      <c r="J32" s="14">
        <f>F32*G32*H32*I32</f>
        <v>2.0044500000000003</v>
      </c>
      <c r="K32" s="157"/>
      <c r="L32" s="157"/>
      <c r="M32" s="141"/>
      <c r="N32" s="141"/>
      <c r="O32" s="141"/>
    </row>
    <row r="33" spans="1:15" ht="14.25">
      <c r="A33" s="10"/>
      <c r="B33" s="10"/>
      <c r="C33" s="26"/>
      <c r="D33" s="8"/>
      <c r="E33" s="8"/>
      <c r="F33" s="14">
        <v>1</v>
      </c>
      <c r="G33" s="14">
        <v>2.25</v>
      </c>
      <c r="H33" s="14">
        <f t="shared" si="1"/>
        <v>0.83000000000000007</v>
      </c>
      <c r="I33" s="14">
        <f t="shared" si="2"/>
        <v>0.75</v>
      </c>
      <c r="J33" s="14">
        <f>F33*G33*H33*I33</f>
        <v>1.4006250000000002</v>
      </c>
      <c r="K33" s="157"/>
      <c r="L33" s="157"/>
      <c r="M33" s="141"/>
      <c r="N33" s="141"/>
      <c r="O33" s="141"/>
    </row>
    <row r="34" spans="1:15" ht="14.25">
      <c r="A34" s="10" t="s">
        <v>471</v>
      </c>
      <c r="B34" s="10"/>
      <c r="C34" s="9"/>
      <c r="D34" s="8"/>
      <c r="E34" s="8"/>
      <c r="F34" s="8"/>
      <c r="G34" s="8"/>
      <c r="H34" s="8"/>
      <c r="I34" s="8" t="s">
        <v>491</v>
      </c>
      <c r="J34" s="32">
        <f>SUM(J23:J33)</f>
        <v>95.952150000000017</v>
      </c>
      <c r="K34" s="157"/>
      <c r="L34" s="157"/>
      <c r="M34" s="141"/>
      <c r="N34" s="141"/>
      <c r="O34" s="141"/>
    </row>
    <row r="35" spans="1:15" ht="14.25">
      <c r="A35" s="10"/>
      <c r="B35" s="10"/>
      <c r="C35" s="9"/>
      <c r="D35" s="8"/>
      <c r="E35" s="8"/>
      <c r="F35" s="8"/>
      <c r="G35" s="8"/>
      <c r="H35" s="8"/>
      <c r="I35" s="8" t="s">
        <v>492</v>
      </c>
      <c r="J35" s="32">
        <f>J34</f>
        <v>95.952150000000017</v>
      </c>
      <c r="K35" s="157"/>
      <c r="L35" s="157"/>
      <c r="M35" s="141"/>
      <c r="N35" s="141"/>
      <c r="O35" s="141"/>
    </row>
    <row r="36" spans="1:15" ht="14.25">
      <c r="A36" s="10"/>
      <c r="B36" s="10"/>
      <c r="C36" s="9"/>
      <c r="D36" s="8"/>
      <c r="E36" s="8"/>
      <c r="F36" s="8"/>
      <c r="G36" s="8"/>
      <c r="H36" s="8"/>
      <c r="I36" s="8"/>
      <c r="J36" s="32"/>
      <c r="K36" s="157"/>
      <c r="L36" s="157"/>
      <c r="M36" s="141"/>
      <c r="N36" s="141"/>
      <c r="O36" s="141"/>
    </row>
    <row r="37" spans="1:15" ht="51">
      <c r="A37" s="10" t="s">
        <v>500</v>
      </c>
      <c r="B37" s="10"/>
      <c r="C37" s="9" t="s">
        <v>501</v>
      </c>
      <c r="D37" s="18" t="s">
        <v>495</v>
      </c>
      <c r="E37" s="18"/>
      <c r="F37" s="131">
        <v>27</v>
      </c>
      <c r="G37" s="131">
        <v>2.5</v>
      </c>
      <c r="H37" s="22">
        <v>2.5</v>
      </c>
      <c r="I37" s="148">
        <v>1</v>
      </c>
      <c r="J37" s="22">
        <f>F37*G37*H37*I37</f>
        <v>168.75</v>
      </c>
      <c r="K37" s="157"/>
      <c r="L37" s="157"/>
      <c r="M37" s="141"/>
      <c r="N37" s="141"/>
      <c r="O37" s="141"/>
    </row>
    <row r="38" spans="1:15" ht="14.25">
      <c r="A38" s="10"/>
      <c r="B38" s="10"/>
      <c r="C38" s="9"/>
      <c r="D38" s="8"/>
      <c r="E38" s="8"/>
      <c r="F38" s="8"/>
      <c r="G38" s="8"/>
      <c r="H38" s="8"/>
      <c r="I38" s="8"/>
      <c r="J38" s="32"/>
      <c r="K38" s="157"/>
      <c r="L38" s="157"/>
      <c r="M38" s="141"/>
      <c r="N38" s="141"/>
      <c r="O38" s="141"/>
    </row>
    <row r="39" spans="1:15" ht="102">
      <c r="A39" s="10" t="s">
        <v>43</v>
      </c>
      <c r="B39" s="10" t="s">
        <v>44</v>
      </c>
      <c r="C39" s="27" t="s">
        <v>45</v>
      </c>
      <c r="D39" s="8"/>
      <c r="E39" s="8"/>
      <c r="F39" s="8"/>
      <c r="G39" s="8"/>
      <c r="H39" s="8"/>
      <c r="I39" s="8"/>
      <c r="J39" s="62"/>
      <c r="K39" s="157"/>
      <c r="L39" s="157"/>
      <c r="M39" s="141"/>
      <c r="N39" s="141"/>
      <c r="O39" s="141"/>
    </row>
    <row r="40" spans="1:15" ht="14.25">
      <c r="A40" s="10"/>
      <c r="B40" s="10" t="s">
        <v>502</v>
      </c>
      <c r="C40" s="27" t="s">
        <v>498</v>
      </c>
      <c r="D40" s="8"/>
      <c r="E40" s="8"/>
      <c r="F40" s="8"/>
      <c r="G40" s="8"/>
      <c r="H40" s="8"/>
      <c r="I40" s="8"/>
      <c r="J40" s="62"/>
      <c r="K40" s="157"/>
      <c r="L40" s="157"/>
      <c r="M40" s="141"/>
      <c r="N40" s="141"/>
      <c r="O40" s="141"/>
    </row>
    <row r="41" spans="1:15" ht="25.5">
      <c r="A41" s="10" t="s">
        <v>471</v>
      </c>
      <c r="B41" s="10" t="s">
        <v>46</v>
      </c>
      <c r="C41" s="27" t="s">
        <v>47</v>
      </c>
      <c r="D41" s="8" t="s">
        <v>503</v>
      </c>
      <c r="E41" s="8">
        <v>2</v>
      </c>
      <c r="F41" s="8">
        <v>30</v>
      </c>
      <c r="G41" s="8">
        <v>1</v>
      </c>
      <c r="H41" s="8" t="s">
        <v>471</v>
      </c>
      <c r="I41" s="8" t="s">
        <v>471</v>
      </c>
      <c r="J41" s="23">
        <f>F41*G41</f>
        <v>30</v>
      </c>
      <c r="K41" s="157"/>
      <c r="L41" s="157"/>
      <c r="M41" s="141"/>
      <c r="N41" s="141"/>
      <c r="O41" s="141"/>
    </row>
    <row r="42" spans="1:15" ht="14.25">
      <c r="A42" s="10"/>
      <c r="B42" s="10"/>
      <c r="C42" s="9"/>
      <c r="D42" s="8"/>
      <c r="E42" s="8"/>
      <c r="F42" s="8"/>
      <c r="G42" s="8"/>
      <c r="H42" s="8"/>
      <c r="I42" s="8"/>
      <c r="J42" s="14"/>
      <c r="K42" s="157"/>
      <c r="L42" s="157"/>
      <c r="M42" s="141"/>
      <c r="N42" s="141"/>
      <c r="O42" s="141"/>
    </row>
    <row r="43" spans="1:15" ht="63.75">
      <c r="A43" s="10" t="s">
        <v>48</v>
      </c>
      <c r="B43" s="10" t="s">
        <v>49</v>
      </c>
      <c r="C43" s="27" t="s">
        <v>50</v>
      </c>
      <c r="D43" s="18" t="s">
        <v>504</v>
      </c>
      <c r="E43" s="18"/>
      <c r="F43" s="8"/>
      <c r="G43" s="8"/>
      <c r="H43" s="8"/>
      <c r="I43" s="8"/>
      <c r="J43" s="23" t="s">
        <v>471</v>
      </c>
      <c r="K43" s="157"/>
      <c r="L43" s="157"/>
      <c r="M43" s="141"/>
      <c r="N43" s="141"/>
      <c r="O43" s="141"/>
    </row>
    <row r="44" spans="1:15" ht="14.25">
      <c r="A44" s="10"/>
      <c r="B44" s="10"/>
      <c r="C44" s="26" t="s">
        <v>505</v>
      </c>
      <c r="D44" s="18" t="s">
        <v>504</v>
      </c>
      <c r="E44" s="18"/>
      <c r="F44" s="8"/>
      <c r="G44" s="8"/>
      <c r="H44" s="8"/>
      <c r="I44" s="14" t="s">
        <v>471</v>
      </c>
      <c r="J44" s="83">
        <f>J15+J35+J37</f>
        <v>678.90914999999995</v>
      </c>
      <c r="K44" s="157"/>
      <c r="L44" s="157"/>
      <c r="M44" s="141"/>
      <c r="N44" s="141"/>
      <c r="O44" s="141"/>
    </row>
    <row r="45" spans="1:15" ht="14.25">
      <c r="A45" s="10"/>
      <c r="B45" s="10"/>
      <c r="C45" s="26" t="s">
        <v>506</v>
      </c>
      <c r="D45" s="18" t="s">
        <v>504</v>
      </c>
      <c r="E45" s="18"/>
      <c r="F45" s="8"/>
      <c r="G45" s="8"/>
      <c r="H45" s="8"/>
      <c r="I45" s="14"/>
      <c r="J45" s="83">
        <f>-J79</f>
        <v>-21.375750000000004</v>
      </c>
      <c r="K45" s="157"/>
      <c r="L45" s="157"/>
      <c r="M45" s="141"/>
      <c r="N45" s="141"/>
      <c r="O45" s="141"/>
    </row>
    <row r="46" spans="1:15" ht="14.25">
      <c r="A46" s="10"/>
      <c r="B46" s="10"/>
      <c r="C46" s="26" t="s">
        <v>507</v>
      </c>
      <c r="D46" s="18" t="s">
        <v>504</v>
      </c>
      <c r="E46" s="18"/>
      <c r="F46" s="8"/>
      <c r="G46" s="8"/>
      <c r="H46" s="8"/>
      <c r="I46" s="14"/>
      <c r="J46" s="83">
        <f>-J217</f>
        <v>-71.414999999999992</v>
      </c>
      <c r="K46" s="157"/>
      <c r="L46" s="157"/>
      <c r="M46" s="141"/>
      <c r="N46" s="141"/>
      <c r="O46" s="141"/>
    </row>
    <row r="47" spans="1:15" ht="14.25">
      <c r="A47" s="10"/>
      <c r="B47" s="10"/>
      <c r="C47" s="26" t="s">
        <v>508</v>
      </c>
      <c r="D47" s="18" t="s">
        <v>504</v>
      </c>
      <c r="E47" s="18"/>
      <c r="F47" s="8"/>
      <c r="G47" s="8"/>
      <c r="H47" s="8"/>
      <c r="I47" s="14"/>
      <c r="J47" s="83">
        <f>-J241</f>
        <v>-10.619100000000001</v>
      </c>
      <c r="K47" s="157"/>
      <c r="L47" s="157"/>
      <c r="M47" s="141"/>
      <c r="N47" s="141"/>
      <c r="O47" s="141"/>
    </row>
    <row r="48" spans="1:15" ht="14.25">
      <c r="A48" s="10"/>
      <c r="B48" s="10"/>
      <c r="C48" s="26" t="s">
        <v>509</v>
      </c>
      <c r="D48" s="18" t="s">
        <v>504</v>
      </c>
      <c r="E48" s="18"/>
      <c r="F48" s="8"/>
      <c r="G48" s="8"/>
      <c r="H48" s="8"/>
      <c r="I48" s="14"/>
      <c r="J48" s="83">
        <v>0</v>
      </c>
      <c r="K48" s="157"/>
      <c r="L48" s="157"/>
      <c r="M48" s="141"/>
      <c r="N48" s="141"/>
      <c r="O48" s="141"/>
    </row>
    <row r="49" spans="1:15" ht="14.25">
      <c r="A49" s="10" t="s">
        <v>471</v>
      </c>
      <c r="B49" s="10"/>
      <c r="C49" s="9"/>
      <c r="D49" s="8"/>
      <c r="E49" s="8"/>
      <c r="F49" s="8"/>
      <c r="G49" s="8"/>
      <c r="H49" s="8"/>
      <c r="I49" s="23" t="s">
        <v>491</v>
      </c>
      <c r="J49" s="32">
        <f>SUM(J44:J48)</f>
        <v>575.49929999999995</v>
      </c>
      <c r="K49" s="157"/>
      <c r="L49" s="157"/>
      <c r="M49" s="141"/>
      <c r="N49" s="141"/>
      <c r="O49" s="141"/>
    </row>
    <row r="50" spans="1:15" ht="14.25">
      <c r="A50" s="10"/>
      <c r="B50" s="10"/>
      <c r="C50" s="9"/>
      <c r="D50" s="8"/>
      <c r="E50" s="8"/>
      <c r="F50" s="8"/>
      <c r="G50" s="8"/>
      <c r="H50" s="8"/>
      <c r="I50" s="24" t="s">
        <v>492</v>
      </c>
      <c r="J50" s="23">
        <f>J49</f>
        <v>575.49929999999995</v>
      </c>
      <c r="K50" s="157"/>
      <c r="L50" s="157"/>
      <c r="M50" s="141"/>
      <c r="N50" s="141"/>
      <c r="O50" s="141"/>
    </row>
    <row r="51" spans="1:15" ht="25.5">
      <c r="A51" s="10" t="s">
        <v>117</v>
      </c>
      <c r="B51" s="10" t="s">
        <v>510</v>
      </c>
      <c r="C51" s="27" t="s">
        <v>52</v>
      </c>
      <c r="D51" s="9"/>
      <c r="E51" s="9"/>
      <c r="F51" s="9"/>
      <c r="G51" s="9"/>
      <c r="H51" s="9"/>
      <c r="I51" s="9"/>
      <c r="J51" s="137"/>
      <c r="K51" s="157"/>
      <c r="L51" s="157"/>
      <c r="M51" s="141"/>
      <c r="N51" s="141"/>
      <c r="O51" s="141"/>
    </row>
    <row r="52" spans="1:15" ht="14.25">
      <c r="A52" s="10"/>
      <c r="B52" s="10" t="s">
        <v>53</v>
      </c>
      <c r="C52" s="27" t="s">
        <v>54</v>
      </c>
      <c r="D52" s="8" t="s">
        <v>504</v>
      </c>
      <c r="E52" s="8"/>
      <c r="F52" s="8"/>
      <c r="G52" s="8"/>
      <c r="H52" s="8"/>
      <c r="I52" s="8"/>
      <c r="J52" s="14" t="s">
        <v>471</v>
      </c>
      <c r="K52" s="157"/>
      <c r="L52" s="157"/>
      <c r="M52" s="141"/>
      <c r="N52" s="141"/>
      <c r="O52" s="141"/>
    </row>
    <row r="53" spans="1:15" ht="14.25">
      <c r="A53" s="10"/>
      <c r="B53" s="10"/>
      <c r="C53" s="9"/>
      <c r="D53" s="8"/>
      <c r="E53" s="8"/>
      <c r="F53" s="8"/>
      <c r="G53" s="8"/>
      <c r="H53" s="8"/>
      <c r="I53" s="23" t="s">
        <v>491</v>
      </c>
      <c r="J53" s="32"/>
      <c r="K53" s="157"/>
      <c r="L53" s="157"/>
      <c r="M53" s="141"/>
      <c r="N53" s="141"/>
      <c r="O53" s="141"/>
    </row>
    <row r="54" spans="1:15" ht="14.25">
      <c r="A54" s="10"/>
      <c r="B54" s="10"/>
      <c r="C54" s="9"/>
      <c r="D54" s="8"/>
      <c r="E54" s="8"/>
      <c r="F54" s="8"/>
      <c r="G54" s="8"/>
      <c r="H54" s="8"/>
      <c r="I54" s="24" t="s">
        <v>492</v>
      </c>
      <c r="J54" s="32">
        <v>100</v>
      </c>
      <c r="K54" s="157"/>
      <c r="L54" s="157"/>
      <c r="M54" s="141"/>
      <c r="N54" s="141"/>
      <c r="O54" s="141"/>
    </row>
    <row r="55" spans="1:15" ht="38.25">
      <c r="A55" s="10" t="s">
        <v>511</v>
      </c>
      <c r="B55" s="10" t="s">
        <v>56</v>
      </c>
      <c r="C55" s="9" t="s">
        <v>57</v>
      </c>
      <c r="D55" s="8" t="s">
        <v>504</v>
      </c>
      <c r="E55" s="8"/>
      <c r="F55" s="8"/>
      <c r="G55" s="8"/>
      <c r="H55" s="8"/>
      <c r="I55" s="24"/>
      <c r="J55" s="32"/>
      <c r="K55" s="157"/>
      <c r="L55" s="157"/>
      <c r="M55" s="141"/>
      <c r="N55" s="141"/>
      <c r="O55" s="141"/>
    </row>
    <row r="56" spans="1:15" ht="14.25">
      <c r="A56" s="10"/>
      <c r="B56" s="10"/>
      <c r="C56" s="9" t="s">
        <v>512</v>
      </c>
      <c r="D56" s="8"/>
      <c r="E56" s="8">
        <v>211</v>
      </c>
      <c r="F56" s="8"/>
      <c r="G56" s="8">
        <v>0.3</v>
      </c>
      <c r="H56" s="8"/>
      <c r="I56" s="24"/>
      <c r="J56" s="32">
        <f>G56*E56</f>
        <v>63.3</v>
      </c>
      <c r="K56" s="157"/>
      <c r="L56" s="157"/>
      <c r="M56" s="141"/>
      <c r="N56" s="141"/>
      <c r="O56" s="141"/>
    </row>
    <row r="57" spans="1:15" ht="14.25">
      <c r="A57" s="10"/>
      <c r="B57" s="10"/>
      <c r="C57" s="9"/>
      <c r="D57" s="8"/>
      <c r="E57" s="8"/>
      <c r="F57" s="8"/>
      <c r="G57" s="8"/>
      <c r="H57" s="8"/>
      <c r="I57" s="24" t="s">
        <v>491</v>
      </c>
      <c r="J57" s="32">
        <f>J56</f>
        <v>63.3</v>
      </c>
      <c r="K57" s="157"/>
      <c r="L57" s="157"/>
      <c r="M57" s="141"/>
      <c r="N57" s="141"/>
      <c r="O57" s="141"/>
    </row>
    <row r="58" spans="1:15" ht="14.25">
      <c r="A58" s="10"/>
      <c r="B58" s="10"/>
      <c r="C58" s="9"/>
      <c r="D58" s="8"/>
      <c r="E58" s="8"/>
      <c r="F58" s="8"/>
      <c r="G58" s="8"/>
      <c r="H58" s="8"/>
      <c r="I58" s="24"/>
      <c r="J58" s="32"/>
      <c r="K58" s="157"/>
      <c r="L58" s="157"/>
      <c r="M58" s="141"/>
      <c r="N58" s="141"/>
      <c r="O58" s="141"/>
    </row>
    <row r="59" spans="1:15" ht="14.25">
      <c r="A59" s="10" t="s">
        <v>55</v>
      </c>
      <c r="B59" s="10"/>
      <c r="C59" s="27"/>
      <c r="D59" s="9"/>
      <c r="E59" s="9"/>
      <c r="F59" s="8"/>
      <c r="G59" s="8"/>
      <c r="H59" s="8"/>
      <c r="I59" s="8"/>
      <c r="J59" s="32"/>
      <c r="K59" s="157"/>
      <c r="L59" s="157"/>
      <c r="M59" s="141"/>
      <c r="N59" s="141"/>
      <c r="O59" s="141"/>
    </row>
    <row r="60" spans="1:15" ht="14.25">
      <c r="A60" s="10"/>
      <c r="B60" s="10"/>
      <c r="C60" s="27"/>
      <c r="D60" s="8"/>
      <c r="E60" s="8"/>
      <c r="F60" s="8"/>
      <c r="G60" s="14"/>
      <c r="H60" s="8"/>
      <c r="I60" s="8"/>
      <c r="J60" s="23"/>
      <c r="K60" s="157"/>
      <c r="L60" s="157"/>
      <c r="M60" s="141"/>
      <c r="N60" s="141"/>
      <c r="O60" s="141"/>
    </row>
    <row r="61" spans="1:15" ht="14.25">
      <c r="A61" s="10"/>
      <c r="B61" s="10"/>
      <c r="C61" s="9"/>
      <c r="D61" s="8"/>
      <c r="E61" s="8"/>
      <c r="F61" s="8"/>
      <c r="G61" s="8"/>
      <c r="H61" s="8"/>
      <c r="I61" s="24"/>
      <c r="J61" s="32"/>
      <c r="K61" s="157"/>
      <c r="L61" s="157"/>
      <c r="M61" s="141"/>
      <c r="N61" s="141"/>
      <c r="O61" s="141"/>
    </row>
    <row r="62" spans="1:15" ht="14.25">
      <c r="A62" s="10"/>
      <c r="B62" s="10"/>
      <c r="C62" s="9"/>
      <c r="D62" s="8"/>
      <c r="E62" s="8"/>
      <c r="F62" s="8"/>
      <c r="G62" s="8"/>
      <c r="H62" s="8"/>
      <c r="I62" s="8"/>
      <c r="J62" s="32"/>
      <c r="K62" s="157"/>
      <c r="L62" s="157"/>
      <c r="M62" s="141"/>
      <c r="N62" s="141"/>
      <c r="O62" s="141"/>
    </row>
    <row r="63" spans="1:15" ht="38.25">
      <c r="A63" s="10" t="s">
        <v>58</v>
      </c>
      <c r="B63" s="10" t="s">
        <v>59</v>
      </c>
      <c r="C63" s="27" t="s">
        <v>60</v>
      </c>
      <c r="D63" s="8"/>
      <c r="E63" s="8"/>
      <c r="F63" s="8"/>
      <c r="G63" s="8"/>
      <c r="H63" s="8"/>
      <c r="I63" s="8"/>
      <c r="J63" s="14"/>
      <c r="K63" s="157"/>
      <c r="L63" s="157"/>
      <c r="M63" s="141"/>
      <c r="N63" s="141"/>
      <c r="O63" s="141"/>
    </row>
    <row r="64" spans="1:15" ht="25.5">
      <c r="A64" s="10" t="s">
        <v>84</v>
      </c>
      <c r="B64" s="10" t="s">
        <v>61</v>
      </c>
      <c r="C64" s="27" t="s">
        <v>513</v>
      </c>
      <c r="D64" s="8" t="s">
        <v>504</v>
      </c>
      <c r="E64" s="8"/>
      <c r="F64" s="8"/>
      <c r="G64" s="8"/>
      <c r="H64" s="8"/>
      <c r="I64" s="8"/>
      <c r="J64" s="14" t="s">
        <v>471</v>
      </c>
      <c r="K64" s="157"/>
      <c r="L64" s="157"/>
      <c r="M64" s="141"/>
      <c r="N64" s="141"/>
      <c r="O64" s="141"/>
    </row>
    <row r="65" spans="1:15" ht="14.25">
      <c r="A65" s="10"/>
      <c r="B65" s="10"/>
      <c r="C65" s="113" t="s">
        <v>514</v>
      </c>
      <c r="D65" s="8" t="s">
        <v>504</v>
      </c>
      <c r="E65" s="8"/>
      <c r="F65" s="8">
        <v>27</v>
      </c>
      <c r="G65" s="8">
        <v>2.25</v>
      </c>
      <c r="H65" s="8">
        <v>2.25</v>
      </c>
      <c r="I65" s="8">
        <v>0.1</v>
      </c>
      <c r="J65" s="14">
        <f>I65*H65*G65*F65</f>
        <v>13.668749999999999</v>
      </c>
      <c r="K65" s="157"/>
      <c r="L65" s="157"/>
      <c r="M65" s="141"/>
      <c r="N65" s="141"/>
      <c r="O65" s="141"/>
    </row>
    <row r="66" spans="1:15" ht="14.25">
      <c r="A66" s="10"/>
      <c r="B66" s="10"/>
      <c r="C66" s="66" t="s">
        <v>499</v>
      </c>
      <c r="D66" s="8"/>
      <c r="E66" s="8"/>
      <c r="F66" s="8"/>
      <c r="G66" s="111"/>
      <c r="H66" s="111"/>
      <c r="I66" s="111"/>
      <c r="J66" s="14"/>
      <c r="K66" s="157"/>
      <c r="L66" s="157"/>
      <c r="M66" s="141"/>
      <c r="N66" s="141"/>
      <c r="O66" s="141"/>
    </row>
    <row r="67" spans="1:15" ht="14.25">
      <c r="A67" s="10"/>
      <c r="B67" s="10"/>
      <c r="C67" s="26"/>
      <c r="D67" s="8" t="s">
        <v>495</v>
      </c>
      <c r="E67" s="8"/>
      <c r="F67" s="14">
        <v>2</v>
      </c>
      <c r="G67" s="14">
        <v>18.96</v>
      </c>
      <c r="H67" s="14">
        <v>0.5</v>
      </c>
      <c r="I67" s="14">
        <v>0.1</v>
      </c>
      <c r="J67" s="14">
        <f t="shared" ref="J67:J75" si="3">F67*G67*H67*I67</f>
        <v>1.8960000000000001</v>
      </c>
      <c r="K67" s="157"/>
      <c r="L67" s="157">
        <f t="shared" ref="L67:L75" si="4">F67*G67</f>
        <v>37.92</v>
      </c>
      <c r="M67" s="141"/>
      <c r="N67" s="141"/>
      <c r="O67" s="141"/>
    </row>
    <row r="68" spans="1:15" ht="14.25">
      <c r="A68" s="10"/>
      <c r="B68" s="10"/>
      <c r="C68" s="26"/>
      <c r="D68" s="8" t="s">
        <v>495</v>
      </c>
      <c r="E68" s="8"/>
      <c r="F68" s="14">
        <v>1</v>
      </c>
      <c r="G68" s="14">
        <v>1.8</v>
      </c>
      <c r="H68" s="14">
        <v>0.5</v>
      </c>
      <c r="I68" s="14">
        <v>0.1</v>
      </c>
      <c r="J68" s="14">
        <f t="shared" si="3"/>
        <v>9.0000000000000011E-2</v>
      </c>
      <c r="K68" s="157"/>
      <c r="L68" s="157">
        <f t="shared" si="4"/>
        <v>1.8</v>
      </c>
      <c r="M68" s="141"/>
      <c r="N68" s="141"/>
      <c r="O68" s="141"/>
    </row>
    <row r="69" spans="1:15" ht="14.25">
      <c r="A69" s="10"/>
      <c r="B69" s="10"/>
      <c r="C69" s="26"/>
      <c r="D69" s="8" t="s">
        <v>495</v>
      </c>
      <c r="E69" s="8"/>
      <c r="F69" s="14">
        <v>1</v>
      </c>
      <c r="G69" s="14">
        <v>15.07</v>
      </c>
      <c r="H69" s="14">
        <v>0.5</v>
      </c>
      <c r="I69" s="14">
        <v>0.1</v>
      </c>
      <c r="J69" s="14">
        <f t="shared" si="3"/>
        <v>0.75350000000000006</v>
      </c>
      <c r="K69" s="157"/>
      <c r="L69" s="157">
        <f t="shared" si="4"/>
        <v>15.07</v>
      </c>
      <c r="M69" s="141"/>
      <c r="N69" s="141"/>
      <c r="O69" s="141"/>
    </row>
    <row r="70" spans="1:15" ht="14.25">
      <c r="A70" s="10"/>
      <c r="B70" s="10"/>
      <c r="C70" s="26"/>
      <c r="D70" s="8" t="s">
        <v>495</v>
      </c>
      <c r="E70" s="8"/>
      <c r="F70" s="14">
        <v>1</v>
      </c>
      <c r="G70" s="14">
        <v>12.41</v>
      </c>
      <c r="H70" s="14">
        <v>0.5</v>
      </c>
      <c r="I70" s="14">
        <v>0.1</v>
      </c>
      <c r="J70" s="14">
        <f t="shared" si="3"/>
        <v>0.62050000000000005</v>
      </c>
      <c r="K70" s="157"/>
      <c r="L70" s="157">
        <f t="shared" si="4"/>
        <v>12.41</v>
      </c>
      <c r="M70" s="141"/>
      <c r="N70" s="141"/>
      <c r="O70" s="141"/>
    </row>
    <row r="71" spans="1:15" ht="14.25">
      <c r="A71" s="10"/>
      <c r="B71" s="10"/>
      <c r="C71" s="26"/>
      <c r="D71" s="8" t="s">
        <v>495</v>
      </c>
      <c r="E71" s="8"/>
      <c r="F71" s="14">
        <v>1</v>
      </c>
      <c r="G71" s="14">
        <v>3.34</v>
      </c>
      <c r="H71" s="14">
        <v>0.5</v>
      </c>
      <c r="I71" s="14">
        <v>0.1</v>
      </c>
      <c r="J71" s="14">
        <f t="shared" si="3"/>
        <v>0.16700000000000001</v>
      </c>
      <c r="K71" s="157"/>
      <c r="L71" s="157">
        <f t="shared" si="4"/>
        <v>3.34</v>
      </c>
      <c r="M71" s="141"/>
      <c r="N71" s="141"/>
      <c r="O71" s="141"/>
    </row>
    <row r="72" spans="1:15" ht="14.25">
      <c r="A72" s="10"/>
      <c r="B72" s="10"/>
      <c r="C72" s="26"/>
      <c r="D72" s="8" t="s">
        <v>495</v>
      </c>
      <c r="E72" s="8"/>
      <c r="F72" s="14">
        <v>2</v>
      </c>
      <c r="G72" s="14">
        <v>5</v>
      </c>
      <c r="H72" s="14">
        <v>0.5</v>
      </c>
      <c r="I72" s="14">
        <v>0.1</v>
      </c>
      <c r="J72" s="14">
        <f t="shared" si="3"/>
        <v>0.5</v>
      </c>
      <c r="K72" s="157"/>
      <c r="L72" s="157">
        <f t="shared" si="4"/>
        <v>10</v>
      </c>
      <c r="M72" s="141"/>
      <c r="N72" s="141"/>
      <c r="O72" s="141"/>
    </row>
    <row r="73" spans="1:15" ht="14.25">
      <c r="A73" s="10"/>
      <c r="B73" s="10"/>
      <c r="C73" s="26"/>
      <c r="D73" s="8" t="s">
        <v>495</v>
      </c>
      <c r="E73" s="8"/>
      <c r="F73" s="14">
        <v>1</v>
      </c>
      <c r="G73" s="14">
        <v>5.13</v>
      </c>
      <c r="H73" s="14">
        <v>0.5</v>
      </c>
      <c r="I73" s="14">
        <v>0.1</v>
      </c>
      <c r="J73" s="14">
        <f t="shared" si="3"/>
        <v>0.25650000000000001</v>
      </c>
      <c r="K73" s="157"/>
      <c r="L73" s="157">
        <f t="shared" si="4"/>
        <v>5.13</v>
      </c>
      <c r="M73" s="141"/>
      <c r="N73" s="141"/>
      <c r="O73" s="141"/>
    </row>
    <row r="74" spans="1:15" ht="14.25">
      <c r="A74" s="10"/>
      <c r="B74" s="10"/>
      <c r="C74" s="26"/>
      <c r="D74" s="8" t="s">
        <v>495</v>
      </c>
      <c r="E74" s="8"/>
      <c r="F74" s="14">
        <v>2</v>
      </c>
      <c r="G74" s="14">
        <v>6.14</v>
      </c>
      <c r="H74" s="14">
        <v>0.5</v>
      </c>
      <c r="I74" s="14">
        <v>0.1</v>
      </c>
      <c r="J74" s="14">
        <f t="shared" si="3"/>
        <v>0.61399999999999999</v>
      </c>
      <c r="K74" s="157"/>
      <c r="L74" s="157">
        <f t="shared" si="4"/>
        <v>12.28</v>
      </c>
      <c r="M74" s="141"/>
      <c r="N74" s="141"/>
      <c r="O74" s="141"/>
    </row>
    <row r="75" spans="1:15" ht="14.25">
      <c r="A75" s="10"/>
      <c r="B75" s="10"/>
      <c r="C75" s="26"/>
      <c r="D75" s="8" t="s">
        <v>495</v>
      </c>
      <c r="E75" s="8"/>
      <c r="F75" s="14">
        <v>4</v>
      </c>
      <c r="G75" s="14">
        <v>12.68</v>
      </c>
      <c r="H75" s="14">
        <v>0.5</v>
      </c>
      <c r="I75" s="14">
        <v>0.1</v>
      </c>
      <c r="J75" s="14">
        <f t="shared" si="3"/>
        <v>2.536</v>
      </c>
      <c r="K75" s="157"/>
      <c r="L75" s="157">
        <f t="shared" si="4"/>
        <v>50.72</v>
      </c>
      <c r="M75" s="141"/>
      <c r="N75" s="141"/>
      <c r="O75" s="141"/>
    </row>
    <row r="76" spans="1:15" ht="14.25">
      <c r="A76" s="10"/>
      <c r="B76" s="10"/>
      <c r="C76" s="26"/>
      <c r="D76" s="8"/>
      <c r="E76" s="8"/>
      <c r="F76" s="14">
        <v>1</v>
      </c>
      <c r="G76" s="14">
        <v>3.22</v>
      </c>
      <c r="H76" s="14">
        <v>0.5</v>
      </c>
      <c r="I76" s="14">
        <v>0.1</v>
      </c>
      <c r="J76" s="14">
        <f>F76*G76*H76*I76</f>
        <v>0.16100000000000003</v>
      </c>
      <c r="K76" s="157"/>
      <c r="L76" s="157"/>
      <c r="M76" s="141"/>
      <c r="N76" s="141"/>
      <c r="O76" s="141"/>
    </row>
    <row r="77" spans="1:15" ht="12.6" customHeight="1">
      <c r="A77" s="10"/>
      <c r="B77" s="10"/>
      <c r="C77" s="9"/>
      <c r="D77" s="8"/>
      <c r="E77" s="8"/>
      <c r="F77" s="14">
        <v>1</v>
      </c>
      <c r="G77" s="14">
        <v>2.25</v>
      </c>
      <c r="H77" s="14">
        <v>0.5</v>
      </c>
      <c r="I77" s="14">
        <v>0.1</v>
      </c>
      <c r="J77" s="14">
        <f>F77*G77*H77*I77</f>
        <v>0.1125</v>
      </c>
      <c r="K77" s="157"/>
      <c r="L77" s="157">
        <f>SUM(L67:L75)</f>
        <v>148.67000000000002</v>
      </c>
      <c r="M77" s="141"/>
      <c r="N77" s="141"/>
      <c r="O77" s="141"/>
    </row>
    <row r="78" spans="1:15" ht="12.6" customHeight="1">
      <c r="A78" s="10"/>
      <c r="B78" s="10"/>
      <c r="C78" s="9"/>
      <c r="D78" s="8"/>
      <c r="E78" s="8"/>
      <c r="F78" s="14"/>
      <c r="G78" s="14"/>
      <c r="H78" s="8"/>
      <c r="I78" s="8"/>
      <c r="J78" s="32"/>
      <c r="K78" s="157"/>
      <c r="L78" s="157"/>
      <c r="M78" s="141"/>
      <c r="N78" s="141"/>
      <c r="O78" s="141"/>
    </row>
    <row r="79" spans="1:15" ht="12.6" customHeight="1">
      <c r="A79" s="10"/>
      <c r="B79" s="10"/>
      <c r="C79" s="9"/>
      <c r="D79" s="8"/>
      <c r="E79" s="8"/>
      <c r="F79" s="14"/>
      <c r="G79" s="14"/>
      <c r="H79" s="8"/>
      <c r="I79" s="8" t="s">
        <v>491</v>
      </c>
      <c r="J79" s="32">
        <f>SUM(J65:J77)</f>
        <v>21.375750000000004</v>
      </c>
      <c r="K79" s="157"/>
      <c r="L79" s="157"/>
      <c r="M79" s="141"/>
      <c r="N79" s="141"/>
      <c r="O79" s="141"/>
    </row>
    <row r="80" spans="1:15" ht="14.25">
      <c r="A80" s="10"/>
      <c r="B80" s="10"/>
      <c r="C80" s="9"/>
      <c r="D80" s="8"/>
      <c r="E80" s="8"/>
      <c r="F80" s="8"/>
      <c r="G80" s="8"/>
      <c r="H80" s="8"/>
      <c r="I80" s="8" t="s">
        <v>492</v>
      </c>
      <c r="J80" s="32">
        <f>J79</f>
        <v>21.375750000000004</v>
      </c>
      <c r="K80" s="157"/>
      <c r="L80" s="157"/>
      <c r="M80" s="141"/>
      <c r="N80" s="141"/>
      <c r="O80" s="141"/>
    </row>
    <row r="81" spans="1:15" ht="94.5" customHeight="1">
      <c r="A81" s="10" t="s">
        <v>62</v>
      </c>
      <c r="B81" s="10" t="s">
        <v>63</v>
      </c>
      <c r="C81" s="27" t="s">
        <v>515</v>
      </c>
      <c r="D81" s="92"/>
      <c r="E81" s="92"/>
      <c r="F81" s="92"/>
      <c r="G81" s="92"/>
      <c r="H81" s="92"/>
      <c r="I81" s="92"/>
      <c r="J81" s="115"/>
      <c r="K81" s="157"/>
      <c r="L81" s="157"/>
      <c r="M81" s="141"/>
      <c r="N81" s="141"/>
      <c r="O81" s="141"/>
    </row>
    <row r="82" spans="1:15" ht="25.5">
      <c r="A82" s="10"/>
      <c r="B82" s="10" t="s">
        <v>64</v>
      </c>
      <c r="C82" s="27" t="s">
        <v>65</v>
      </c>
      <c r="D82" s="92" t="s">
        <v>469</v>
      </c>
      <c r="E82" s="92"/>
      <c r="F82" s="92"/>
      <c r="G82" s="92"/>
      <c r="H82" s="92"/>
      <c r="I82" s="92"/>
      <c r="J82" s="114" t="s">
        <v>471</v>
      </c>
      <c r="K82" s="157"/>
      <c r="L82" s="157"/>
      <c r="M82" s="141"/>
      <c r="N82" s="141"/>
      <c r="O82" s="141"/>
    </row>
    <row r="83" spans="1:15" ht="14.25">
      <c r="A83" s="10"/>
      <c r="B83" s="10"/>
      <c r="C83" s="26" t="s">
        <v>516</v>
      </c>
      <c r="D83" s="92"/>
      <c r="E83" s="92"/>
      <c r="F83" s="8">
        <v>1</v>
      </c>
      <c r="G83" s="8">
        <v>70</v>
      </c>
      <c r="H83" s="8">
        <v>0.23</v>
      </c>
      <c r="I83" s="8">
        <v>0.115</v>
      </c>
      <c r="J83" s="14">
        <f>F83*G83*H83*I83</f>
        <v>1.8515000000000001</v>
      </c>
      <c r="K83" s="157"/>
      <c r="L83" s="157"/>
      <c r="M83" s="141"/>
      <c r="N83" s="141"/>
      <c r="O83" s="141"/>
    </row>
    <row r="84" spans="1:15" ht="14.25">
      <c r="A84" s="10"/>
      <c r="B84" s="10"/>
      <c r="C84" s="26"/>
      <c r="D84" s="92"/>
      <c r="E84" s="92"/>
      <c r="F84" s="8"/>
      <c r="G84" s="8"/>
      <c r="H84" s="8"/>
      <c r="I84" s="8"/>
      <c r="J84" s="14"/>
      <c r="K84" s="157"/>
      <c r="L84" s="157"/>
      <c r="M84" s="141"/>
      <c r="N84" s="141"/>
      <c r="O84" s="141"/>
    </row>
    <row r="85" spans="1:15" ht="14.25">
      <c r="A85" s="10"/>
      <c r="B85" s="10"/>
      <c r="C85" s="26"/>
      <c r="D85" s="92"/>
      <c r="E85" s="92"/>
      <c r="F85" s="8"/>
      <c r="G85" s="8"/>
      <c r="H85" s="8"/>
      <c r="I85" s="23" t="s">
        <v>491</v>
      </c>
      <c r="J85" s="32">
        <f>SUM(J83:J84)</f>
        <v>1.8515000000000001</v>
      </c>
      <c r="K85" s="157"/>
      <c r="L85" s="157"/>
      <c r="M85" s="141"/>
      <c r="N85" s="141"/>
      <c r="O85" s="141"/>
    </row>
    <row r="86" spans="1:15" ht="14.25">
      <c r="A86" s="10"/>
      <c r="B86" s="10"/>
      <c r="C86" s="26"/>
      <c r="D86" s="92"/>
      <c r="E86" s="92"/>
      <c r="F86" s="8"/>
      <c r="G86" s="8"/>
      <c r="H86" s="8"/>
      <c r="I86" s="23" t="s">
        <v>492</v>
      </c>
      <c r="J86" s="32">
        <v>5</v>
      </c>
      <c r="K86" s="157"/>
      <c r="L86" s="157"/>
      <c r="M86" s="141"/>
      <c r="N86" s="141"/>
      <c r="O86" s="141"/>
    </row>
    <row r="87" spans="1:15" ht="25.5">
      <c r="A87" s="10" t="s">
        <v>66</v>
      </c>
      <c r="B87" s="10" t="s">
        <v>67</v>
      </c>
      <c r="C87" s="27" t="s">
        <v>68</v>
      </c>
      <c r="D87" s="92"/>
      <c r="E87" s="92"/>
      <c r="F87" s="92"/>
      <c r="G87" s="92"/>
      <c r="H87" s="92"/>
      <c r="I87" s="92"/>
      <c r="J87" s="14"/>
      <c r="K87" s="157"/>
      <c r="L87" s="157"/>
      <c r="M87" s="141"/>
      <c r="N87" s="141"/>
      <c r="O87" s="141"/>
    </row>
    <row r="88" spans="1:15" ht="14.25">
      <c r="A88" s="10"/>
      <c r="B88" s="10" t="s">
        <v>70</v>
      </c>
      <c r="C88" s="27" t="s">
        <v>71</v>
      </c>
      <c r="D88" s="92" t="s">
        <v>72</v>
      </c>
      <c r="E88" s="92"/>
      <c r="F88" s="92"/>
      <c r="G88" s="92"/>
      <c r="H88" s="92"/>
      <c r="I88" s="92"/>
      <c r="J88" s="14"/>
      <c r="K88" s="157"/>
      <c r="L88" s="157"/>
      <c r="M88" s="141"/>
      <c r="N88" s="141"/>
      <c r="O88" s="141"/>
    </row>
    <row r="89" spans="1:15" ht="14.25">
      <c r="A89" s="10"/>
      <c r="B89" s="10"/>
      <c r="C89" s="27" t="s">
        <v>517</v>
      </c>
      <c r="D89" s="92"/>
      <c r="E89" s="92"/>
      <c r="F89" s="92">
        <v>27</v>
      </c>
      <c r="G89" s="92">
        <f>2.3+2.3+2.3+2.3</f>
        <v>9.1999999999999993</v>
      </c>
      <c r="H89" s="92">
        <v>0.15</v>
      </c>
      <c r="I89" s="92">
        <f>H89*G89*F89</f>
        <v>37.26</v>
      </c>
      <c r="J89" s="14">
        <f>I89</f>
        <v>37.26</v>
      </c>
      <c r="K89" s="157"/>
      <c r="L89" s="157"/>
      <c r="M89" s="141"/>
      <c r="N89" s="141"/>
      <c r="O89" s="141"/>
    </row>
    <row r="90" spans="1:15" ht="14.25">
      <c r="A90" s="10"/>
      <c r="B90" s="10"/>
      <c r="C90" s="27"/>
      <c r="D90" s="92"/>
      <c r="E90" s="92"/>
      <c r="F90" s="92"/>
      <c r="G90" s="92"/>
      <c r="H90" s="92"/>
      <c r="I90" s="92"/>
      <c r="J90" s="14"/>
      <c r="K90" s="157"/>
      <c r="L90" s="157"/>
      <c r="M90" s="141"/>
      <c r="N90" s="141"/>
      <c r="O90" s="141"/>
    </row>
    <row r="91" spans="1:15" ht="14.25">
      <c r="A91" s="10"/>
      <c r="B91" s="10"/>
      <c r="C91" s="9"/>
      <c r="D91" s="8"/>
      <c r="E91" s="8"/>
      <c r="F91" s="8"/>
      <c r="G91" s="8"/>
      <c r="H91" s="8"/>
      <c r="I91" s="23" t="s">
        <v>491</v>
      </c>
      <c r="J91" s="32">
        <f>J90+J89</f>
        <v>37.26</v>
      </c>
      <c r="K91" s="158"/>
      <c r="L91" s="157"/>
      <c r="M91" s="141"/>
      <c r="N91" s="141"/>
      <c r="O91" s="141"/>
    </row>
    <row r="92" spans="1:15" ht="14.25">
      <c r="A92" s="10"/>
      <c r="B92" s="10"/>
      <c r="C92" s="9"/>
      <c r="D92" s="8"/>
      <c r="E92" s="8"/>
      <c r="F92" s="8"/>
      <c r="G92" s="8"/>
      <c r="H92" s="8"/>
      <c r="I92" s="23" t="s">
        <v>492</v>
      </c>
      <c r="J92" s="32">
        <f>J91</f>
        <v>37.26</v>
      </c>
      <c r="K92" s="157"/>
      <c r="L92" s="157"/>
      <c r="M92" s="141"/>
      <c r="N92" s="141"/>
      <c r="O92" s="141"/>
    </row>
    <row r="93" spans="1:15" ht="38.25">
      <c r="A93" s="10" t="s">
        <v>73</v>
      </c>
      <c r="B93" s="10" t="s">
        <v>74</v>
      </c>
      <c r="C93" s="9" t="s">
        <v>75</v>
      </c>
      <c r="D93" s="8" t="s">
        <v>518</v>
      </c>
      <c r="E93" s="8"/>
      <c r="F93" s="8"/>
      <c r="G93" s="8"/>
      <c r="H93" s="8"/>
      <c r="I93" s="23"/>
      <c r="J93" s="32"/>
      <c r="K93" s="157"/>
      <c r="L93" s="157"/>
      <c r="M93" s="141"/>
      <c r="N93" s="141"/>
      <c r="O93" s="141"/>
    </row>
    <row r="94" spans="1:15" ht="14.25">
      <c r="A94" s="10"/>
      <c r="B94" s="10"/>
      <c r="C94" s="26" t="s">
        <v>519</v>
      </c>
      <c r="D94" s="18"/>
      <c r="E94" s="18" t="s">
        <v>471</v>
      </c>
      <c r="F94" s="18">
        <v>1</v>
      </c>
      <c r="G94" s="18">
        <v>70</v>
      </c>
      <c r="H94" s="18">
        <v>0.23</v>
      </c>
      <c r="I94" s="17"/>
      <c r="J94" s="87">
        <f>F94*G94*H94</f>
        <v>16.100000000000001</v>
      </c>
      <c r="K94" s="157"/>
      <c r="L94" s="157"/>
      <c r="M94" s="141"/>
      <c r="N94" s="141"/>
      <c r="O94" s="141"/>
    </row>
    <row r="95" spans="1:15" ht="14.25">
      <c r="A95" s="10" t="s">
        <v>471</v>
      </c>
      <c r="B95" s="10"/>
      <c r="C95" s="9" t="s">
        <v>471</v>
      </c>
      <c r="D95" s="8"/>
      <c r="E95" s="8"/>
      <c r="F95" s="8"/>
      <c r="G95" s="8"/>
      <c r="H95" s="8"/>
      <c r="I95" s="23" t="s">
        <v>492</v>
      </c>
      <c r="J95" s="32">
        <f>J94</f>
        <v>16.100000000000001</v>
      </c>
      <c r="K95" s="157"/>
      <c r="L95" s="157"/>
      <c r="M95" s="141"/>
      <c r="N95" s="141"/>
      <c r="O95" s="141"/>
    </row>
    <row r="96" spans="1:15" ht="38.25">
      <c r="A96" s="10" t="s">
        <v>76</v>
      </c>
      <c r="B96" s="10" t="s">
        <v>77</v>
      </c>
      <c r="C96" s="9" t="s">
        <v>520</v>
      </c>
      <c r="D96" s="18" t="s">
        <v>521</v>
      </c>
      <c r="E96" s="18">
        <v>1</v>
      </c>
      <c r="F96" s="22">
        <f>J94</f>
        <v>16.100000000000001</v>
      </c>
      <c r="G96" s="18">
        <v>0.04</v>
      </c>
      <c r="H96" s="18">
        <f>320/50</f>
        <v>6.4</v>
      </c>
      <c r="I96" s="17"/>
      <c r="J96" s="87">
        <f>E96*F96*G96*H96</f>
        <v>4.1215999999999999</v>
      </c>
      <c r="K96" s="157"/>
      <c r="L96" s="157"/>
      <c r="M96" s="141"/>
      <c r="N96" s="141"/>
      <c r="O96" s="141"/>
    </row>
    <row r="97" spans="1:15" ht="14.25">
      <c r="A97" s="10"/>
      <c r="B97" s="10"/>
      <c r="C97" s="9" t="s">
        <v>471</v>
      </c>
      <c r="D97" s="8"/>
      <c r="E97" s="8"/>
      <c r="F97" s="8"/>
      <c r="G97" s="8"/>
      <c r="H97" s="8"/>
      <c r="I97" s="23" t="s">
        <v>492</v>
      </c>
      <c r="J97" s="32">
        <f>J96</f>
        <v>4.1215999999999999</v>
      </c>
      <c r="K97" s="157"/>
      <c r="L97" s="157"/>
      <c r="M97" s="141"/>
      <c r="N97" s="141"/>
      <c r="O97" s="141"/>
    </row>
    <row r="98" spans="1:15" ht="63.75">
      <c r="A98" s="10" t="s">
        <v>78</v>
      </c>
      <c r="B98" s="10" t="s">
        <v>79</v>
      </c>
      <c r="C98" s="9" t="s">
        <v>522</v>
      </c>
      <c r="D98" s="18" t="s">
        <v>518</v>
      </c>
      <c r="E98" s="18"/>
      <c r="F98" s="18">
        <v>1</v>
      </c>
      <c r="G98" s="18">
        <v>70</v>
      </c>
      <c r="H98" s="18">
        <v>0.23</v>
      </c>
      <c r="I98" s="17"/>
      <c r="J98" s="87">
        <f>F98*G98*H98</f>
        <v>16.100000000000001</v>
      </c>
      <c r="K98" s="157"/>
      <c r="L98" s="157"/>
      <c r="M98" s="141"/>
      <c r="N98" s="141"/>
      <c r="O98" s="141"/>
    </row>
    <row r="99" spans="1:15" ht="14.25">
      <c r="A99" s="10"/>
      <c r="B99" s="10"/>
      <c r="C99" s="9" t="s">
        <v>471</v>
      </c>
      <c r="D99" s="18"/>
      <c r="E99" s="18"/>
      <c r="F99" s="18"/>
      <c r="G99" s="18"/>
      <c r="H99" s="18"/>
      <c r="I99" s="17" t="s">
        <v>492</v>
      </c>
      <c r="J99" s="87">
        <f>J98</f>
        <v>16.100000000000001</v>
      </c>
      <c r="K99" s="157"/>
      <c r="L99" s="157"/>
      <c r="M99" s="141"/>
      <c r="N99" s="141"/>
      <c r="O99" s="141"/>
    </row>
    <row r="100" spans="1:15" ht="76.5">
      <c r="A100" s="10" t="s">
        <v>80</v>
      </c>
      <c r="B100" s="10" t="s">
        <v>81</v>
      </c>
      <c r="C100" s="28" t="s">
        <v>523</v>
      </c>
      <c r="D100" s="18" t="s">
        <v>518</v>
      </c>
      <c r="E100" s="18"/>
      <c r="F100" s="18">
        <v>1</v>
      </c>
      <c r="G100" s="18">
        <v>70</v>
      </c>
      <c r="H100" s="18">
        <v>0.75</v>
      </c>
      <c r="I100" s="18" t="s">
        <v>471</v>
      </c>
      <c r="J100" s="17">
        <f>F100*G100*H100</f>
        <v>52.5</v>
      </c>
      <c r="K100" s="157" t="s">
        <v>471</v>
      </c>
      <c r="L100" s="157"/>
      <c r="M100" s="141"/>
      <c r="N100" s="141"/>
      <c r="O100" s="141"/>
    </row>
    <row r="101" spans="1:15" ht="14.25">
      <c r="A101" s="10"/>
      <c r="B101" s="10"/>
      <c r="C101" s="9"/>
      <c r="D101" s="8"/>
      <c r="E101" s="8"/>
      <c r="F101" s="8"/>
      <c r="G101" s="8"/>
      <c r="H101" s="8"/>
      <c r="I101" s="23" t="s">
        <v>492</v>
      </c>
      <c r="J101" s="32">
        <f>J100</f>
        <v>52.5</v>
      </c>
      <c r="K101" s="157" t="s">
        <v>471</v>
      </c>
      <c r="L101" s="157"/>
      <c r="M101" s="141"/>
      <c r="N101" s="141"/>
      <c r="O101" s="141"/>
    </row>
    <row r="102" spans="1:15" ht="14.25">
      <c r="A102" s="10"/>
      <c r="B102" s="10"/>
      <c r="C102" s="132"/>
      <c r="D102" s="8"/>
      <c r="E102" s="8"/>
      <c r="F102" s="8"/>
      <c r="G102" s="8"/>
      <c r="H102" s="8"/>
      <c r="I102" s="23"/>
      <c r="J102" s="32"/>
      <c r="K102" s="157"/>
      <c r="L102" s="157"/>
      <c r="M102" s="141"/>
      <c r="N102" s="141"/>
      <c r="O102" s="141"/>
    </row>
    <row r="103" spans="1:15" ht="25.5">
      <c r="A103" s="10" t="s">
        <v>524</v>
      </c>
      <c r="B103" s="10" t="s">
        <v>82</v>
      </c>
      <c r="C103" s="28" t="s">
        <v>83</v>
      </c>
      <c r="D103" s="8"/>
      <c r="E103" s="8"/>
      <c r="F103" s="8"/>
      <c r="G103" s="8"/>
      <c r="H103" s="8"/>
      <c r="I103" s="8"/>
      <c r="J103" s="14"/>
      <c r="K103" s="157"/>
      <c r="L103" s="157"/>
      <c r="M103" s="141"/>
      <c r="N103" s="141"/>
      <c r="O103" s="141"/>
    </row>
    <row r="104" spans="1:15" ht="14.25">
      <c r="A104" s="10"/>
      <c r="B104" s="10"/>
      <c r="C104" s="28"/>
      <c r="D104" s="8"/>
      <c r="E104" s="8"/>
      <c r="F104" s="8"/>
      <c r="G104" s="8"/>
      <c r="H104" s="8"/>
      <c r="I104" s="8"/>
      <c r="J104" s="14"/>
      <c r="K104" s="157"/>
      <c r="L104" s="157"/>
      <c r="M104" s="141"/>
      <c r="N104" s="141"/>
      <c r="O104" s="141"/>
    </row>
    <row r="105" spans="1:15" ht="25.5">
      <c r="A105" s="10" t="s">
        <v>84</v>
      </c>
      <c r="B105" s="10" t="s">
        <v>85</v>
      </c>
      <c r="C105" s="28" t="s">
        <v>86</v>
      </c>
      <c r="D105" s="8" t="s">
        <v>525</v>
      </c>
      <c r="E105" s="8"/>
      <c r="F105" s="8"/>
      <c r="G105" s="8"/>
      <c r="H105" s="8"/>
      <c r="I105" s="8"/>
      <c r="J105" s="14"/>
      <c r="K105" s="157"/>
      <c r="L105" s="157"/>
      <c r="M105" s="141"/>
      <c r="N105" s="141"/>
      <c r="O105" s="141"/>
    </row>
    <row r="106" spans="1:15" ht="14.25">
      <c r="A106" s="10"/>
      <c r="B106" s="10"/>
      <c r="C106" s="28"/>
      <c r="D106" s="8"/>
      <c r="E106" s="8"/>
      <c r="F106" s="8"/>
      <c r="G106" s="8"/>
      <c r="H106" s="8"/>
      <c r="I106" s="8"/>
      <c r="J106" s="14"/>
      <c r="K106" s="157"/>
      <c r="L106" s="157"/>
      <c r="M106" s="141"/>
      <c r="N106" s="141"/>
      <c r="O106" s="141"/>
    </row>
    <row r="107" spans="1:15" ht="14.25">
      <c r="A107" s="10"/>
      <c r="B107" s="10"/>
      <c r="C107" s="28" t="s">
        <v>526</v>
      </c>
      <c r="D107" s="8"/>
      <c r="E107" s="8">
        <v>27</v>
      </c>
      <c r="F107" s="8">
        <v>2</v>
      </c>
      <c r="G107" s="8">
        <v>2</v>
      </c>
      <c r="H107" s="8">
        <v>4</v>
      </c>
      <c r="I107" s="8">
        <v>0.6</v>
      </c>
      <c r="J107" s="14">
        <f>I107*H107*G107*F107*E107</f>
        <v>259.2</v>
      </c>
      <c r="K107" s="157"/>
      <c r="L107" s="157"/>
      <c r="M107" s="141"/>
      <c r="N107" s="141"/>
      <c r="O107" s="141"/>
    </row>
    <row r="108" spans="1:15" ht="14.25">
      <c r="A108" s="10"/>
      <c r="B108" s="10"/>
      <c r="C108" s="26"/>
      <c r="D108" s="8"/>
      <c r="E108" s="8"/>
      <c r="F108" s="8"/>
      <c r="G108" s="8"/>
      <c r="H108" s="8"/>
      <c r="I108" s="8"/>
      <c r="J108" s="14"/>
      <c r="K108" s="157"/>
      <c r="L108" s="157"/>
      <c r="M108" s="141"/>
      <c r="N108" s="141"/>
      <c r="O108" s="141"/>
    </row>
    <row r="109" spans="1:15" ht="14.25">
      <c r="A109" s="10"/>
      <c r="B109" s="10"/>
      <c r="C109" s="9"/>
      <c r="D109" s="8"/>
      <c r="E109" s="8"/>
      <c r="F109" s="8"/>
      <c r="G109" s="8"/>
      <c r="H109" s="8"/>
      <c r="I109" s="23" t="s">
        <v>491</v>
      </c>
      <c r="J109" s="32">
        <f>J107+J106</f>
        <v>259.2</v>
      </c>
      <c r="K109" s="157"/>
      <c r="L109" s="157"/>
      <c r="M109" s="141"/>
      <c r="N109" s="141"/>
      <c r="O109" s="141"/>
    </row>
    <row r="110" spans="1:15" ht="14.25">
      <c r="A110" s="10"/>
      <c r="B110" s="10"/>
      <c r="C110" s="9"/>
      <c r="D110" s="8"/>
      <c r="E110" s="8"/>
      <c r="F110" s="8"/>
      <c r="G110" s="8"/>
      <c r="H110" s="8"/>
      <c r="I110" s="24" t="s">
        <v>492</v>
      </c>
      <c r="J110" s="23">
        <f>J109</f>
        <v>259.2</v>
      </c>
      <c r="K110" s="157"/>
      <c r="L110" s="157"/>
      <c r="M110" s="141"/>
      <c r="N110" s="141"/>
      <c r="O110" s="141"/>
    </row>
    <row r="111" spans="1:15" ht="33.75" customHeight="1">
      <c r="A111" s="10" t="s">
        <v>87</v>
      </c>
      <c r="B111" s="10" t="s">
        <v>88</v>
      </c>
      <c r="C111" s="27" t="s">
        <v>527</v>
      </c>
      <c r="D111" s="8" t="s">
        <v>525</v>
      </c>
      <c r="E111" s="8">
        <v>1</v>
      </c>
      <c r="F111" s="8">
        <v>3</v>
      </c>
      <c r="G111" s="8">
        <v>2.6</v>
      </c>
      <c r="H111" s="8"/>
      <c r="I111" s="8"/>
      <c r="J111" s="14">
        <f>G111*F111*E111</f>
        <v>7.8000000000000007</v>
      </c>
      <c r="K111" s="157"/>
      <c r="L111" s="157"/>
      <c r="M111" s="141"/>
      <c r="N111" s="141"/>
      <c r="O111" s="141"/>
    </row>
    <row r="112" spans="1:15" ht="33.75" customHeight="1">
      <c r="A112" s="10"/>
      <c r="B112" s="10"/>
      <c r="C112" s="27"/>
      <c r="D112" s="8"/>
      <c r="E112" s="8">
        <v>1</v>
      </c>
      <c r="F112" s="8">
        <v>6</v>
      </c>
      <c r="G112" s="8">
        <v>2.6</v>
      </c>
      <c r="H112" s="8"/>
      <c r="I112" s="8"/>
      <c r="J112" s="14">
        <f>G112*F112*E112</f>
        <v>15.600000000000001</v>
      </c>
      <c r="K112" s="157"/>
      <c r="L112" s="157"/>
      <c r="M112" s="141"/>
      <c r="N112" s="141"/>
      <c r="O112" s="141"/>
    </row>
    <row r="113" spans="1:15" ht="14.25">
      <c r="A113" s="106"/>
      <c r="B113" s="10"/>
      <c r="C113" s="9"/>
      <c r="D113" s="8"/>
      <c r="E113" s="8"/>
      <c r="F113" s="8"/>
      <c r="G113" s="8"/>
      <c r="H113" s="8"/>
      <c r="I113" s="23" t="s">
        <v>491</v>
      </c>
      <c r="J113" s="32">
        <f>J112+J111</f>
        <v>23.400000000000002</v>
      </c>
      <c r="K113" s="157"/>
      <c r="L113" s="157"/>
      <c r="M113" s="141"/>
      <c r="N113" s="141"/>
      <c r="O113" s="141"/>
    </row>
    <row r="114" spans="1:15" ht="14.25">
      <c r="A114" s="106"/>
      <c r="B114" s="10"/>
      <c r="C114" s="9"/>
      <c r="D114" s="8"/>
      <c r="E114" s="8"/>
      <c r="F114" s="8"/>
      <c r="G114" s="8"/>
      <c r="H114" s="8"/>
      <c r="I114" s="24" t="s">
        <v>492</v>
      </c>
      <c r="J114" s="23">
        <f>J113</f>
        <v>23.400000000000002</v>
      </c>
      <c r="K114" s="157"/>
      <c r="L114" s="157"/>
      <c r="M114" s="141"/>
      <c r="N114" s="141"/>
      <c r="O114" s="141"/>
    </row>
    <row r="115" spans="1:15" ht="25.5">
      <c r="A115" s="106" t="s">
        <v>89</v>
      </c>
      <c r="B115" s="10" t="s">
        <v>90</v>
      </c>
      <c r="C115" s="27" t="s">
        <v>91</v>
      </c>
      <c r="D115" s="8" t="s">
        <v>525</v>
      </c>
      <c r="E115" s="8"/>
      <c r="F115" s="8"/>
      <c r="G115" s="8"/>
      <c r="H115" s="8"/>
      <c r="I115" s="8"/>
      <c r="J115" s="14"/>
      <c r="K115" s="157"/>
      <c r="L115" s="157"/>
      <c r="M115" s="141"/>
      <c r="N115" s="141"/>
      <c r="O115" s="141"/>
    </row>
    <row r="116" spans="1:15" ht="14.25">
      <c r="A116" s="106"/>
      <c r="B116" s="10"/>
      <c r="C116" s="9" t="s">
        <v>528</v>
      </c>
      <c r="D116" s="8" t="s">
        <v>471</v>
      </c>
      <c r="E116" s="8"/>
      <c r="F116" s="8" t="s">
        <v>471</v>
      </c>
      <c r="G116" s="8" t="s">
        <v>471</v>
      </c>
      <c r="H116" s="8" t="s">
        <v>471</v>
      </c>
      <c r="I116" s="8"/>
      <c r="J116" s="14" t="s">
        <v>471</v>
      </c>
      <c r="K116" s="157"/>
      <c r="L116" s="157"/>
      <c r="M116" s="141"/>
      <c r="N116" s="141"/>
      <c r="O116" s="141"/>
    </row>
    <row r="117" spans="1:15" ht="14.25">
      <c r="A117" s="106"/>
      <c r="B117" s="10"/>
      <c r="C117" s="26" t="s">
        <v>841</v>
      </c>
      <c r="D117" s="8" t="s">
        <v>525</v>
      </c>
      <c r="E117" s="8">
        <v>1</v>
      </c>
      <c r="F117" s="8"/>
      <c r="G117" s="8"/>
      <c r="H117" s="14"/>
      <c r="I117" s="14" t="s">
        <v>471</v>
      </c>
      <c r="J117" s="14">
        <v>211</v>
      </c>
      <c r="K117" s="157"/>
      <c r="L117" s="157"/>
      <c r="M117" s="141"/>
      <c r="N117" s="141"/>
      <c r="O117" s="141"/>
    </row>
    <row r="118" spans="1:15" ht="14.25">
      <c r="A118" s="106"/>
      <c r="B118" s="10"/>
      <c r="C118" s="26"/>
      <c r="D118" s="8"/>
      <c r="E118" s="8"/>
      <c r="F118" s="8"/>
      <c r="G118" s="8"/>
      <c r="H118" s="14"/>
      <c r="I118" s="14"/>
      <c r="J118" s="14"/>
      <c r="K118" s="157"/>
      <c r="L118" s="157"/>
      <c r="M118" s="141"/>
      <c r="N118" s="141"/>
      <c r="O118" s="141"/>
    </row>
    <row r="119" spans="1:15" ht="14.25">
      <c r="A119" s="106"/>
      <c r="B119" s="10"/>
      <c r="C119" s="26"/>
      <c r="D119" s="8"/>
      <c r="E119" s="8"/>
      <c r="F119" s="8"/>
      <c r="G119" s="8"/>
      <c r="H119" s="14"/>
      <c r="I119" s="8"/>
      <c r="J119" s="14"/>
      <c r="K119" s="157"/>
      <c r="L119" s="157"/>
      <c r="M119" s="141"/>
      <c r="N119" s="141"/>
      <c r="O119" s="141"/>
    </row>
    <row r="120" spans="1:15" ht="14.25">
      <c r="A120" s="106"/>
      <c r="B120" s="10"/>
      <c r="C120" s="9"/>
      <c r="D120" s="8"/>
      <c r="E120" s="8"/>
      <c r="F120" s="8"/>
      <c r="G120" s="8"/>
      <c r="H120" s="8"/>
      <c r="I120" s="23" t="s">
        <v>491</v>
      </c>
      <c r="J120" s="32">
        <f>SUM(J116:J118)</f>
        <v>211</v>
      </c>
      <c r="K120" s="157"/>
      <c r="L120" s="157"/>
      <c r="M120" s="141"/>
      <c r="N120" s="141"/>
      <c r="O120" s="141"/>
    </row>
    <row r="121" spans="1:15" ht="14.25">
      <c r="A121" s="106"/>
      <c r="B121" s="10"/>
      <c r="C121" s="9"/>
      <c r="D121" s="8"/>
      <c r="E121" s="8"/>
      <c r="F121" s="8"/>
      <c r="G121" s="8"/>
      <c r="H121" s="8"/>
      <c r="I121" s="24" t="s">
        <v>492</v>
      </c>
      <c r="J121" s="23">
        <f>J120</f>
        <v>211</v>
      </c>
      <c r="K121" s="157"/>
      <c r="L121" s="157"/>
      <c r="M121" s="141"/>
      <c r="N121" s="141"/>
      <c r="O121" s="141"/>
    </row>
    <row r="122" spans="1:15" ht="25.5">
      <c r="A122" s="106" t="s">
        <v>533</v>
      </c>
      <c r="B122" s="10" t="s">
        <v>93</v>
      </c>
      <c r="C122" s="27" t="s">
        <v>94</v>
      </c>
      <c r="D122" s="8" t="s">
        <v>525</v>
      </c>
      <c r="E122" s="8"/>
      <c r="F122" s="8"/>
      <c r="G122" s="8"/>
      <c r="H122" s="8"/>
      <c r="I122" s="8"/>
      <c r="J122" s="14" t="s">
        <v>471</v>
      </c>
      <c r="K122" s="157"/>
      <c r="L122" s="157"/>
      <c r="M122" s="141"/>
      <c r="N122" s="141"/>
      <c r="O122" s="141"/>
    </row>
    <row r="123" spans="1:15" ht="14.25">
      <c r="A123" s="106"/>
      <c r="B123" s="10"/>
      <c r="C123" s="66" t="s">
        <v>499</v>
      </c>
      <c r="D123" s="8"/>
      <c r="E123" s="8"/>
      <c r="F123" s="8"/>
      <c r="G123" s="111"/>
      <c r="H123" s="111"/>
      <c r="I123" s="111"/>
      <c r="J123" s="14"/>
      <c r="K123" s="157"/>
      <c r="L123" s="157"/>
      <c r="M123" s="141"/>
      <c r="N123" s="141"/>
      <c r="O123" s="141"/>
    </row>
    <row r="124" spans="1:15" ht="14.25">
      <c r="A124" s="106"/>
      <c r="B124" s="10"/>
      <c r="C124" s="26"/>
      <c r="D124" s="8" t="s">
        <v>525</v>
      </c>
      <c r="E124" s="8"/>
      <c r="F124" s="14">
        <v>2</v>
      </c>
      <c r="G124" s="14">
        <v>18.96</v>
      </c>
      <c r="H124" s="14"/>
      <c r="I124" s="14">
        <f>0.35+0.35+0.23</f>
        <v>0.92999999999999994</v>
      </c>
      <c r="J124" s="14">
        <f>I124*G124*F124</f>
        <v>35.265599999999999</v>
      </c>
      <c r="K124" s="157"/>
      <c r="L124" s="157"/>
      <c r="M124" s="141"/>
      <c r="N124" s="141"/>
      <c r="O124" s="141"/>
    </row>
    <row r="125" spans="1:15" ht="14.25">
      <c r="A125" s="106"/>
      <c r="B125" s="10"/>
      <c r="C125" s="26"/>
      <c r="D125" s="8" t="s">
        <v>525</v>
      </c>
      <c r="E125" s="8"/>
      <c r="F125" s="14">
        <v>1</v>
      </c>
      <c r="G125" s="14">
        <v>1.8</v>
      </c>
      <c r="H125" s="14"/>
      <c r="I125" s="14">
        <f t="shared" ref="I125:I134" si="5">0.35+0.35+0.23</f>
        <v>0.92999999999999994</v>
      </c>
      <c r="J125" s="14">
        <f t="shared" ref="J125:J132" si="6">I125*G125*F125</f>
        <v>1.6739999999999999</v>
      </c>
      <c r="K125" s="157"/>
      <c r="L125" s="157"/>
      <c r="M125" s="141"/>
      <c r="N125" s="141"/>
      <c r="O125" s="141"/>
    </row>
    <row r="126" spans="1:15" ht="14.25">
      <c r="A126" s="106"/>
      <c r="B126" s="10"/>
      <c r="C126" s="26"/>
      <c r="D126" s="8" t="s">
        <v>525</v>
      </c>
      <c r="E126" s="8"/>
      <c r="F126" s="14">
        <v>1</v>
      </c>
      <c r="G126" s="14">
        <v>15.07</v>
      </c>
      <c r="H126" s="14"/>
      <c r="I126" s="14">
        <f t="shared" si="5"/>
        <v>0.92999999999999994</v>
      </c>
      <c r="J126" s="14">
        <f t="shared" si="6"/>
        <v>14.015099999999999</v>
      </c>
      <c r="K126" s="157"/>
      <c r="L126" s="157"/>
      <c r="M126" s="141"/>
      <c r="N126" s="141"/>
      <c r="O126" s="141"/>
    </row>
    <row r="127" spans="1:15" ht="14.25">
      <c r="A127" s="106"/>
      <c r="B127" s="10"/>
      <c r="C127" s="26"/>
      <c r="D127" s="8" t="s">
        <v>525</v>
      </c>
      <c r="E127" s="8"/>
      <c r="F127" s="14">
        <v>1</v>
      </c>
      <c r="G127" s="14">
        <v>12.41</v>
      </c>
      <c r="H127" s="14"/>
      <c r="I127" s="14">
        <f t="shared" si="5"/>
        <v>0.92999999999999994</v>
      </c>
      <c r="J127" s="14">
        <f t="shared" si="6"/>
        <v>11.5413</v>
      </c>
      <c r="K127" s="157"/>
      <c r="L127" s="157"/>
      <c r="M127" s="141"/>
      <c r="N127" s="141"/>
      <c r="O127" s="141"/>
    </row>
    <row r="128" spans="1:15" ht="14.25">
      <c r="A128" s="106"/>
      <c r="B128" s="10"/>
      <c r="C128" s="26"/>
      <c r="D128" s="8" t="s">
        <v>525</v>
      </c>
      <c r="E128" s="8"/>
      <c r="F128" s="14">
        <v>1</v>
      </c>
      <c r="G128" s="14">
        <v>3.34</v>
      </c>
      <c r="H128" s="14"/>
      <c r="I128" s="14">
        <f t="shared" si="5"/>
        <v>0.92999999999999994</v>
      </c>
      <c r="J128" s="14">
        <f t="shared" si="6"/>
        <v>3.1061999999999999</v>
      </c>
      <c r="K128" s="157"/>
      <c r="L128" s="157"/>
      <c r="M128" s="141"/>
      <c r="N128" s="141"/>
      <c r="O128" s="141"/>
    </row>
    <row r="129" spans="1:15" ht="14.25">
      <c r="A129" s="106"/>
      <c r="B129" s="10"/>
      <c r="C129" s="26"/>
      <c r="D129" s="8" t="s">
        <v>525</v>
      </c>
      <c r="E129" s="8"/>
      <c r="F129" s="14">
        <v>2</v>
      </c>
      <c r="G129" s="14">
        <v>5</v>
      </c>
      <c r="H129" s="14"/>
      <c r="I129" s="14">
        <f t="shared" si="5"/>
        <v>0.92999999999999994</v>
      </c>
      <c r="J129" s="14">
        <f t="shared" si="6"/>
        <v>9.2999999999999989</v>
      </c>
      <c r="K129" s="157"/>
      <c r="L129" s="157"/>
      <c r="M129" s="141"/>
      <c r="N129" s="141"/>
      <c r="O129" s="141"/>
    </row>
    <row r="130" spans="1:15" ht="14.25">
      <c r="A130" s="106"/>
      <c r="B130" s="10"/>
      <c r="C130" s="26"/>
      <c r="D130" s="8" t="s">
        <v>525</v>
      </c>
      <c r="E130" s="8"/>
      <c r="F130" s="14">
        <v>1</v>
      </c>
      <c r="G130" s="14">
        <v>5.13</v>
      </c>
      <c r="H130" s="14"/>
      <c r="I130" s="14">
        <f t="shared" si="5"/>
        <v>0.92999999999999994</v>
      </c>
      <c r="J130" s="14">
        <f t="shared" si="6"/>
        <v>4.7708999999999993</v>
      </c>
      <c r="K130" s="157"/>
      <c r="L130" s="157"/>
      <c r="M130" s="141"/>
      <c r="N130" s="141"/>
      <c r="O130" s="141"/>
    </row>
    <row r="131" spans="1:15" ht="14.25">
      <c r="A131" s="106"/>
      <c r="B131" s="10"/>
      <c r="C131" s="26"/>
      <c r="D131" s="8" t="s">
        <v>525</v>
      </c>
      <c r="E131" s="8"/>
      <c r="F131" s="14">
        <v>2</v>
      </c>
      <c r="G131" s="14">
        <v>6.14</v>
      </c>
      <c r="H131" s="14"/>
      <c r="I131" s="14">
        <f t="shared" si="5"/>
        <v>0.92999999999999994</v>
      </c>
      <c r="J131" s="14">
        <f t="shared" si="6"/>
        <v>11.420399999999999</v>
      </c>
      <c r="K131" s="157"/>
      <c r="L131" s="157"/>
      <c r="M131" s="141"/>
      <c r="N131" s="141"/>
      <c r="O131" s="141"/>
    </row>
    <row r="132" spans="1:15" ht="14.25">
      <c r="A132" s="106"/>
      <c r="B132" s="10"/>
      <c r="C132" s="26"/>
      <c r="D132" s="8" t="s">
        <v>525</v>
      </c>
      <c r="E132" s="8"/>
      <c r="F132" s="14">
        <v>4</v>
      </c>
      <c r="G132" s="14">
        <v>12.68</v>
      </c>
      <c r="H132" s="14"/>
      <c r="I132" s="14">
        <f t="shared" si="5"/>
        <v>0.92999999999999994</v>
      </c>
      <c r="J132" s="14">
        <f t="shared" si="6"/>
        <v>47.169599999999996</v>
      </c>
      <c r="K132" s="157"/>
      <c r="L132" s="157"/>
      <c r="M132" s="141"/>
      <c r="N132" s="141"/>
      <c r="O132" s="141"/>
    </row>
    <row r="133" spans="1:15" ht="14.25">
      <c r="A133" s="106"/>
      <c r="B133" s="10"/>
      <c r="C133" s="26"/>
      <c r="D133" s="8"/>
      <c r="E133" s="8"/>
      <c r="F133" s="14">
        <v>1</v>
      </c>
      <c r="G133" s="14">
        <v>3.22</v>
      </c>
      <c r="H133" s="14"/>
      <c r="I133" s="14">
        <f t="shared" si="5"/>
        <v>0.92999999999999994</v>
      </c>
      <c r="J133" s="14">
        <f>I133*G133*F133</f>
        <v>2.9946000000000002</v>
      </c>
      <c r="K133" s="157"/>
      <c r="L133" s="157"/>
      <c r="M133" s="141"/>
      <c r="N133" s="141"/>
      <c r="O133" s="141"/>
    </row>
    <row r="134" spans="1:15" ht="14.25">
      <c r="A134" s="106"/>
      <c r="B134" s="10"/>
      <c r="C134" s="26"/>
      <c r="D134" s="8"/>
      <c r="E134" s="8"/>
      <c r="F134" s="14">
        <v>1</v>
      </c>
      <c r="G134" s="14">
        <v>2.25</v>
      </c>
      <c r="H134" s="14"/>
      <c r="I134" s="14">
        <f t="shared" si="5"/>
        <v>0.92999999999999994</v>
      </c>
      <c r="J134" s="14">
        <f>I134*G134*F134</f>
        <v>2.0924999999999998</v>
      </c>
      <c r="K134" s="157"/>
      <c r="L134" s="157"/>
      <c r="M134" s="141"/>
      <c r="N134" s="141"/>
      <c r="O134" s="141"/>
    </row>
    <row r="135" spans="1:15" ht="14.25">
      <c r="A135" s="106"/>
      <c r="B135" s="10"/>
      <c r="C135" s="26"/>
      <c r="D135" s="8"/>
      <c r="E135" s="8"/>
      <c r="F135" s="8"/>
      <c r="G135" s="109"/>
      <c r="H135" s="14"/>
      <c r="I135" s="14"/>
      <c r="J135" s="14" t="s">
        <v>471</v>
      </c>
      <c r="K135" s="157"/>
      <c r="L135" s="157"/>
      <c r="M135" s="141"/>
      <c r="N135" s="141"/>
      <c r="O135" s="141"/>
    </row>
    <row r="136" spans="1:15" ht="14.25">
      <c r="A136" s="106"/>
      <c r="B136" s="10"/>
      <c r="C136" s="113" t="s">
        <v>534</v>
      </c>
      <c r="D136" s="8"/>
      <c r="E136" s="8"/>
      <c r="F136" s="8"/>
      <c r="G136" s="8"/>
      <c r="H136" s="159"/>
      <c r="I136" s="160"/>
      <c r="J136" s="14" t="s">
        <v>471</v>
      </c>
      <c r="K136" s="157"/>
      <c r="L136" s="157"/>
      <c r="M136" s="141"/>
      <c r="N136" s="141"/>
      <c r="O136" s="141"/>
    </row>
    <row r="137" spans="1:15" ht="14.25">
      <c r="A137" s="106"/>
      <c r="B137" s="10"/>
      <c r="C137" s="26"/>
      <c r="D137" s="8" t="s">
        <v>525</v>
      </c>
      <c r="E137" s="8"/>
      <c r="F137" s="14">
        <v>2</v>
      </c>
      <c r="G137" s="14">
        <v>18.96</v>
      </c>
      <c r="H137" s="14"/>
      <c r="I137" s="14">
        <f t="shared" ref="I137:I147" si="7">0.35+0.35+0.23</f>
        <v>0.92999999999999994</v>
      </c>
      <c r="J137" s="14">
        <f>I137*G137*F137</f>
        <v>35.265599999999999</v>
      </c>
      <c r="K137" s="157"/>
      <c r="L137" s="157"/>
      <c r="M137" s="141"/>
      <c r="N137" s="141"/>
      <c r="O137" s="141"/>
    </row>
    <row r="138" spans="1:15" ht="14.25" customHeight="1">
      <c r="A138" s="106"/>
      <c r="B138" s="10"/>
      <c r="C138" s="26"/>
      <c r="D138" s="8" t="s">
        <v>525</v>
      </c>
      <c r="E138" s="8"/>
      <c r="F138" s="14">
        <v>1</v>
      </c>
      <c r="G138" s="14">
        <v>1.8</v>
      </c>
      <c r="H138" s="14"/>
      <c r="I138" s="14">
        <f t="shared" si="7"/>
        <v>0.92999999999999994</v>
      </c>
      <c r="J138" s="14">
        <f t="shared" ref="J138:J145" si="8">I138*G138*F138</f>
        <v>1.6739999999999999</v>
      </c>
      <c r="K138" s="157"/>
      <c r="L138" s="157"/>
      <c r="M138" s="141"/>
      <c r="N138" s="141"/>
      <c r="O138" s="141"/>
    </row>
    <row r="139" spans="1:15" ht="14.25">
      <c r="A139" s="106"/>
      <c r="B139" s="10"/>
      <c r="C139" s="26"/>
      <c r="D139" s="8" t="s">
        <v>525</v>
      </c>
      <c r="E139" s="8"/>
      <c r="F139" s="14">
        <v>1</v>
      </c>
      <c r="G139" s="14">
        <v>15.07</v>
      </c>
      <c r="H139" s="14"/>
      <c r="I139" s="14">
        <f t="shared" si="7"/>
        <v>0.92999999999999994</v>
      </c>
      <c r="J139" s="14">
        <f t="shared" si="8"/>
        <v>14.015099999999999</v>
      </c>
      <c r="K139" s="157"/>
      <c r="L139" s="157"/>
      <c r="M139" s="141"/>
      <c r="N139" s="141"/>
      <c r="O139" s="141"/>
    </row>
    <row r="140" spans="1:15" ht="14.25">
      <c r="A140" s="106"/>
      <c r="B140" s="10"/>
      <c r="C140" s="26"/>
      <c r="D140" s="8" t="s">
        <v>525</v>
      </c>
      <c r="E140" s="8"/>
      <c r="F140" s="14">
        <v>1</v>
      </c>
      <c r="G140" s="14">
        <v>12.41</v>
      </c>
      <c r="H140" s="14"/>
      <c r="I140" s="14">
        <f t="shared" si="7"/>
        <v>0.92999999999999994</v>
      </c>
      <c r="J140" s="14">
        <f t="shared" si="8"/>
        <v>11.5413</v>
      </c>
      <c r="K140" s="157"/>
      <c r="L140" s="157"/>
      <c r="M140" s="141"/>
      <c r="N140" s="141"/>
      <c r="O140" s="141"/>
    </row>
    <row r="141" spans="1:15" ht="14.25" customHeight="1">
      <c r="A141" s="106"/>
      <c r="B141" s="10"/>
      <c r="C141" s="26"/>
      <c r="D141" s="8" t="s">
        <v>525</v>
      </c>
      <c r="E141" s="8"/>
      <c r="F141" s="14">
        <v>1</v>
      </c>
      <c r="G141" s="14">
        <v>3.34</v>
      </c>
      <c r="H141" s="14"/>
      <c r="I141" s="14">
        <f t="shared" si="7"/>
        <v>0.92999999999999994</v>
      </c>
      <c r="J141" s="14">
        <f t="shared" si="8"/>
        <v>3.1061999999999999</v>
      </c>
      <c r="K141" s="157"/>
      <c r="L141" s="157"/>
      <c r="M141" s="141"/>
      <c r="N141" s="141"/>
      <c r="O141" s="141"/>
    </row>
    <row r="142" spans="1:15" ht="14.25">
      <c r="A142" s="106"/>
      <c r="B142" s="10"/>
      <c r="C142" s="26"/>
      <c r="D142" s="8" t="s">
        <v>525</v>
      </c>
      <c r="E142" s="8"/>
      <c r="F142" s="14">
        <v>2</v>
      </c>
      <c r="G142" s="14">
        <v>5</v>
      </c>
      <c r="H142" s="14"/>
      <c r="I142" s="14">
        <f t="shared" si="7"/>
        <v>0.92999999999999994</v>
      </c>
      <c r="J142" s="14">
        <f t="shared" si="8"/>
        <v>9.2999999999999989</v>
      </c>
      <c r="K142" s="157"/>
      <c r="L142" s="157"/>
      <c r="M142" s="141"/>
      <c r="N142" s="141"/>
      <c r="O142" s="141"/>
    </row>
    <row r="143" spans="1:15" ht="14.25">
      <c r="A143" s="106"/>
      <c r="B143" s="10"/>
      <c r="C143" s="26"/>
      <c r="D143" s="8"/>
      <c r="E143" s="8"/>
      <c r="F143" s="14">
        <v>1</v>
      </c>
      <c r="G143" s="14">
        <v>5.13</v>
      </c>
      <c r="H143" s="14"/>
      <c r="I143" s="14">
        <v>0.93</v>
      </c>
      <c r="J143" s="14">
        <f t="shared" si="8"/>
        <v>4.7709000000000001</v>
      </c>
      <c r="K143" s="157"/>
      <c r="L143" s="157"/>
      <c r="M143" s="141"/>
      <c r="N143" s="141"/>
      <c r="O143" s="141"/>
    </row>
    <row r="144" spans="1:15" ht="14.25">
      <c r="A144" s="106"/>
      <c r="B144" s="10"/>
      <c r="C144" s="26"/>
      <c r="D144" s="8" t="s">
        <v>525</v>
      </c>
      <c r="E144" s="8"/>
      <c r="F144" s="14">
        <v>2</v>
      </c>
      <c r="G144" s="14">
        <v>6.14</v>
      </c>
      <c r="H144" s="14"/>
      <c r="I144" s="14">
        <f t="shared" si="7"/>
        <v>0.92999999999999994</v>
      </c>
      <c r="J144" s="14">
        <f t="shared" si="8"/>
        <v>11.420399999999999</v>
      </c>
      <c r="K144" s="157"/>
      <c r="L144" s="157"/>
      <c r="M144" s="141"/>
      <c r="N144" s="141"/>
      <c r="O144" s="141"/>
    </row>
    <row r="145" spans="1:15" ht="14.25">
      <c r="A145" s="106"/>
      <c r="B145" s="10"/>
      <c r="C145" s="26"/>
      <c r="D145" s="8" t="s">
        <v>525</v>
      </c>
      <c r="E145" s="8"/>
      <c r="F145" s="14">
        <v>4</v>
      </c>
      <c r="G145" s="14">
        <v>12.68</v>
      </c>
      <c r="H145" s="14"/>
      <c r="I145" s="14">
        <f t="shared" si="7"/>
        <v>0.92999999999999994</v>
      </c>
      <c r="J145" s="14">
        <f t="shared" si="8"/>
        <v>47.169599999999996</v>
      </c>
      <c r="K145" s="157"/>
      <c r="L145" s="157"/>
      <c r="M145" s="141"/>
      <c r="N145" s="141"/>
      <c r="O145" s="141"/>
    </row>
    <row r="146" spans="1:15" ht="14.25">
      <c r="A146" s="106"/>
      <c r="B146" s="10"/>
      <c r="C146" s="26"/>
      <c r="D146" s="8"/>
      <c r="E146" s="8"/>
      <c r="F146" s="14">
        <v>1</v>
      </c>
      <c r="G146" s="14">
        <v>3.22</v>
      </c>
      <c r="H146" s="14"/>
      <c r="I146" s="14">
        <f t="shared" si="7"/>
        <v>0.92999999999999994</v>
      </c>
      <c r="J146" s="14">
        <f>I146*G146*F146</f>
        <v>2.9946000000000002</v>
      </c>
      <c r="K146" s="157"/>
      <c r="L146" s="157"/>
      <c r="M146" s="141"/>
      <c r="N146" s="141"/>
      <c r="O146" s="141"/>
    </row>
    <row r="147" spans="1:15" ht="14.25">
      <c r="A147" s="106"/>
      <c r="B147" s="10"/>
      <c r="C147" s="26"/>
      <c r="D147" s="8"/>
      <c r="E147" s="8"/>
      <c r="F147" s="14">
        <v>1</v>
      </c>
      <c r="G147" s="14">
        <v>2.25</v>
      </c>
      <c r="H147" s="14"/>
      <c r="I147" s="14">
        <f t="shared" si="7"/>
        <v>0.92999999999999994</v>
      </c>
      <c r="J147" s="14">
        <f>I147*G147*F147</f>
        <v>2.0924999999999998</v>
      </c>
      <c r="K147" s="157"/>
      <c r="L147" s="157"/>
      <c r="M147" s="141"/>
      <c r="N147" s="141"/>
      <c r="O147" s="141"/>
    </row>
    <row r="148" spans="1:15" ht="14.25">
      <c r="A148" s="106" t="s">
        <v>471</v>
      </c>
      <c r="B148" s="10"/>
      <c r="C148" s="9"/>
      <c r="D148" s="8"/>
      <c r="E148" s="8"/>
      <c r="F148" s="8"/>
      <c r="G148" s="8"/>
      <c r="H148" s="8"/>
      <c r="I148" s="8"/>
      <c r="J148" s="14"/>
      <c r="K148" s="157"/>
      <c r="L148" s="157"/>
      <c r="M148" s="141"/>
      <c r="N148" s="141"/>
      <c r="O148" s="141"/>
    </row>
    <row r="149" spans="1:15" ht="14.25">
      <c r="A149" s="106"/>
      <c r="B149" s="10"/>
      <c r="C149" s="9" t="s">
        <v>471</v>
      </c>
      <c r="D149" s="8"/>
      <c r="E149" s="8" t="s">
        <v>471</v>
      </c>
      <c r="F149" s="8"/>
      <c r="G149" s="8"/>
      <c r="H149" s="8"/>
      <c r="I149" s="23" t="s">
        <v>491</v>
      </c>
      <c r="J149" s="32">
        <f>SUM(J124:J148)</f>
        <v>286.70039999999995</v>
      </c>
      <c r="K149" s="157"/>
      <c r="L149" s="157"/>
      <c r="M149" s="141"/>
      <c r="N149" s="141"/>
      <c r="O149" s="141"/>
    </row>
    <row r="150" spans="1:15" ht="14.25">
      <c r="A150" s="106"/>
      <c r="B150" s="10"/>
      <c r="C150" s="9"/>
      <c r="D150" s="8"/>
      <c r="E150" s="8"/>
      <c r="F150" s="8"/>
      <c r="G150" s="8"/>
      <c r="H150" s="8"/>
      <c r="I150" s="24" t="s">
        <v>492</v>
      </c>
      <c r="J150" s="23">
        <f>J149</f>
        <v>286.70039999999995</v>
      </c>
      <c r="K150" s="157"/>
      <c r="L150" s="157"/>
      <c r="M150" s="141"/>
      <c r="N150" s="141"/>
      <c r="O150" s="141"/>
    </row>
    <row r="151" spans="1:15" ht="14.25">
      <c r="A151" s="106" t="s">
        <v>95</v>
      </c>
      <c r="B151" s="10" t="s">
        <v>96</v>
      </c>
      <c r="C151" s="27" t="s">
        <v>97</v>
      </c>
      <c r="D151" s="8" t="s">
        <v>471</v>
      </c>
      <c r="E151" s="8"/>
      <c r="F151" s="8"/>
      <c r="G151" s="8"/>
      <c r="H151" s="8"/>
      <c r="I151" s="8"/>
      <c r="J151" s="14" t="s">
        <v>471</v>
      </c>
      <c r="K151" s="157"/>
      <c r="L151" s="157"/>
      <c r="M151" s="141"/>
      <c r="N151" s="141"/>
      <c r="O151" s="141"/>
    </row>
    <row r="152" spans="1:15" ht="14.25">
      <c r="A152" s="106"/>
      <c r="B152" s="10"/>
      <c r="C152" s="26" t="s">
        <v>538</v>
      </c>
      <c r="D152" s="8" t="s">
        <v>525</v>
      </c>
      <c r="E152" s="8"/>
      <c r="F152" s="8">
        <v>27</v>
      </c>
      <c r="G152" s="8">
        <v>2.5</v>
      </c>
      <c r="H152" s="8"/>
      <c r="I152" s="8">
        <f>0.6+0.6+0.23+0.23</f>
        <v>1.66</v>
      </c>
      <c r="J152" s="14">
        <f>I152*G152*F152</f>
        <v>112.04999999999998</v>
      </c>
      <c r="K152" s="157"/>
      <c r="L152" s="157"/>
      <c r="M152" s="141"/>
      <c r="N152" s="141"/>
      <c r="O152" s="141"/>
    </row>
    <row r="153" spans="1:15" ht="14.25">
      <c r="A153" s="106"/>
      <c r="B153" s="10"/>
      <c r="C153" s="26" t="s">
        <v>539</v>
      </c>
      <c r="D153" s="8" t="s">
        <v>525</v>
      </c>
      <c r="E153" s="8"/>
      <c r="F153" s="8">
        <v>27</v>
      </c>
      <c r="G153" s="8">
        <v>3.15</v>
      </c>
      <c r="H153" s="8"/>
      <c r="I153" s="8">
        <f>0.6+0.6+0.23+0.23</f>
        <v>1.66</v>
      </c>
      <c r="J153" s="14">
        <f>I153*G153*F153</f>
        <v>141.18299999999999</v>
      </c>
      <c r="K153" s="157"/>
      <c r="L153" s="157"/>
      <c r="M153" s="141"/>
      <c r="N153" s="141"/>
      <c r="O153" s="141"/>
    </row>
    <row r="154" spans="1:15" ht="14.25">
      <c r="A154" s="106"/>
      <c r="B154" s="10"/>
      <c r="C154" s="26"/>
      <c r="D154" s="8"/>
      <c r="E154" s="8"/>
      <c r="F154" s="8"/>
      <c r="G154" s="8"/>
      <c r="H154" s="8"/>
      <c r="I154" s="8"/>
      <c r="J154" s="14"/>
      <c r="K154" s="157"/>
      <c r="L154" s="157"/>
      <c r="M154" s="141"/>
      <c r="N154" s="141"/>
      <c r="O154" s="141"/>
    </row>
    <row r="155" spans="1:15" ht="14.25">
      <c r="A155" s="106"/>
      <c r="B155" s="10"/>
      <c r="C155" s="9"/>
      <c r="D155" s="8"/>
      <c r="E155" s="8"/>
      <c r="F155" s="8"/>
      <c r="G155" s="8"/>
      <c r="H155" s="8"/>
      <c r="I155" s="23" t="s">
        <v>491</v>
      </c>
      <c r="J155" s="32">
        <f>SUM(J153:J154)</f>
        <v>141.18299999999999</v>
      </c>
      <c r="K155" s="157"/>
      <c r="L155" s="157"/>
      <c r="M155" s="141"/>
      <c r="N155" s="141"/>
      <c r="O155" s="141"/>
    </row>
    <row r="156" spans="1:15" ht="14.25">
      <c r="A156" s="106"/>
      <c r="B156" s="10"/>
      <c r="C156" s="9"/>
      <c r="D156" s="8"/>
      <c r="E156" s="8"/>
      <c r="F156" s="8"/>
      <c r="G156" s="8"/>
      <c r="H156" s="8"/>
      <c r="I156" s="24" t="s">
        <v>492</v>
      </c>
      <c r="J156" s="23">
        <f>J155</f>
        <v>141.18299999999999</v>
      </c>
      <c r="K156" s="157"/>
      <c r="L156" s="157"/>
      <c r="M156" s="141"/>
      <c r="N156" s="141"/>
      <c r="O156" s="141"/>
    </row>
    <row r="157" spans="1:15" ht="14.25">
      <c r="A157" s="106" t="s">
        <v>543</v>
      </c>
      <c r="B157" s="10" t="s">
        <v>98</v>
      </c>
      <c r="C157" s="27" t="s">
        <v>99</v>
      </c>
      <c r="D157" s="8"/>
      <c r="E157" s="8"/>
      <c r="F157" s="8"/>
      <c r="G157" s="8"/>
      <c r="H157" s="8"/>
      <c r="I157" s="8"/>
      <c r="J157" s="23"/>
      <c r="K157" s="157"/>
      <c r="L157" s="157"/>
      <c r="M157" s="141"/>
      <c r="N157" s="141"/>
      <c r="O157" s="141"/>
    </row>
    <row r="158" spans="1:15" ht="14.25">
      <c r="A158" s="10"/>
      <c r="B158" s="10"/>
      <c r="C158" s="26" t="s">
        <v>544</v>
      </c>
      <c r="D158" s="8" t="s">
        <v>525</v>
      </c>
      <c r="E158" s="8"/>
      <c r="F158" s="8">
        <v>2</v>
      </c>
      <c r="G158" s="8">
        <v>3.1549999999999998</v>
      </c>
      <c r="H158" s="14">
        <f>1.2+2*0.15</f>
        <v>1.5</v>
      </c>
      <c r="I158" s="14"/>
      <c r="J158" s="14">
        <f>F158*G158*H158</f>
        <v>9.4649999999999999</v>
      </c>
      <c r="K158" s="157"/>
      <c r="L158" s="157"/>
      <c r="M158" s="141"/>
      <c r="N158" s="141"/>
      <c r="O158" s="141"/>
    </row>
    <row r="159" spans="1:15" ht="14.25">
      <c r="A159" s="10"/>
      <c r="B159" s="10"/>
      <c r="C159" s="9"/>
      <c r="D159" s="8"/>
      <c r="E159" s="8"/>
      <c r="F159" s="8"/>
      <c r="G159" s="8"/>
      <c r="H159" s="14"/>
      <c r="I159" s="14"/>
      <c r="J159" s="14"/>
      <c r="K159" s="157"/>
      <c r="L159" s="157"/>
      <c r="M159" s="141"/>
      <c r="N159" s="141"/>
      <c r="O159" s="141"/>
    </row>
    <row r="160" spans="1:15" ht="14.25">
      <c r="A160" s="10"/>
      <c r="B160" s="10"/>
      <c r="C160" s="9"/>
      <c r="D160" s="8"/>
      <c r="E160" s="8"/>
      <c r="F160" s="8"/>
      <c r="G160" s="8"/>
      <c r="H160" s="14"/>
      <c r="I160" s="14"/>
      <c r="J160" s="14"/>
      <c r="K160" s="157"/>
      <c r="L160" s="157"/>
      <c r="M160" s="141"/>
      <c r="N160" s="141"/>
      <c r="O160" s="141"/>
    </row>
    <row r="161" spans="1:15" ht="14.25">
      <c r="A161" s="10"/>
      <c r="B161" s="10"/>
      <c r="C161" s="9"/>
      <c r="D161" s="8"/>
      <c r="E161" s="8"/>
      <c r="F161" s="8"/>
      <c r="G161" s="8"/>
      <c r="H161" s="14"/>
      <c r="I161" s="14"/>
      <c r="J161" s="14"/>
      <c r="K161" s="157"/>
      <c r="L161" s="157"/>
      <c r="M161" s="141"/>
      <c r="N161" s="141"/>
      <c r="O161" s="141"/>
    </row>
    <row r="162" spans="1:15" ht="14.25">
      <c r="A162" s="106"/>
      <c r="B162" s="10"/>
      <c r="C162" s="9"/>
      <c r="D162" s="8"/>
      <c r="E162" s="8"/>
      <c r="F162" s="8"/>
      <c r="G162" s="8"/>
      <c r="H162" s="8"/>
      <c r="I162" s="23" t="s">
        <v>491</v>
      </c>
      <c r="J162" s="32">
        <f>SUM(J158:J161)</f>
        <v>9.4649999999999999</v>
      </c>
      <c r="K162" s="157"/>
      <c r="L162" s="157"/>
      <c r="M162" s="141"/>
      <c r="N162" s="141"/>
      <c r="O162" s="141"/>
    </row>
    <row r="163" spans="1:15" ht="14.25">
      <c r="A163" s="106"/>
      <c r="B163" s="10"/>
      <c r="C163" s="9"/>
      <c r="D163" s="8"/>
      <c r="E163" s="8"/>
      <c r="F163" s="8"/>
      <c r="G163" s="8"/>
      <c r="H163" s="8"/>
      <c r="I163" s="24" t="s">
        <v>492</v>
      </c>
      <c r="J163" s="23">
        <f>J162</f>
        <v>9.4649999999999999</v>
      </c>
      <c r="K163" s="157"/>
      <c r="L163" s="157"/>
      <c r="M163" s="141"/>
      <c r="N163" s="141"/>
      <c r="O163" s="141"/>
    </row>
    <row r="164" spans="1:15" ht="25.5">
      <c r="A164" s="106" t="s">
        <v>547</v>
      </c>
      <c r="B164" s="10" t="s">
        <v>100</v>
      </c>
      <c r="C164" s="27" t="s">
        <v>101</v>
      </c>
      <c r="D164" s="8" t="s">
        <v>72</v>
      </c>
      <c r="E164" s="8"/>
      <c r="F164" s="8"/>
      <c r="G164" s="8"/>
      <c r="H164" s="8"/>
      <c r="I164" s="8"/>
      <c r="J164" s="23"/>
      <c r="K164" s="157"/>
      <c r="L164" s="157"/>
      <c r="M164" s="141"/>
      <c r="N164" s="141"/>
      <c r="O164" s="141"/>
    </row>
    <row r="165" spans="1:15" ht="14.25">
      <c r="A165" s="10"/>
      <c r="B165" s="10"/>
      <c r="C165" s="9"/>
      <c r="D165" s="8" t="s">
        <v>72</v>
      </c>
      <c r="E165" s="8"/>
      <c r="F165" s="8">
        <v>1</v>
      </c>
      <c r="G165" s="8">
        <f>3.68+1.2+1.2</f>
        <v>6.08</v>
      </c>
      <c r="H165" s="14">
        <f>0.6+0.6+0.23</f>
        <v>1.43</v>
      </c>
      <c r="I165" s="14"/>
      <c r="J165" s="32">
        <f>H165*G165*F165</f>
        <v>8.6943999999999999</v>
      </c>
      <c r="K165" s="157"/>
      <c r="L165" s="157"/>
      <c r="M165" s="141"/>
      <c r="N165" s="141"/>
      <c r="O165" s="141"/>
    </row>
    <row r="166" spans="1:15" ht="14.25">
      <c r="A166" s="10"/>
      <c r="B166" s="10"/>
      <c r="C166" s="9"/>
      <c r="D166" s="8" t="s">
        <v>72</v>
      </c>
      <c r="E166" s="8"/>
      <c r="F166" s="8">
        <v>1</v>
      </c>
      <c r="G166" s="8">
        <f>3.68+1.2+1.2</f>
        <v>6.08</v>
      </c>
      <c r="H166" s="14">
        <f>0.6+0.6+0.23</f>
        <v>1.43</v>
      </c>
      <c r="I166" s="14"/>
      <c r="J166" s="32">
        <f>H166*G166*F166</f>
        <v>8.6943999999999999</v>
      </c>
      <c r="K166" s="157"/>
      <c r="L166" s="157"/>
      <c r="M166" s="141"/>
      <c r="N166" s="141"/>
      <c r="O166" s="141"/>
    </row>
    <row r="167" spans="1:15" ht="14.25">
      <c r="A167" s="10"/>
      <c r="B167" s="10"/>
      <c r="C167" s="9"/>
      <c r="D167" s="8" t="s">
        <v>72</v>
      </c>
      <c r="E167" s="8"/>
      <c r="F167" s="8">
        <v>1</v>
      </c>
      <c r="G167" s="8">
        <f>3.68+1.2+1.2</f>
        <v>6.08</v>
      </c>
      <c r="H167" s="14">
        <f>0.6+0.6+0.23</f>
        <v>1.43</v>
      </c>
      <c r="I167" s="14"/>
      <c r="J167" s="32">
        <f>H167*G167*F167</f>
        <v>8.6943999999999999</v>
      </c>
      <c r="K167" s="157"/>
      <c r="L167" s="157"/>
      <c r="M167" s="141"/>
      <c r="N167" s="141"/>
      <c r="O167" s="141"/>
    </row>
    <row r="168" spans="1:15" ht="14.25">
      <c r="A168" s="10"/>
      <c r="B168" s="10"/>
      <c r="C168" s="9"/>
      <c r="D168" s="8" t="s">
        <v>72</v>
      </c>
      <c r="E168" s="8"/>
      <c r="F168" s="8">
        <v>1</v>
      </c>
      <c r="G168" s="8">
        <f>3.68+1.2+1.2</f>
        <v>6.08</v>
      </c>
      <c r="H168" s="14">
        <f>0.6+0.6+0.23</f>
        <v>1.43</v>
      </c>
      <c r="I168" s="14"/>
      <c r="J168" s="32">
        <f>H168*G168*F168</f>
        <v>8.6943999999999999</v>
      </c>
      <c r="K168" s="157"/>
      <c r="L168" s="157"/>
      <c r="M168" s="141"/>
      <c r="N168" s="141"/>
      <c r="O168" s="141"/>
    </row>
    <row r="169" spans="1:15" ht="14.25">
      <c r="A169" s="10"/>
      <c r="B169" s="10"/>
      <c r="C169" s="26"/>
      <c r="D169" s="8"/>
      <c r="E169" s="8"/>
      <c r="F169" s="8"/>
      <c r="G169" s="8"/>
      <c r="H169" s="14"/>
      <c r="I169" s="14"/>
      <c r="J169" s="14"/>
      <c r="K169" s="157"/>
      <c r="L169" s="157"/>
      <c r="M169" s="141"/>
      <c r="N169" s="141"/>
      <c r="O169" s="141"/>
    </row>
    <row r="170" spans="1:15" ht="14.25">
      <c r="A170" s="10"/>
      <c r="B170" s="10"/>
      <c r="C170" s="9"/>
      <c r="D170" s="8"/>
      <c r="E170" s="8"/>
      <c r="F170" s="8"/>
      <c r="G170" s="8"/>
      <c r="H170" s="8"/>
      <c r="I170" s="8" t="s">
        <v>491</v>
      </c>
      <c r="J170" s="23">
        <f>SUM(J165:J169)</f>
        <v>34.7776</v>
      </c>
      <c r="K170" s="157"/>
      <c r="L170" s="157"/>
      <c r="M170" s="141"/>
      <c r="N170" s="141"/>
      <c r="O170" s="141"/>
    </row>
    <row r="171" spans="1:15" ht="14.25">
      <c r="A171" s="10"/>
      <c r="B171" s="10"/>
      <c r="C171" s="9"/>
      <c r="D171" s="8"/>
      <c r="E171" s="8"/>
      <c r="F171" s="8"/>
      <c r="G171" s="8"/>
      <c r="H171" s="8"/>
      <c r="I171" s="24" t="s">
        <v>492</v>
      </c>
      <c r="J171" s="23">
        <f>J170</f>
        <v>34.7776</v>
      </c>
      <c r="K171" s="157"/>
      <c r="L171" s="157"/>
      <c r="M171" s="141"/>
      <c r="N171" s="141"/>
      <c r="O171" s="141"/>
    </row>
    <row r="172" spans="1:15" ht="38.25">
      <c r="A172" s="10" t="s">
        <v>102</v>
      </c>
      <c r="B172" s="10" t="s">
        <v>103</v>
      </c>
      <c r="C172" s="27" t="s">
        <v>104</v>
      </c>
      <c r="D172" s="8" t="s">
        <v>525</v>
      </c>
      <c r="E172" s="8"/>
      <c r="F172" s="8"/>
      <c r="G172" s="8"/>
      <c r="H172" s="8"/>
      <c r="I172" s="8"/>
      <c r="J172" s="23"/>
      <c r="K172" s="157"/>
      <c r="L172" s="157"/>
      <c r="M172" s="141"/>
      <c r="N172" s="141"/>
      <c r="O172" s="141"/>
    </row>
    <row r="173" spans="1:15" ht="14.25">
      <c r="A173" s="10"/>
      <c r="B173" s="16"/>
      <c r="C173" s="9" t="s">
        <v>549</v>
      </c>
      <c r="D173" s="8" t="s">
        <v>525</v>
      </c>
      <c r="E173" s="8">
        <v>1</v>
      </c>
      <c r="F173" s="8">
        <v>30</v>
      </c>
      <c r="G173" s="8">
        <v>1</v>
      </c>
      <c r="H173" s="8" t="s">
        <v>471</v>
      </c>
      <c r="I173" s="8">
        <f>0.115+2*0.15</f>
        <v>0.41499999999999998</v>
      </c>
      <c r="J173" s="8">
        <f>E173*F173*G173*I173</f>
        <v>12.45</v>
      </c>
      <c r="K173" s="157"/>
      <c r="L173" s="157"/>
      <c r="M173" s="141"/>
      <c r="N173" s="141"/>
      <c r="O173" s="141"/>
    </row>
    <row r="174" spans="1:15" ht="14.25">
      <c r="A174" s="10"/>
      <c r="B174" s="16"/>
      <c r="C174" s="9"/>
      <c r="D174" s="8"/>
      <c r="E174" s="8"/>
      <c r="F174" s="8"/>
      <c r="G174" s="8"/>
      <c r="H174" s="8"/>
      <c r="I174" s="8"/>
      <c r="J174" s="23"/>
      <c r="K174" s="157"/>
      <c r="L174" s="157"/>
      <c r="M174" s="141"/>
      <c r="N174" s="141"/>
      <c r="O174" s="141"/>
    </row>
    <row r="175" spans="1:15" ht="14.25">
      <c r="A175" s="10"/>
      <c r="B175" s="16"/>
      <c r="C175" s="9"/>
      <c r="D175" s="8"/>
      <c r="E175" s="8"/>
      <c r="F175" s="8"/>
      <c r="G175" s="8"/>
      <c r="H175" s="8"/>
      <c r="I175" s="24" t="s">
        <v>492</v>
      </c>
      <c r="J175" s="23">
        <f>SUM(J173:J174)</f>
        <v>12.45</v>
      </c>
      <c r="K175" s="157"/>
      <c r="L175" s="157"/>
      <c r="M175" s="141"/>
      <c r="N175" s="141"/>
      <c r="O175" s="141"/>
    </row>
    <row r="176" spans="1:15" ht="14.25">
      <c r="A176" s="106" t="s">
        <v>105</v>
      </c>
      <c r="B176" s="10" t="s">
        <v>106</v>
      </c>
      <c r="C176" s="27" t="s">
        <v>107</v>
      </c>
      <c r="D176" s="8" t="s">
        <v>525</v>
      </c>
      <c r="E176" s="8"/>
      <c r="F176" s="8"/>
      <c r="G176" s="8"/>
      <c r="H176" s="8"/>
      <c r="I176" s="8"/>
      <c r="J176" s="14" t="s">
        <v>471</v>
      </c>
      <c r="K176" s="157"/>
      <c r="L176" s="157"/>
      <c r="M176" s="141"/>
      <c r="N176" s="141"/>
      <c r="O176" s="141"/>
    </row>
    <row r="177" spans="1:15" ht="14.25">
      <c r="A177" s="106" t="s">
        <v>471</v>
      </c>
      <c r="B177" s="10"/>
      <c r="C177" s="9" t="s">
        <v>550</v>
      </c>
      <c r="D177" s="8" t="s">
        <v>525</v>
      </c>
      <c r="E177" s="8">
        <v>2</v>
      </c>
      <c r="F177" s="8">
        <v>30</v>
      </c>
      <c r="G177" s="8">
        <v>0.6</v>
      </c>
      <c r="H177" s="14"/>
      <c r="I177" s="14"/>
      <c r="J177" s="14">
        <f>G177*F177*E177</f>
        <v>36</v>
      </c>
      <c r="K177" s="157"/>
      <c r="L177" s="157"/>
      <c r="M177" s="141"/>
      <c r="N177" s="141"/>
      <c r="O177" s="141"/>
    </row>
    <row r="178" spans="1:15" ht="14.25">
      <c r="A178" s="106"/>
      <c r="B178" s="10"/>
      <c r="C178" s="9" t="s">
        <v>551</v>
      </c>
      <c r="D178" s="8"/>
      <c r="E178" s="8">
        <v>2</v>
      </c>
      <c r="F178" s="8">
        <v>30</v>
      </c>
      <c r="G178" s="8">
        <v>0.15</v>
      </c>
      <c r="H178" s="14"/>
      <c r="I178" s="14"/>
      <c r="J178" s="14">
        <f>G178*F178*E178</f>
        <v>9</v>
      </c>
      <c r="K178" s="157"/>
      <c r="L178" s="157"/>
      <c r="M178" s="141"/>
      <c r="N178" s="141"/>
      <c r="O178" s="141"/>
    </row>
    <row r="179" spans="1:15" ht="14.25">
      <c r="A179" s="106"/>
      <c r="B179" s="10"/>
      <c r="C179" s="9"/>
      <c r="D179" s="8"/>
      <c r="E179" s="8"/>
      <c r="F179" s="8"/>
      <c r="G179" s="8"/>
      <c r="H179" s="14"/>
      <c r="I179" s="14"/>
      <c r="J179" s="14"/>
      <c r="K179" s="157"/>
      <c r="L179" s="157"/>
      <c r="M179" s="141"/>
      <c r="N179" s="141"/>
      <c r="O179" s="141"/>
    </row>
    <row r="180" spans="1:15" ht="14.25">
      <c r="A180" s="10"/>
      <c r="B180" s="10"/>
      <c r="C180" s="9"/>
      <c r="D180" s="8"/>
      <c r="E180" s="8"/>
      <c r="F180" s="8"/>
      <c r="G180" s="8"/>
      <c r="H180" s="8"/>
      <c r="I180" s="23" t="s">
        <v>491</v>
      </c>
      <c r="J180" s="32">
        <f>SUM(J177:J179)</f>
        <v>45</v>
      </c>
      <c r="K180" s="157"/>
      <c r="L180" s="157"/>
      <c r="M180" s="141"/>
      <c r="N180" s="141"/>
      <c r="O180" s="141"/>
    </row>
    <row r="181" spans="1:15" ht="14.25">
      <c r="A181" s="10"/>
      <c r="B181" s="10"/>
      <c r="C181" s="9"/>
      <c r="D181" s="8"/>
      <c r="E181" s="8"/>
      <c r="F181" s="8"/>
      <c r="G181" s="8"/>
      <c r="H181" s="8"/>
      <c r="I181" s="24" t="s">
        <v>492</v>
      </c>
      <c r="J181" s="23">
        <f>J180</f>
        <v>45</v>
      </c>
      <c r="K181" s="157"/>
      <c r="L181" s="157"/>
      <c r="M181" s="141"/>
      <c r="N181" s="141"/>
      <c r="O181" s="141"/>
    </row>
    <row r="182" spans="1:15" ht="63.75">
      <c r="A182" s="10" t="s">
        <v>108</v>
      </c>
      <c r="B182" s="10" t="s">
        <v>554</v>
      </c>
      <c r="C182" s="27" t="s">
        <v>555</v>
      </c>
      <c r="D182" s="8"/>
      <c r="E182" s="8"/>
      <c r="F182" s="8"/>
      <c r="G182" s="8"/>
      <c r="H182" s="8"/>
      <c r="I182" s="8"/>
      <c r="J182" s="14"/>
      <c r="K182" s="157"/>
      <c r="L182" s="157"/>
      <c r="M182" s="141"/>
      <c r="N182" s="141"/>
      <c r="O182" s="141"/>
    </row>
    <row r="183" spans="1:15" ht="25.5">
      <c r="A183" s="10"/>
      <c r="B183" s="10" t="s">
        <v>556</v>
      </c>
      <c r="C183" s="27" t="s">
        <v>557</v>
      </c>
      <c r="D183" s="8" t="s">
        <v>525</v>
      </c>
      <c r="E183" s="8"/>
      <c r="F183" s="8">
        <v>1</v>
      </c>
      <c r="G183" s="8">
        <v>1</v>
      </c>
      <c r="H183" s="14">
        <v>22.48</v>
      </c>
      <c r="I183" s="14"/>
      <c r="J183" s="23">
        <f>F183*G183*H183</f>
        <v>22.48</v>
      </c>
      <c r="K183" s="157"/>
      <c r="L183" s="157"/>
      <c r="M183" s="141"/>
      <c r="N183" s="141"/>
      <c r="O183" s="141"/>
    </row>
    <row r="184" spans="1:15" ht="14.25">
      <c r="A184" s="10"/>
      <c r="B184" s="10"/>
      <c r="C184" s="9"/>
      <c r="D184" s="8"/>
      <c r="E184" s="8"/>
      <c r="F184" s="8"/>
      <c r="G184" s="8"/>
      <c r="H184" s="8"/>
      <c r="I184" s="24" t="s">
        <v>492</v>
      </c>
      <c r="J184" s="23">
        <f>J183</f>
        <v>22.48</v>
      </c>
      <c r="K184" s="157"/>
      <c r="L184" s="157"/>
      <c r="M184" s="141"/>
      <c r="N184" s="141"/>
      <c r="O184" s="141"/>
    </row>
    <row r="185" spans="1:15" ht="38.25">
      <c r="A185" s="10" t="s">
        <v>558</v>
      </c>
      <c r="B185" s="10" t="s">
        <v>559</v>
      </c>
      <c r="C185" s="27" t="s">
        <v>560</v>
      </c>
      <c r="D185" s="8"/>
      <c r="E185" s="8"/>
      <c r="F185" s="8"/>
      <c r="G185" s="8"/>
      <c r="H185" s="8"/>
      <c r="I185" s="8"/>
      <c r="J185" s="14"/>
      <c r="K185" s="157"/>
      <c r="L185" s="157"/>
      <c r="M185" s="141"/>
      <c r="N185" s="141"/>
      <c r="O185" s="141"/>
    </row>
    <row r="186" spans="1:15" ht="14.25">
      <c r="A186" s="10"/>
      <c r="B186" s="10" t="s">
        <v>559</v>
      </c>
      <c r="C186" s="27" t="s">
        <v>561</v>
      </c>
      <c r="D186" s="8" t="s">
        <v>562</v>
      </c>
      <c r="E186" s="8"/>
      <c r="F186" s="8"/>
      <c r="G186" s="8"/>
      <c r="H186" s="8"/>
      <c r="I186" s="8"/>
      <c r="J186" s="14" t="s">
        <v>471</v>
      </c>
      <c r="K186" s="157"/>
      <c r="L186" s="161"/>
      <c r="M186" s="141"/>
      <c r="N186" s="141"/>
      <c r="O186" s="141"/>
    </row>
    <row r="187" spans="1:15" ht="14.25">
      <c r="A187" s="10"/>
      <c r="B187" s="10"/>
      <c r="C187" s="26"/>
      <c r="D187" s="8"/>
      <c r="E187" s="8"/>
      <c r="F187" s="8"/>
      <c r="G187" s="8"/>
      <c r="H187" s="63"/>
      <c r="I187" s="8"/>
      <c r="J187" s="14"/>
      <c r="K187" s="157"/>
      <c r="L187" s="161"/>
      <c r="M187" s="141"/>
      <c r="N187" s="141"/>
      <c r="O187" s="141"/>
    </row>
    <row r="188" spans="1:15" ht="14.25">
      <c r="A188" s="10"/>
      <c r="B188" s="10"/>
      <c r="C188" s="26" t="s">
        <v>842</v>
      </c>
      <c r="D188" s="8"/>
      <c r="E188" s="8">
        <v>30</v>
      </c>
      <c r="F188" s="14">
        <f>J217</f>
        <v>71.414999999999992</v>
      </c>
      <c r="G188" s="8"/>
      <c r="H188" s="63"/>
      <c r="I188" s="8">
        <f>F188*E188</f>
        <v>2142.4499999999998</v>
      </c>
      <c r="J188" s="14"/>
      <c r="K188" s="157"/>
      <c r="L188" s="161"/>
      <c r="M188" s="141"/>
      <c r="N188" s="141"/>
      <c r="O188" s="141"/>
    </row>
    <row r="189" spans="1:15" ht="14.25">
      <c r="A189" s="10"/>
      <c r="B189" s="10"/>
      <c r="C189" s="26" t="s">
        <v>564</v>
      </c>
      <c r="D189" s="8"/>
      <c r="E189" s="143">
        <v>210</v>
      </c>
      <c r="F189" s="14">
        <f>J241</f>
        <v>10.619100000000001</v>
      </c>
      <c r="G189" s="8"/>
      <c r="H189" s="63"/>
      <c r="I189" s="8">
        <f>F189*E189</f>
        <v>2230.0110000000004</v>
      </c>
      <c r="J189" s="14"/>
      <c r="K189" s="157"/>
      <c r="L189" s="161"/>
      <c r="M189" s="141"/>
      <c r="N189" s="141"/>
      <c r="O189" s="141"/>
    </row>
    <row r="190" spans="1:15" ht="14.25">
      <c r="A190" s="10"/>
      <c r="B190" s="10"/>
      <c r="C190" s="26" t="s">
        <v>565</v>
      </c>
      <c r="D190" s="8"/>
      <c r="E190" s="8">
        <v>65</v>
      </c>
      <c r="F190" s="14">
        <f>J235</f>
        <v>21.1</v>
      </c>
      <c r="G190" s="8"/>
      <c r="H190" s="63"/>
      <c r="I190" s="8">
        <f>F190*E190</f>
        <v>1371.5</v>
      </c>
      <c r="J190" s="14"/>
      <c r="K190" s="157"/>
      <c r="L190" s="161"/>
      <c r="M190" s="141"/>
      <c r="N190" s="141"/>
      <c r="O190" s="141"/>
    </row>
    <row r="191" spans="1:15" ht="14.25">
      <c r="A191" s="10"/>
      <c r="B191" s="10"/>
      <c r="C191" s="26" t="s">
        <v>566</v>
      </c>
      <c r="D191" s="8"/>
      <c r="E191" s="143">
        <v>145</v>
      </c>
      <c r="F191" s="14">
        <f>J231</f>
        <v>21.271320000000003</v>
      </c>
      <c r="G191" s="8"/>
      <c r="H191" s="63"/>
      <c r="I191" s="8">
        <f>F191*E191</f>
        <v>3084.3414000000002</v>
      </c>
      <c r="J191" s="14"/>
      <c r="K191" s="157"/>
      <c r="L191" s="161"/>
      <c r="M191" s="141"/>
      <c r="N191" s="141"/>
      <c r="O191" s="141"/>
    </row>
    <row r="192" spans="1:15" ht="14.25">
      <c r="A192" s="10"/>
      <c r="B192" s="10"/>
      <c r="C192" s="26"/>
      <c r="D192" s="8"/>
      <c r="E192" s="143"/>
      <c r="F192" s="14"/>
      <c r="G192" s="8"/>
      <c r="H192" s="63"/>
      <c r="I192" s="8"/>
      <c r="J192" s="14"/>
      <c r="K192" s="157"/>
      <c r="L192" s="161"/>
      <c r="M192" s="141"/>
      <c r="N192" s="141"/>
      <c r="O192" s="141"/>
    </row>
    <row r="193" spans="1:15" ht="14.25">
      <c r="A193" s="10"/>
      <c r="B193" s="10"/>
      <c r="C193" s="26"/>
      <c r="D193" s="8"/>
      <c r="E193" s="143"/>
      <c r="F193" s="14"/>
      <c r="G193" s="8"/>
      <c r="H193" s="63"/>
      <c r="I193" s="8"/>
      <c r="J193" s="14"/>
      <c r="K193" s="157"/>
      <c r="L193" s="161"/>
      <c r="M193" s="141"/>
      <c r="N193" s="141"/>
      <c r="O193" s="141"/>
    </row>
    <row r="194" spans="1:15" ht="14.25">
      <c r="A194" s="10"/>
      <c r="B194" s="10"/>
      <c r="C194" s="26" t="s">
        <v>569</v>
      </c>
      <c r="D194" s="8" t="s">
        <v>470</v>
      </c>
      <c r="E194" s="8"/>
      <c r="F194" s="8"/>
      <c r="G194" s="8"/>
      <c r="H194" s="63"/>
      <c r="I194" s="8">
        <f>SUM(I188:I193)</f>
        <v>8828.3024000000005</v>
      </c>
      <c r="J194" s="14"/>
      <c r="K194" s="157"/>
      <c r="L194" s="161"/>
      <c r="M194" s="141"/>
      <c r="N194" s="141"/>
      <c r="O194" s="141"/>
    </row>
    <row r="195" spans="1:15" ht="14.25">
      <c r="A195" s="10"/>
      <c r="B195" s="10"/>
      <c r="C195" s="9"/>
      <c r="D195" s="8"/>
      <c r="E195" s="8"/>
      <c r="F195" s="8"/>
      <c r="G195" s="8"/>
      <c r="H195" s="8"/>
      <c r="I195" s="23" t="s">
        <v>491</v>
      </c>
      <c r="J195" s="32">
        <f>I194</f>
        <v>8828.3024000000005</v>
      </c>
      <c r="K195" s="157"/>
      <c r="L195" s="161"/>
      <c r="M195" s="141"/>
      <c r="N195" s="141"/>
      <c r="O195" s="141"/>
    </row>
    <row r="196" spans="1:15" ht="14.25">
      <c r="A196" s="10"/>
      <c r="B196" s="10"/>
      <c r="C196" s="9"/>
      <c r="D196" s="8"/>
      <c r="E196" s="8"/>
      <c r="F196" s="8"/>
      <c r="G196" s="8"/>
      <c r="H196" s="8"/>
      <c r="I196" s="23" t="s">
        <v>492</v>
      </c>
      <c r="J196" s="32">
        <f>J195</f>
        <v>8828.3024000000005</v>
      </c>
      <c r="K196" s="157"/>
      <c r="L196" s="161"/>
      <c r="M196" s="141"/>
      <c r="N196" s="141"/>
      <c r="O196" s="141"/>
    </row>
    <row r="197" spans="1:15" ht="38.25">
      <c r="A197" s="10" t="s">
        <v>113</v>
      </c>
      <c r="B197" s="10" t="s">
        <v>570</v>
      </c>
      <c r="C197" s="27" t="s">
        <v>571</v>
      </c>
      <c r="D197" s="8"/>
      <c r="E197" s="8"/>
      <c r="F197" s="8"/>
      <c r="G197" s="8"/>
      <c r="H197" s="8"/>
      <c r="I197" s="8"/>
      <c r="J197" s="14"/>
      <c r="K197" s="157"/>
      <c r="L197" s="157"/>
      <c r="M197" s="141"/>
      <c r="N197" s="141"/>
      <c r="O197" s="141"/>
    </row>
    <row r="198" spans="1:15" ht="25.5">
      <c r="A198" s="10"/>
      <c r="B198" s="21" t="s">
        <v>570</v>
      </c>
      <c r="C198" s="67" t="s">
        <v>561</v>
      </c>
      <c r="D198" s="18" t="s">
        <v>562</v>
      </c>
      <c r="E198" s="18" t="s">
        <v>572</v>
      </c>
      <c r="F198" s="18"/>
      <c r="G198" s="18"/>
      <c r="H198" s="18"/>
      <c r="I198" s="18"/>
      <c r="J198" s="22" t="s">
        <v>471</v>
      </c>
      <c r="K198" s="157"/>
      <c r="L198" s="161"/>
      <c r="M198" s="141"/>
      <c r="N198" s="141"/>
      <c r="O198" s="141"/>
    </row>
    <row r="199" spans="1:15" ht="14.25">
      <c r="A199" s="10"/>
      <c r="B199" s="21"/>
      <c r="C199" s="9" t="s">
        <v>573</v>
      </c>
      <c r="D199" s="8"/>
      <c r="E199" s="8"/>
      <c r="F199" s="8"/>
      <c r="G199" s="8"/>
      <c r="H199" s="63"/>
      <c r="I199" s="8"/>
      <c r="J199" s="14"/>
      <c r="K199" s="157"/>
      <c r="L199" s="161"/>
      <c r="M199" s="141"/>
      <c r="N199" s="141"/>
      <c r="O199" s="141"/>
    </row>
    <row r="200" spans="1:15" ht="14.25">
      <c r="A200" s="10"/>
      <c r="B200" s="21"/>
      <c r="C200" s="26" t="s">
        <v>574</v>
      </c>
      <c r="D200" s="8"/>
      <c r="E200" s="8">
        <v>145</v>
      </c>
      <c r="F200" s="14">
        <f>J259</f>
        <v>15.953490000000004</v>
      </c>
      <c r="G200" s="8"/>
      <c r="H200" s="63"/>
      <c r="I200" s="8">
        <f>F200*E200</f>
        <v>2313.2560500000004</v>
      </c>
      <c r="J200" s="14"/>
      <c r="K200" s="157"/>
      <c r="L200" s="161"/>
      <c r="M200" s="141"/>
      <c r="N200" s="141"/>
      <c r="O200" s="141"/>
    </row>
    <row r="201" spans="1:15" ht="14.25">
      <c r="A201" s="10"/>
      <c r="B201" s="21"/>
      <c r="C201" s="26" t="s">
        <v>575</v>
      </c>
      <c r="D201" s="8"/>
      <c r="E201" s="8">
        <v>65</v>
      </c>
      <c r="F201" s="14">
        <f>J269</f>
        <v>29.664974999999998</v>
      </c>
      <c r="G201" s="8"/>
      <c r="H201" s="63"/>
      <c r="I201" s="8">
        <f>F201*E201</f>
        <v>1928.2233749999998</v>
      </c>
      <c r="J201" s="14"/>
      <c r="K201" s="157"/>
      <c r="L201" s="161"/>
      <c r="M201" s="141"/>
      <c r="N201" s="141"/>
      <c r="O201" s="141"/>
    </row>
    <row r="202" spans="1:15" ht="14.25">
      <c r="A202" s="10"/>
      <c r="B202" s="21"/>
      <c r="C202" s="26" t="s">
        <v>573</v>
      </c>
      <c r="D202" s="8"/>
      <c r="E202" s="143">
        <v>210</v>
      </c>
      <c r="F202" s="14">
        <f>J273</f>
        <v>0.32085000000000002</v>
      </c>
      <c r="G202" s="8"/>
      <c r="H202" s="63"/>
      <c r="I202" s="8">
        <f>F202*E202</f>
        <v>67.378500000000003</v>
      </c>
      <c r="J202" s="14"/>
      <c r="K202" s="157"/>
      <c r="L202" s="161"/>
      <c r="M202" s="141"/>
      <c r="N202" s="141"/>
      <c r="O202" s="141"/>
    </row>
    <row r="203" spans="1:15" ht="14.25">
      <c r="A203" s="10"/>
      <c r="B203" s="21"/>
      <c r="C203" s="26"/>
      <c r="D203" s="8"/>
      <c r="E203" s="143"/>
      <c r="F203" s="14"/>
      <c r="G203" s="8"/>
      <c r="H203" s="63"/>
      <c r="I203" s="8"/>
      <c r="J203" s="14"/>
      <c r="K203" s="157"/>
      <c r="L203" s="161"/>
      <c r="M203" s="141"/>
      <c r="N203" s="141"/>
      <c r="O203" s="141"/>
    </row>
    <row r="204" spans="1:15" ht="14.25">
      <c r="A204" s="10"/>
      <c r="B204" s="21"/>
      <c r="C204" s="26"/>
      <c r="D204" s="8"/>
      <c r="E204" s="143"/>
      <c r="F204" s="14"/>
      <c r="G204" s="8"/>
      <c r="H204" s="63"/>
      <c r="I204" s="8"/>
      <c r="J204" s="14"/>
      <c r="K204" s="157"/>
      <c r="L204" s="161"/>
      <c r="M204" s="141"/>
      <c r="N204" s="141"/>
      <c r="O204" s="141"/>
    </row>
    <row r="205" spans="1:15" ht="14.25">
      <c r="A205" s="10"/>
      <c r="B205" s="10"/>
      <c r="C205" s="9"/>
      <c r="D205" s="8"/>
      <c r="E205" s="8"/>
      <c r="F205" s="8"/>
      <c r="G205" s="8"/>
      <c r="H205" s="8"/>
      <c r="I205" s="23" t="s">
        <v>491</v>
      </c>
      <c r="J205" s="32">
        <f>SUM(I200:I202)</f>
        <v>4308.8579250000003</v>
      </c>
      <c r="K205" s="157"/>
      <c r="L205" s="157"/>
      <c r="M205" s="141"/>
      <c r="N205" s="141"/>
      <c r="O205" s="141"/>
    </row>
    <row r="206" spans="1:15" ht="14.25">
      <c r="A206" s="10"/>
      <c r="B206" s="10"/>
      <c r="C206" s="9"/>
      <c r="D206" s="8"/>
      <c r="E206" s="8"/>
      <c r="F206" s="8"/>
      <c r="G206" s="8"/>
      <c r="H206" s="8"/>
      <c r="I206" s="23" t="s">
        <v>492</v>
      </c>
      <c r="J206" s="32">
        <f>J205</f>
        <v>4308.8579250000003</v>
      </c>
      <c r="K206" s="157"/>
      <c r="L206" s="162"/>
      <c r="M206" s="141"/>
      <c r="N206" s="141"/>
      <c r="O206" s="141"/>
    </row>
    <row r="207" spans="1:15" ht="25.5">
      <c r="A207" s="10" t="s">
        <v>116</v>
      </c>
      <c r="B207" s="10" t="s">
        <v>109</v>
      </c>
      <c r="C207" s="27" t="s">
        <v>576</v>
      </c>
      <c r="D207" s="8" t="s">
        <v>577</v>
      </c>
      <c r="E207" s="8"/>
      <c r="F207" s="8"/>
      <c r="G207" s="8"/>
      <c r="H207" s="8"/>
      <c r="I207" s="8"/>
      <c r="J207" s="14" t="s">
        <v>471</v>
      </c>
      <c r="K207" s="157"/>
      <c r="L207" s="157"/>
      <c r="M207" s="141"/>
      <c r="N207" s="141"/>
      <c r="O207" s="141"/>
    </row>
    <row r="208" spans="1:15" ht="14.25">
      <c r="A208" s="10"/>
      <c r="B208" s="10"/>
      <c r="C208" s="9" t="s">
        <v>578</v>
      </c>
      <c r="D208" s="8"/>
      <c r="E208" s="8">
        <v>2</v>
      </c>
      <c r="F208" s="8">
        <v>1</v>
      </c>
      <c r="G208" s="8">
        <v>70</v>
      </c>
      <c r="H208" s="14" t="s">
        <v>471</v>
      </c>
      <c r="I208" s="14" t="s">
        <v>471</v>
      </c>
      <c r="J208" s="14">
        <f>E208*F208*G208</f>
        <v>140</v>
      </c>
      <c r="K208" s="157"/>
      <c r="L208" s="157"/>
      <c r="M208" s="141"/>
      <c r="N208" s="141"/>
      <c r="O208" s="141"/>
    </row>
    <row r="209" spans="1:15" ht="14.25">
      <c r="A209" s="10"/>
      <c r="B209" s="10"/>
      <c r="C209" s="9"/>
      <c r="D209" s="8"/>
      <c r="E209" s="8"/>
      <c r="F209" s="8"/>
      <c r="G209" s="8"/>
      <c r="H209" s="8"/>
      <c r="I209" s="8"/>
      <c r="J209" s="14"/>
      <c r="K209" s="157"/>
      <c r="L209" s="157"/>
      <c r="M209" s="141"/>
      <c r="N209" s="141"/>
      <c r="O209" s="141"/>
    </row>
    <row r="210" spans="1:15" ht="14.25">
      <c r="A210" s="10"/>
      <c r="B210" s="10"/>
      <c r="C210" s="9"/>
      <c r="D210" s="8"/>
      <c r="E210" s="8"/>
      <c r="F210" s="8"/>
      <c r="G210" s="8"/>
      <c r="H210" s="8"/>
      <c r="I210" s="23" t="s">
        <v>491</v>
      </c>
      <c r="J210" s="32">
        <f>SUM(J208:J208)</f>
        <v>140</v>
      </c>
      <c r="K210" s="157"/>
      <c r="L210" s="157"/>
      <c r="M210" s="141"/>
      <c r="N210" s="141"/>
      <c r="O210" s="141"/>
    </row>
    <row r="211" spans="1:15" ht="14.25">
      <c r="A211" s="10"/>
      <c r="B211" s="10"/>
      <c r="C211" s="94"/>
      <c r="D211" s="8"/>
      <c r="E211" s="8"/>
      <c r="F211" s="8"/>
      <c r="G211" s="8"/>
      <c r="H211" s="8"/>
      <c r="I211" s="23" t="s">
        <v>492</v>
      </c>
      <c r="J211" s="32">
        <f>J210</f>
        <v>140</v>
      </c>
      <c r="K211" s="157"/>
      <c r="L211" s="157"/>
      <c r="M211" s="141"/>
      <c r="N211" s="141"/>
      <c r="O211" s="141"/>
    </row>
    <row r="212" spans="1:15" ht="127.5">
      <c r="A212" s="10" t="s">
        <v>121</v>
      </c>
      <c r="B212" s="10" t="s">
        <v>112</v>
      </c>
      <c r="C212" s="27" t="s">
        <v>580</v>
      </c>
      <c r="D212" s="8"/>
      <c r="E212" s="8"/>
      <c r="F212" s="8"/>
      <c r="G212" s="8"/>
      <c r="H212" s="8"/>
      <c r="I212" s="23"/>
      <c r="J212" s="32"/>
      <c r="K212" s="157"/>
      <c r="L212" s="157"/>
      <c r="M212" s="141"/>
      <c r="N212" s="141"/>
      <c r="O212" s="141"/>
    </row>
    <row r="213" spans="1:15" ht="38.25">
      <c r="A213" s="10"/>
      <c r="B213" s="10"/>
      <c r="C213" s="27" t="s">
        <v>581</v>
      </c>
      <c r="D213" s="8"/>
      <c r="E213" s="8"/>
      <c r="F213" s="8"/>
      <c r="G213" s="8"/>
      <c r="H213" s="8"/>
      <c r="I213" s="23"/>
      <c r="J213" s="32"/>
      <c r="K213" s="157"/>
      <c r="L213" s="157"/>
      <c r="M213" s="141"/>
      <c r="N213" s="141"/>
      <c r="O213" s="141"/>
    </row>
    <row r="214" spans="1:15" ht="14.25">
      <c r="A214" s="10"/>
      <c r="B214" s="10" t="s">
        <v>582</v>
      </c>
      <c r="C214" s="27" t="s">
        <v>583</v>
      </c>
      <c r="D214" s="8"/>
      <c r="E214" s="8"/>
      <c r="F214" s="8"/>
      <c r="G214" s="8"/>
      <c r="H214" s="8"/>
      <c r="I214" s="23"/>
      <c r="J214" s="32"/>
      <c r="K214" s="157"/>
      <c r="L214" s="157"/>
      <c r="M214" s="141"/>
      <c r="N214" s="141"/>
      <c r="O214" s="141"/>
    </row>
    <row r="215" spans="1:15" ht="14.25">
      <c r="A215" s="10"/>
      <c r="B215" s="10"/>
      <c r="C215" s="66" t="s">
        <v>563</v>
      </c>
      <c r="D215" s="8" t="s">
        <v>584</v>
      </c>
      <c r="E215" s="18"/>
      <c r="F215" s="8">
        <v>27</v>
      </c>
      <c r="G215" s="8">
        <v>2.2999999999999998</v>
      </c>
      <c r="H215" s="8">
        <v>2.2999999999999998</v>
      </c>
      <c r="I215" s="23">
        <v>0.5</v>
      </c>
      <c r="J215" s="32">
        <f>I215*H215*G215*F215</f>
        <v>71.414999999999992</v>
      </c>
      <c r="K215" s="157"/>
      <c r="L215" s="157"/>
      <c r="M215" s="141"/>
      <c r="N215" s="141"/>
      <c r="O215" s="141"/>
    </row>
    <row r="216" spans="1:15" ht="14.25">
      <c r="A216" s="10"/>
      <c r="B216" s="10"/>
      <c r="C216" s="26"/>
      <c r="D216" s="8"/>
      <c r="E216" s="18"/>
      <c r="F216" s="8"/>
      <c r="G216" s="8"/>
      <c r="H216" s="8"/>
      <c r="I216" s="8"/>
      <c r="J216" s="14">
        <f>J215</f>
        <v>71.414999999999992</v>
      </c>
      <c r="K216" s="157"/>
      <c r="L216" s="157"/>
      <c r="M216" s="141"/>
      <c r="N216" s="141"/>
      <c r="O216" s="141"/>
    </row>
    <row r="217" spans="1:15" ht="14.25">
      <c r="A217" s="10"/>
      <c r="B217" s="10"/>
      <c r="C217" s="26"/>
      <c r="D217" s="8"/>
      <c r="E217" s="8"/>
      <c r="F217" s="8"/>
      <c r="G217" s="112"/>
      <c r="H217" s="577" t="s">
        <v>585</v>
      </c>
      <c r="I217" s="578"/>
      <c r="J217" s="23">
        <f>SUM(J216:J216)</f>
        <v>71.414999999999992</v>
      </c>
      <c r="K217" s="157"/>
      <c r="L217" s="157"/>
      <c r="M217" s="141"/>
      <c r="N217" s="141"/>
      <c r="O217" s="141"/>
    </row>
    <row r="218" spans="1:15" ht="14.25">
      <c r="A218" s="10"/>
      <c r="B218" s="10"/>
      <c r="C218" s="66" t="s">
        <v>499</v>
      </c>
      <c r="D218" s="8" t="s">
        <v>584</v>
      </c>
      <c r="E218" s="8"/>
      <c r="F218" s="14">
        <v>2</v>
      </c>
      <c r="G218" s="14">
        <v>18.96</v>
      </c>
      <c r="H218" s="14">
        <v>0.23</v>
      </c>
      <c r="I218" s="14">
        <v>0.6</v>
      </c>
      <c r="J218" s="14">
        <f>I218*H218*G218*F218</f>
        <v>5.2329600000000003</v>
      </c>
      <c r="K218" s="157"/>
      <c r="L218" s="157"/>
      <c r="M218" s="141"/>
      <c r="N218" s="141"/>
      <c r="O218" s="141"/>
    </row>
    <row r="219" spans="1:15" ht="14.25">
      <c r="A219" s="10"/>
      <c r="B219" s="10"/>
      <c r="C219" s="26"/>
      <c r="D219" s="8" t="s">
        <v>584</v>
      </c>
      <c r="E219" s="8"/>
      <c r="F219" s="14">
        <v>1</v>
      </c>
      <c r="G219" s="14">
        <v>1.8</v>
      </c>
      <c r="H219" s="14">
        <v>0.23</v>
      </c>
      <c r="I219" s="14">
        <v>0.6</v>
      </c>
      <c r="J219" s="14">
        <f t="shared" ref="J219:J226" si="9">I219*H219*G219*F219</f>
        <v>0.24840000000000004</v>
      </c>
      <c r="K219" s="157"/>
      <c r="L219" s="157">
        <f t="shared" ref="L219:L226" si="10">F219*G219</f>
        <v>1.8</v>
      </c>
      <c r="M219" s="141"/>
      <c r="N219" s="141"/>
      <c r="O219" s="141"/>
    </row>
    <row r="220" spans="1:15" ht="14.25">
      <c r="A220" s="10"/>
      <c r="B220" s="10"/>
      <c r="C220" s="26"/>
      <c r="D220" s="8" t="s">
        <v>584</v>
      </c>
      <c r="E220" s="8"/>
      <c r="F220" s="14">
        <v>1</v>
      </c>
      <c r="G220" s="14">
        <v>15.07</v>
      </c>
      <c r="H220" s="14">
        <v>0.23</v>
      </c>
      <c r="I220" s="14">
        <v>0.6</v>
      </c>
      <c r="J220" s="14">
        <f t="shared" si="9"/>
        <v>2.0796600000000001</v>
      </c>
      <c r="K220" s="157"/>
      <c r="L220" s="157">
        <f t="shared" si="10"/>
        <v>15.07</v>
      </c>
      <c r="M220" s="141"/>
      <c r="N220" s="141"/>
      <c r="O220" s="141"/>
    </row>
    <row r="221" spans="1:15" ht="14.25">
      <c r="A221" s="10"/>
      <c r="B221" s="10"/>
      <c r="C221" s="26"/>
      <c r="D221" s="8" t="s">
        <v>584</v>
      </c>
      <c r="E221" s="8"/>
      <c r="F221" s="14">
        <v>1</v>
      </c>
      <c r="G221" s="14">
        <v>12.41</v>
      </c>
      <c r="H221" s="14">
        <v>0.23</v>
      </c>
      <c r="I221" s="14">
        <v>0.6</v>
      </c>
      <c r="J221" s="14">
        <f t="shared" si="9"/>
        <v>1.7125800000000002</v>
      </c>
      <c r="K221" s="157"/>
      <c r="L221" s="157">
        <f t="shared" si="10"/>
        <v>12.41</v>
      </c>
      <c r="M221" s="141"/>
      <c r="N221" s="141"/>
      <c r="O221" s="141"/>
    </row>
    <row r="222" spans="1:15" ht="14.25">
      <c r="A222" s="10"/>
      <c r="B222" s="10"/>
      <c r="C222" s="26"/>
      <c r="D222" s="8" t="s">
        <v>584</v>
      </c>
      <c r="E222" s="8"/>
      <c r="F222" s="14">
        <v>1</v>
      </c>
      <c r="G222" s="14">
        <v>3.34</v>
      </c>
      <c r="H222" s="14">
        <v>0.23</v>
      </c>
      <c r="I222" s="14">
        <v>0.6</v>
      </c>
      <c r="J222" s="14">
        <f t="shared" si="9"/>
        <v>0.46092</v>
      </c>
      <c r="K222" s="157"/>
      <c r="L222" s="157">
        <f t="shared" si="10"/>
        <v>3.34</v>
      </c>
      <c r="M222" s="141"/>
      <c r="N222" s="141"/>
      <c r="O222" s="141"/>
    </row>
    <row r="223" spans="1:15" ht="14.25">
      <c r="A223" s="10"/>
      <c r="B223" s="10"/>
      <c r="C223" s="26"/>
      <c r="D223" s="8" t="s">
        <v>584</v>
      </c>
      <c r="E223" s="8"/>
      <c r="F223" s="14">
        <v>2</v>
      </c>
      <c r="G223" s="14">
        <v>5</v>
      </c>
      <c r="H223" s="14">
        <v>0.23</v>
      </c>
      <c r="I223" s="14">
        <v>0.6</v>
      </c>
      <c r="J223" s="14">
        <f t="shared" si="9"/>
        <v>1.3800000000000001</v>
      </c>
      <c r="K223" s="157"/>
      <c r="L223" s="157">
        <f t="shared" si="10"/>
        <v>10</v>
      </c>
      <c r="M223" s="141"/>
      <c r="N223" s="141"/>
      <c r="O223" s="141"/>
    </row>
    <row r="224" spans="1:15" ht="14.25">
      <c r="A224" s="10"/>
      <c r="B224" s="10"/>
      <c r="C224" s="26"/>
      <c r="D224" s="8" t="s">
        <v>584</v>
      </c>
      <c r="E224" s="8"/>
      <c r="F224" s="14">
        <v>1</v>
      </c>
      <c r="G224" s="14">
        <v>5.13</v>
      </c>
      <c r="H224" s="14">
        <v>0.23</v>
      </c>
      <c r="I224" s="14">
        <v>0.6</v>
      </c>
      <c r="J224" s="14">
        <f t="shared" si="9"/>
        <v>0.70794000000000001</v>
      </c>
      <c r="K224" s="157"/>
      <c r="L224" s="157">
        <f t="shared" si="10"/>
        <v>5.13</v>
      </c>
      <c r="M224" s="141"/>
      <c r="N224" s="141"/>
      <c r="O224" s="141"/>
    </row>
    <row r="225" spans="1:15" ht="14.25">
      <c r="A225" s="10"/>
      <c r="B225" s="10"/>
      <c r="C225" s="26"/>
      <c r="D225" s="8" t="s">
        <v>584</v>
      </c>
      <c r="E225" s="8"/>
      <c r="F225" s="14">
        <v>2</v>
      </c>
      <c r="G225" s="14">
        <v>6.14</v>
      </c>
      <c r="H225" s="14">
        <v>0.23</v>
      </c>
      <c r="I225" s="14">
        <v>0.6</v>
      </c>
      <c r="J225" s="14">
        <f t="shared" si="9"/>
        <v>1.6946400000000001</v>
      </c>
      <c r="K225" s="157"/>
      <c r="L225" s="157">
        <f t="shared" si="10"/>
        <v>12.28</v>
      </c>
      <c r="M225" s="141"/>
      <c r="N225" s="141"/>
      <c r="O225" s="141"/>
    </row>
    <row r="226" spans="1:15" ht="14.25">
      <c r="A226" s="10"/>
      <c r="B226" s="10"/>
      <c r="C226" s="26"/>
      <c r="D226" s="8" t="s">
        <v>584</v>
      </c>
      <c r="E226" s="8"/>
      <c r="F226" s="14">
        <v>4</v>
      </c>
      <c r="G226" s="14">
        <v>12.68</v>
      </c>
      <c r="H226" s="14">
        <v>0.23</v>
      </c>
      <c r="I226" s="14">
        <v>0.6</v>
      </c>
      <c r="J226" s="14">
        <f t="shared" si="9"/>
        <v>6.9993600000000002</v>
      </c>
      <c r="K226" s="157"/>
      <c r="L226" s="157">
        <f t="shared" si="10"/>
        <v>50.72</v>
      </c>
      <c r="M226" s="141"/>
      <c r="N226" s="141"/>
      <c r="O226" s="141"/>
    </row>
    <row r="227" spans="1:15" ht="14.25">
      <c r="A227" s="10"/>
      <c r="B227" s="10"/>
      <c r="C227" s="26"/>
      <c r="D227" s="8"/>
      <c r="E227" s="8"/>
      <c r="F227" s="14">
        <v>1</v>
      </c>
      <c r="G227" s="14">
        <v>3.22</v>
      </c>
      <c r="H227" s="14">
        <v>0.23</v>
      </c>
      <c r="I227" s="14">
        <v>0.6</v>
      </c>
      <c r="J227" s="14">
        <f>I227*H227*G227*F227</f>
        <v>0.44436000000000009</v>
      </c>
      <c r="K227" s="157"/>
      <c r="L227" s="157"/>
      <c r="M227" s="141"/>
      <c r="N227" s="141"/>
      <c r="O227" s="141"/>
    </row>
    <row r="228" spans="1:15" ht="14.25">
      <c r="A228" s="10"/>
      <c r="B228" s="10"/>
      <c r="C228" s="26"/>
      <c r="D228" s="8"/>
      <c r="E228" s="8"/>
      <c r="F228" s="14">
        <v>1</v>
      </c>
      <c r="G228" s="14">
        <v>2.25</v>
      </c>
      <c r="H228" s="14">
        <v>0.23</v>
      </c>
      <c r="I228" s="14">
        <v>0.6</v>
      </c>
      <c r="J228" s="14">
        <f>I228*H228*G228*F228</f>
        <v>0.3105</v>
      </c>
      <c r="K228" s="157"/>
      <c r="L228" s="157"/>
      <c r="M228" s="141"/>
      <c r="N228" s="141"/>
      <c r="O228" s="141"/>
    </row>
    <row r="229" spans="1:15" ht="14.25">
      <c r="A229" s="10"/>
      <c r="B229" s="10"/>
      <c r="C229" s="26"/>
      <c r="D229" s="8"/>
      <c r="E229" s="8"/>
      <c r="F229" s="14"/>
      <c r="G229" s="14"/>
      <c r="H229" s="159"/>
      <c r="I229" s="160"/>
      <c r="J229" s="14"/>
      <c r="K229" s="157"/>
      <c r="L229" s="157"/>
      <c r="M229" s="141"/>
      <c r="N229" s="141"/>
      <c r="O229" s="141"/>
    </row>
    <row r="230" spans="1:15" ht="14.25">
      <c r="A230" s="10"/>
      <c r="B230" s="10"/>
      <c r="C230" s="26"/>
      <c r="D230" s="8"/>
      <c r="E230" s="8"/>
      <c r="F230" s="14"/>
      <c r="G230" s="14"/>
      <c r="H230" s="159"/>
      <c r="I230" s="160"/>
      <c r="J230" s="14"/>
      <c r="K230" s="157"/>
      <c r="L230" s="157"/>
      <c r="M230" s="141"/>
      <c r="N230" s="141"/>
      <c r="O230" s="141"/>
    </row>
    <row r="231" spans="1:15" ht="14.25">
      <c r="A231" s="10"/>
      <c r="B231" s="10"/>
      <c r="C231" s="26"/>
      <c r="D231" s="8"/>
      <c r="E231" s="8"/>
      <c r="F231" s="8"/>
      <c r="G231" s="8"/>
      <c r="H231" s="579" t="s">
        <v>586</v>
      </c>
      <c r="I231" s="580"/>
      <c r="J231" s="32">
        <f>SUM(J218:J228)</f>
        <v>21.271320000000003</v>
      </c>
      <c r="K231" s="157"/>
      <c r="L231" s="157"/>
      <c r="M231" s="141"/>
      <c r="N231" s="141"/>
      <c r="O231" s="141"/>
    </row>
    <row r="232" spans="1:15" ht="14.25">
      <c r="A232" s="10"/>
      <c r="B232" s="10"/>
      <c r="C232" s="66" t="s">
        <v>587</v>
      </c>
      <c r="D232" s="8"/>
      <c r="E232" s="8"/>
      <c r="F232" s="8"/>
      <c r="G232" s="8"/>
      <c r="H232" s="14"/>
      <c r="I232" s="14"/>
      <c r="J232" s="32"/>
      <c r="K232" s="157"/>
      <c r="L232" s="157"/>
      <c r="M232" s="141"/>
      <c r="N232" s="141"/>
      <c r="O232" s="141"/>
    </row>
    <row r="233" spans="1:15" ht="14.25">
      <c r="A233" s="106"/>
      <c r="B233" s="10"/>
      <c r="C233" s="26"/>
      <c r="D233" s="8" t="s">
        <v>584</v>
      </c>
      <c r="E233" s="8">
        <v>1</v>
      </c>
      <c r="F233" s="8">
        <v>1</v>
      </c>
      <c r="G233" s="8">
        <v>211</v>
      </c>
      <c r="H233" s="14">
        <v>1</v>
      </c>
      <c r="I233" s="14">
        <v>0.1</v>
      </c>
      <c r="J233" s="14">
        <f>I233*H233*G233*F233*E233</f>
        <v>21.1</v>
      </c>
      <c r="K233" s="157"/>
      <c r="L233" s="157"/>
      <c r="M233" s="141"/>
      <c r="N233" s="141"/>
      <c r="O233" s="141"/>
    </row>
    <row r="234" spans="1:15" ht="14.25">
      <c r="A234" s="106"/>
      <c r="B234" s="10"/>
      <c r="C234" s="26"/>
      <c r="D234" s="8"/>
      <c r="E234" s="8"/>
      <c r="F234" s="8"/>
      <c r="G234" s="8"/>
      <c r="H234" s="14"/>
      <c r="I234" s="14"/>
      <c r="J234" s="14"/>
      <c r="K234" s="157"/>
      <c r="L234" s="157"/>
      <c r="M234" s="141"/>
      <c r="N234" s="141"/>
      <c r="O234" s="141"/>
    </row>
    <row r="235" spans="1:15" ht="14.25">
      <c r="A235" s="10"/>
      <c r="B235" s="10"/>
      <c r="C235" s="26"/>
      <c r="D235" s="8"/>
      <c r="E235" s="8"/>
      <c r="F235" s="8"/>
      <c r="G235" s="8"/>
      <c r="H235" s="579" t="s">
        <v>589</v>
      </c>
      <c r="I235" s="580"/>
      <c r="J235" s="32">
        <f>SUM(J233:J234)</f>
        <v>21.1</v>
      </c>
      <c r="K235" s="157"/>
      <c r="L235" s="157"/>
      <c r="M235" s="141"/>
      <c r="N235" s="141"/>
      <c r="O235" s="141"/>
    </row>
    <row r="236" spans="1:15" ht="14.25">
      <c r="A236" s="10"/>
      <c r="B236" s="10"/>
      <c r="C236" s="26"/>
      <c r="D236" s="8"/>
      <c r="E236" s="8"/>
      <c r="F236" s="8"/>
      <c r="G236" s="8"/>
      <c r="H236" s="159"/>
      <c r="I236" s="160"/>
      <c r="J236" s="32"/>
      <c r="K236" s="157"/>
      <c r="L236" s="157"/>
      <c r="M236" s="141"/>
      <c r="N236" s="141"/>
      <c r="O236" s="141"/>
    </row>
    <row r="237" spans="1:15" ht="14.25">
      <c r="A237" s="10"/>
      <c r="B237" s="10"/>
      <c r="C237" s="26"/>
      <c r="D237" s="8"/>
      <c r="E237" s="8"/>
      <c r="F237" s="8"/>
      <c r="G237" s="8"/>
      <c r="H237" s="159"/>
      <c r="I237" s="160"/>
      <c r="J237" s="32">
        <v>0</v>
      </c>
      <c r="K237" s="157"/>
      <c r="L237" s="157"/>
      <c r="M237" s="141"/>
      <c r="N237" s="141"/>
      <c r="O237" s="141"/>
    </row>
    <row r="238" spans="1:15" ht="14.25">
      <c r="A238" s="10"/>
      <c r="B238" s="10"/>
      <c r="C238" s="26"/>
      <c r="D238" s="8"/>
      <c r="E238" s="8"/>
      <c r="F238" s="8"/>
      <c r="G238" s="8"/>
      <c r="H238" s="159"/>
      <c r="I238" s="160"/>
      <c r="J238" s="32"/>
      <c r="K238" s="157"/>
      <c r="L238" s="157"/>
      <c r="M238" s="141"/>
      <c r="N238" s="141"/>
      <c r="O238" s="141"/>
    </row>
    <row r="239" spans="1:15" ht="14.25">
      <c r="A239" s="10"/>
      <c r="B239" s="10"/>
      <c r="C239" s="66" t="s">
        <v>538</v>
      </c>
      <c r="D239" s="8"/>
      <c r="E239" s="8"/>
      <c r="F239" s="8"/>
      <c r="G239" s="8"/>
      <c r="H239" s="8"/>
      <c r="I239" s="8"/>
      <c r="J239" s="14" t="s">
        <v>471</v>
      </c>
      <c r="K239" s="157"/>
      <c r="L239" s="157"/>
      <c r="M239" s="141"/>
      <c r="N239" s="141"/>
      <c r="O239" s="141"/>
    </row>
    <row r="240" spans="1:15" ht="14.25">
      <c r="A240" s="10"/>
      <c r="B240" s="10"/>
      <c r="C240" s="26"/>
      <c r="D240" s="8" t="s">
        <v>584</v>
      </c>
      <c r="E240" s="8">
        <v>27</v>
      </c>
      <c r="F240" s="8">
        <v>1</v>
      </c>
      <c r="G240" s="8">
        <v>0.6</v>
      </c>
      <c r="H240" s="8">
        <v>0.23</v>
      </c>
      <c r="I240" s="8">
        <v>2.85</v>
      </c>
      <c r="J240" s="14">
        <f>I240*H240*G240*F240*E240</f>
        <v>10.619100000000001</v>
      </c>
      <c r="K240" s="157"/>
      <c r="L240" s="157">
        <f>2.9</f>
        <v>2.9</v>
      </c>
      <c r="M240" s="141" t="s">
        <v>590</v>
      </c>
      <c r="N240" s="141"/>
      <c r="O240" s="141"/>
    </row>
    <row r="241" spans="1:15" ht="14.25">
      <c r="A241" s="10"/>
      <c r="B241" s="10"/>
      <c r="C241" s="26"/>
      <c r="D241" s="8"/>
      <c r="E241" s="8"/>
      <c r="F241" s="8"/>
      <c r="G241" s="111"/>
      <c r="H241" s="577" t="s">
        <v>591</v>
      </c>
      <c r="I241" s="578"/>
      <c r="J241" s="23">
        <f>SUM(J240:J240)</f>
        <v>10.619100000000001</v>
      </c>
      <c r="K241" s="157"/>
      <c r="L241" s="157">
        <v>0.15</v>
      </c>
      <c r="M241" s="141" t="s">
        <v>592</v>
      </c>
      <c r="N241" s="141"/>
      <c r="O241" s="141"/>
    </row>
    <row r="242" spans="1:15" ht="14.25">
      <c r="A242" s="10"/>
      <c r="B242" s="10"/>
      <c r="C242" s="26"/>
      <c r="D242" s="8"/>
      <c r="E242" s="8"/>
      <c r="F242" s="8"/>
      <c r="G242" s="111"/>
      <c r="H242" s="577" t="s">
        <v>491</v>
      </c>
      <c r="I242" s="578"/>
      <c r="J242" s="23">
        <f>J241+J235+J231+J217+J237</f>
        <v>124.40541999999999</v>
      </c>
      <c r="K242" s="157"/>
      <c r="L242" s="157">
        <v>0.15</v>
      </c>
      <c r="M242" s="141" t="s">
        <v>593</v>
      </c>
      <c r="N242" s="141"/>
      <c r="O242" s="141"/>
    </row>
    <row r="243" spans="1:15" ht="14.25">
      <c r="A243" s="10"/>
      <c r="B243" s="10"/>
      <c r="C243" s="27"/>
      <c r="D243" s="8"/>
      <c r="E243" s="8"/>
      <c r="F243" s="8"/>
      <c r="G243" s="8"/>
      <c r="H243" s="577" t="s">
        <v>594</v>
      </c>
      <c r="I243" s="578"/>
      <c r="J243" s="32">
        <f>J242</f>
        <v>124.40541999999999</v>
      </c>
      <c r="K243" s="157"/>
      <c r="L243" s="157">
        <v>0.5</v>
      </c>
      <c r="M243" s="141" t="s">
        <v>595</v>
      </c>
      <c r="N243" s="141"/>
      <c r="O243" s="141"/>
    </row>
    <row r="244" spans="1:15" ht="14.25">
      <c r="A244" s="10"/>
      <c r="B244" s="10"/>
      <c r="C244" s="27"/>
      <c r="D244" s="8"/>
      <c r="E244" s="8"/>
      <c r="F244" s="8"/>
      <c r="G244" s="8"/>
      <c r="H244" s="8"/>
      <c r="I244" s="23"/>
      <c r="J244" s="32"/>
      <c r="K244" s="157"/>
      <c r="L244" s="157">
        <f>L241+L242+L243</f>
        <v>0.8</v>
      </c>
      <c r="M244" s="141"/>
      <c r="N244" s="141"/>
      <c r="O244" s="141"/>
    </row>
    <row r="245" spans="1:15" ht="14.25">
      <c r="A245" s="10" t="s">
        <v>351</v>
      </c>
      <c r="B245" s="10" t="s">
        <v>596</v>
      </c>
      <c r="C245" s="27" t="s">
        <v>597</v>
      </c>
      <c r="D245" s="8"/>
      <c r="E245" s="8"/>
      <c r="F245" s="8"/>
      <c r="G245" s="8"/>
      <c r="H245" s="8"/>
      <c r="I245" s="23"/>
      <c r="J245" s="32"/>
      <c r="K245" s="157"/>
      <c r="L245" s="157">
        <f>L240-L244</f>
        <v>2.0999999999999996</v>
      </c>
      <c r="M245" s="141" t="s">
        <v>590</v>
      </c>
      <c r="N245" s="141"/>
      <c r="O245" s="141"/>
    </row>
    <row r="246" spans="1:15" ht="14.25">
      <c r="A246" s="10"/>
      <c r="B246" s="10"/>
      <c r="C246" s="9" t="s">
        <v>598</v>
      </c>
      <c r="D246" s="8"/>
      <c r="E246" s="8"/>
      <c r="F246" s="8"/>
      <c r="G246" s="8"/>
      <c r="H246" s="159"/>
      <c r="I246" s="160"/>
      <c r="J246" s="32"/>
      <c r="K246" s="157"/>
      <c r="L246" s="157">
        <v>0.75</v>
      </c>
      <c r="M246" s="141" t="s">
        <v>599</v>
      </c>
      <c r="N246" s="141"/>
      <c r="O246" s="141"/>
    </row>
    <row r="247" spans="1:15" ht="14.25">
      <c r="A247" s="10"/>
      <c r="B247" s="10"/>
      <c r="C247" s="66"/>
      <c r="D247" s="8" t="s">
        <v>584</v>
      </c>
      <c r="E247" s="8"/>
      <c r="F247" s="14">
        <v>2</v>
      </c>
      <c r="G247" s="14">
        <v>18.96</v>
      </c>
      <c r="H247" s="14">
        <v>0.23</v>
      </c>
      <c r="I247" s="14">
        <v>0.45</v>
      </c>
      <c r="J247" s="14">
        <f>I247*H247*G247*F247</f>
        <v>3.9247200000000007</v>
      </c>
      <c r="K247" s="157"/>
      <c r="L247" s="157">
        <f>L246+L245</f>
        <v>2.8499999999999996</v>
      </c>
      <c r="M247" s="141"/>
      <c r="N247" s="141"/>
      <c r="O247" s="141"/>
    </row>
    <row r="248" spans="1:15" ht="14.25">
      <c r="A248" s="10"/>
      <c r="B248" s="10"/>
      <c r="C248" s="26"/>
      <c r="D248" s="8" t="s">
        <v>584</v>
      </c>
      <c r="E248" s="8"/>
      <c r="F248" s="14">
        <v>1</v>
      </c>
      <c r="G248" s="14">
        <v>1.8</v>
      </c>
      <c r="H248" s="14">
        <v>0.23</v>
      </c>
      <c r="I248" s="14">
        <v>0.45</v>
      </c>
      <c r="J248" s="14">
        <f t="shared" ref="J248:J256" si="11">I248*H248*G248*F248</f>
        <v>0.18630000000000002</v>
      </c>
      <c r="K248" s="157"/>
      <c r="L248" s="157"/>
      <c r="M248" s="141"/>
      <c r="N248" s="141"/>
      <c r="O248" s="141"/>
    </row>
    <row r="249" spans="1:15" ht="14.25">
      <c r="A249" s="10"/>
      <c r="B249" s="10"/>
      <c r="C249" s="26"/>
      <c r="D249" s="8" t="s">
        <v>584</v>
      </c>
      <c r="E249" s="8"/>
      <c r="F249" s="14">
        <v>1</v>
      </c>
      <c r="G249" s="14">
        <v>15.07</v>
      </c>
      <c r="H249" s="14">
        <v>0.23</v>
      </c>
      <c r="I249" s="14">
        <v>0.45</v>
      </c>
      <c r="J249" s="14">
        <f t="shared" si="11"/>
        <v>1.5597450000000002</v>
      </c>
      <c r="K249" s="157"/>
      <c r="L249" s="157"/>
      <c r="M249" s="141"/>
      <c r="N249" s="141"/>
      <c r="O249" s="141"/>
    </row>
    <row r="250" spans="1:15" ht="14.25">
      <c r="A250" s="10"/>
      <c r="B250" s="10"/>
      <c r="C250" s="26"/>
      <c r="D250" s="8" t="s">
        <v>584</v>
      </c>
      <c r="E250" s="8"/>
      <c r="F250" s="14">
        <v>1</v>
      </c>
      <c r="G250" s="14">
        <v>12.41</v>
      </c>
      <c r="H250" s="14">
        <v>0.23</v>
      </c>
      <c r="I250" s="14">
        <v>0.45</v>
      </c>
      <c r="J250" s="14">
        <f t="shared" si="11"/>
        <v>1.2844350000000002</v>
      </c>
      <c r="K250" s="157"/>
      <c r="L250" s="157"/>
      <c r="M250" s="141"/>
      <c r="N250" s="141"/>
      <c r="O250" s="141"/>
    </row>
    <row r="251" spans="1:15" ht="14.25">
      <c r="A251" s="10"/>
      <c r="B251" s="10"/>
      <c r="C251" s="26"/>
      <c r="D251" s="8" t="s">
        <v>584</v>
      </c>
      <c r="E251" s="8"/>
      <c r="F251" s="14">
        <v>1</v>
      </c>
      <c r="G251" s="14">
        <v>3.34</v>
      </c>
      <c r="H251" s="14">
        <v>0.23</v>
      </c>
      <c r="I251" s="14">
        <v>0.45</v>
      </c>
      <c r="J251" s="14">
        <f t="shared" si="11"/>
        <v>0.34569</v>
      </c>
      <c r="K251" s="157"/>
      <c r="L251" s="157"/>
      <c r="M251" s="141"/>
      <c r="N251" s="141"/>
      <c r="O251" s="141"/>
    </row>
    <row r="252" spans="1:15" ht="14.25">
      <c r="A252" s="10"/>
      <c r="B252" s="10"/>
      <c r="C252" s="26"/>
      <c r="D252" s="8" t="s">
        <v>584</v>
      </c>
      <c r="E252" s="8"/>
      <c r="F252" s="14">
        <v>2</v>
      </c>
      <c r="G252" s="14">
        <v>5</v>
      </c>
      <c r="H252" s="14">
        <v>0.23</v>
      </c>
      <c r="I252" s="14">
        <v>0.45</v>
      </c>
      <c r="J252" s="14">
        <f t="shared" si="11"/>
        <v>1.0350000000000001</v>
      </c>
      <c r="K252" s="157"/>
      <c r="L252" s="157"/>
      <c r="M252" s="141"/>
      <c r="N252" s="141"/>
      <c r="O252" s="141"/>
    </row>
    <row r="253" spans="1:15" ht="14.25">
      <c r="A253" s="10"/>
      <c r="B253" s="10"/>
      <c r="C253" s="26"/>
      <c r="D253" s="8" t="s">
        <v>584</v>
      </c>
      <c r="E253" s="8"/>
      <c r="F253" s="14">
        <v>1</v>
      </c>
      <c r="G253" s="14">
        <v>5.13</v>
      </c>
      <c r="H253" s="14">
        <v>0.23</v>
      </c>
      <c r="I253" s="14">
        <v>0.45</v>
      </c>
      <c r="J253" s="14">
        <f t="shared" si="11"/>
        <v>0.53095500000000007</v>
      </c>
      <c r="K253" s="157"/>
      <c r="L253" s="157"/>
      <c r="M253" s="141"/>
      <c r="N253" s="141"/>
      <c r="O253" s="141"/>
    </row>
    <row r="254" spans="1:15" ht="14.25">
      <c r="A254" s="10"/>
      <c r="B254" s="10"/>
      <c r="C254" s="26"/>
      <c r="D254" s="8" t="s">
        <v>584</v>
      </c>
      <c r="E254" s="8"/>
      <c r="F254" s="14">
        <v>2</v>
      </c>
      <c r="G254" s="14">
        <v>6.14</v>
      </c>
      <c r="H254" s="14">
        <v>0.23</v>
      </c>
      <c r="I254" s="14">
        <v>0.45</v>
      </c>
      <c r="J254" s="14">
        <f t="shared" si="11"/>
        <v>1.27098</v>
      </c>
      <c r="K254" s="157"/>
      <c r="L254" s="157"/>
      <c r="M254" s="141"/>
      <c r="N254" s="141"/>
      <c r="O254" s="141"/>
    </row>
    <row r="255" spans="1:15" ht="14.25">
      <c r="A255" s="10"/>
      <c r="B255" s="10"/>
      <c r="C255" s="26"/>
      <c r="D255" s="8" t="s">
        <v>584</v>
      </c>
      <c r="E255" s="8"/>
      <c r="F255" s="14">
        <v>4</v>
      </c>
      <c r="G255" s="14">
        <v>12.68</v>
      </c>
      <c r="H255" s="14">
        <v>0.23</v>
      </c>
      <c r="I255" s="14">
        <v>0.45</v>
      </c>
      <c r="J255" s="14">
        <f t="shared" si="11"/>
        <v>5.2495200000000004</v>
      </c>
      <c r="K255" s="157"/>
      <c r="L255" s="157"/>
      <c r="M255" s="141"/>
      <c r="N255" s="141"/>
      <c r="O255" s="141"/>
    </row>
    <row r="256" spans="1:15" ht="14.25">
      <c r="A256" s="10"/>
      <c r="B256" s="10"/>
      <c r="C256" s="26"/>
      <c r="D256" s="8"/>
      <c r="E256" s="8"/>
      <c r="F256" s="14">
        <v>1</v>
      </c>
      <c r="G256" s="14">
        <v>3.22</v>
      </c>
      <c r="H256" s="14">
        <v>0.23</v>
      </c>
      <c r="I256" s="14">
        <v>0.45</v>
      </c>
      <c r="J256" s="14">
        <f t="shared" si="11"/>
        <v>0.33327000000000007</v>
      </c>
      <c r="K256" s="157"/>
      <c r="L256" s="157"/>
      <c r="M256" s="141"/>
      <c r="N256" s="141"/>
      <c r="O256" s="141"/>
    </row>
    <row r="257" spans="1:15" ht="14.25">
      <c r="A257" s="10"/>
      <c r="B257" s="10"/>
      <c r="C257" s="26"/>
      <c r="D257" s="8"/>
      <c r="E257" s="8"/>
      <c r="F257" s="14">
        <v>1</v>
      </c>
      <c r="G257" s="14">
        <v>2.25</v>
      </c>
      <c r="H257" s="14">
        <v>0.23</v>
      </c>
      <c r="I257" s="14">
        <v>0.45</v>
      </c>
      <c r="J257" s="14">
        <f>I257*H257*G257*F257</f>
        <v>0.23287500000000003</v>
      </c>
      <c r="K257" s="157"/>
      <c r="L257" s="157"/>
      <c r="M257" s="141"/>
      <c r="N257" s="141"/>
      <c r="O257" s="141"/>
    </row>
    <row r="258" spans="1:15" ht="14.25">
      <c r="A258" s="10"/>
      <c r="B258" s="10"/>
      <c r="C258" s="26"/>
      <c r="D258" s="8"/>
      <c r="E258" s="8"/>
      <c r="F258" s="119"/>
      <c r="G258" s="119"/>
      <c r="H258" s="14"/>
      <c r="I258" s="14"/>
      <c r="J258" s="14"/>
      <c r="K258" s="157"/>
      <c r="L258" s="157"/>
      <c r="M258" s="141"/>
      <c r="N258" s="141"/>
      <c r="O258" s="141"/>
    </row>
    <row r="259" spans="1:15" ht="14.25">
      <c r="A259" s="10"/>
      <c r="B259" s="10"/>
      <c r="C259" s="9"/>
      <c r="D259" s="8"/>
      <c r="E259" s="8"/>
      <c r="F259" s="8"/>
      <c r="G259" s="8"/>
      <c r="H259" s="579" t="s">
        <v>602</v>
      </c>
      <c r="I259" s="580"/>
      <c r="J259" s="32">
        <f>SUM(J247:J258)</f>
        <v>15.953490000000004</v>
      </c>
      <c r="K259" s="157"/>
      <c r="L259" s="157"/>
      <c r="M259" s="141"/>
      <c r="N259" s="141"/>
      <c r="O259" s="141"/>
    </row>
    <row r="260" spans="1:15" ht="14.25">
      <c r="A260" s="10"/>
      <c r="B260" s="10"/>
      <c r="C260" s="9"/>
      <c r="D260" s="8"/>
      <c r="E260" s="8"/>
      <c r="F260" s="8"/>
      <c r="G260" s="8"/>
      <c r="H260" s="159"/>
      <c r="I260" s="160"/>
      <c r="J260" s="32"/>
      <c r="K260" s="157"/>
      <c r="L260" s="157"/>
      <c r="M260" s="141"/>
      <c r="N260" s="141"/>
      <c r="O260" s="141"/>
    </row>
    <row r="261" spans="1:15" ht="14.25">
      <c r="A261" s="10"/>
      <c r="B261" s="10"/>
      <c r="C261" s="9" t="s">
        <v>603</v>
      </c>
      <c r="D261" s="8"/>
      <c r="E261" s="8"/>
      <c r="F261" s="8"/>
      <c r="G261" s="8"/>
      <c r="H261" s="159"/>
      <c r="I261" s="160"/>
      <c r="J261" s="32"/>
      <c r="K261" s="157"/>
      <c r="L261" s="157"/>
      <c r="M261" s="141"/>
      <c r="N261" s="141"/>
      <c r="O261" s="141"/>
    </row>
    <row r="262" spans="1:15" ht="14.25">
      <c r="A262" s="10"/>
      <c r="B262" s="10"/>
      <c r="C262" s="26"/>
      <c r="D262" s="8" t="s">
        <v>584</v>
      </c>
      <c r="E262" s="8"/>
      <c r="F262" s="8">
        <v>1</v>
      </c>
      <c r="G262" s="8">
        <v>211</v>
      </c>
      <c r="H262" s="14">
        <v>1</v>
      </c>
      <c r="I262" s="14">
        <v>0.12</v>
      </c>
      <c r="J262" s="14">
        <f>I262*H262*G262*F262</f>
        <v>25.32</v>
      </c>
      <c r="K262" s="157"/>
      <c r="L262" s="157"/>
      <c r="M262" s="141"/>
      <c r="N262" s="141"/>
      <c r="O262" s="141"/>
    </row>
    <row r="263" spans="1:15" ht="14.25">
      <c r="A263" s="10"/>
      <c r="B263" s="10"/>
      <c r="C263" s="9"/>
      <c r="D263" s="8"/>
      <c r="E263" s="8"/>
      <c r="F263" s="8"/>
      <c r="G263" s="8"/>
      <c r="H263" s="159"/>
      <c r="I263" s="160"/>
      <c r="J263" s="32"/>
      <c r="K263" s="157"/>
      <c r="L263" s="157"/>
      <c r="M263" s="141"/>
      <c r="N263" s="141"/>
      <c r="O263" s="141"/>
    </row>
    <row r="264" spans="1:15" ht="14.25">
      <c r="A264" s="10"/>
      <c r="B264" s="10"/>
      <c r="C264" s="26" t="s">
        <v>604</v>
      </c>
      <c r="D264" s="8" t="s">
        <v>495</v>
      </c>
      <c r="E264" s="8"/>
      <c r="F264" s="8">
        <v>2</v>
      </c>
      <c r="G264" s="8">
        <v>3.1549999999999998</v>
      </c>
      <c r="H264" s="14">
        <v>1.5</v>
      </c>
      <c r="I264" s="14">
        <v>0.15</v>
      </c>
      <c r="J264" s="14">
        <f>F264*G264*H264*I264</f>
        <v>1.4197499999999998</v>
      </c>
      <c r="K264" s="157"/>
      <c r="L264" s="157"/>
      <c r="M264" s="141"/>
      <c r="N264" s="141"/>
      <c r="O264" s="141"/>
    </row>
    <row r="265" spans="1:15" ht="14.25">
      <c r="A265" s="10"/>
      <c r="B265" s="10"/>
      <c r="C265" s="9" t="s">
        <v>532</v>
      </c>
      <c r="D265" s="8" t="s">
        <v>495</v>
      </c>
      <c r="E265" s="8"/>
      <c r="F265" s="8">
        <v>1</v>
      </c>
      <c r="G265" s="8">
        <v>5.81</v>
      </c>
      <c r="H265" s="14">
        <v>3.15</v>
      </c>
      <c r="I265" s="14">
        <v>0.15</v>
      </c>
      <c r="J265" s="14">
        <f>F265*G265*H265*I265</f>
        <v>2.7452249999999996</v>
      </c>
      <c r="K265" s="157"/>
      <c r="L265" s="157"/>
      <c r="M265" s="141"/>
      <c r="N265" s="141"/>
      <c r="O265" s="141"/>
    </row>
    <row r="266" spans="1:15" ht="14.25">
      <c r="A266" s="10"/>
      <c r="B266" s="10"/>
      <c r="C266" s="9"/>
      <c r="D266" s="8"/>
      <c r="E266" s="8"/>
      <c r="F266" s="8"/>
      <c r="G266" s="8"/>
      <c r="H266" s="14"/>
      <c r="I266" s="14"/>
      <c r="J266" s="14"/>
      <c r="K266" s="157"/>
      <c r="L266" s="157"/>
      <c r="M266" s="141"/>
      <c r="N266" s="141"/>
      <c r="O266" s="141"/>
    </row>
    <row r="267" spans="1:15" ht="14.25">
      <c r="A267" s="10"/>
      <c r="B267" s="10"/>
      <c r="C267" s="9"/>
      <c r="D267" s="8"/>
      <c r="E267" s="8"/>
      <c r="F267" s="8"/>
      <c r="G267" s="8"/>
      <c r="H267" s="159"/>
      <c r="I267" s="160"/>
      <c r="J267" s="32"/>
      <c r="K267" s="157"/>
      <c r="L267" s="157"/>
      <c r="M267" s="141"/>
      <c r="N267" s="141"/>
      <c r="O267" s="141"/>
    </row>
    <row r="268" spans="1:15" ht="14.25">
      <c r="A268" s="10"/>
      <c r="B268" s="10"/>
      <c r="C268" s="9" t="s">
        <v>605</v>
      </c>
      <c r="D268" s="8" t="s">
        <v>495</v>
      </c>
      <c r="E268" s="8">
        <v>1</v>
      </c>
      <c r="F268" s="8">
        <v>1</v>
      </c>
      <c r="G268" s="8">
        <v>4</v>
      </c>
      <c r="H268" s="14">
        <v>0.6</v>
      </c>
      <c r="I268" s="109">
        <v>7.4999999999999997E-2</v>
      </c>
      <c r="J268" s="14">
        <f>E268*F268*G268*H268*I268</f>
        <v>0.18</v>
      </c>
      <c r="K268" s="157"/>
      <c r="L268" s="157"/>
      <c r="M268" s="141"/>
      <c r="N268" s="141"/>
      <c r="O268" s="141"/>
    </row>
    <row r="269" spans="1:15" ht="14.25">
      <c r="A269" s="10"/>
      <c r="B269" s="10"/>
      <c r="C269" s="26"/>
      <c r="D269" s="8"/>
      <c r="E269" s="8"/>
      <c r="F269" s="8"/>
      <c r="G269" s="8"/>
      <c r="H269" s="579" t="s">
        <v>608</v>
      </c>
      <c r="I269" s="580"/>
      <c r="J269" s="32">
        <f>SUM(J262:J268)</f>
        <v>29.664974999999998</v>
      </c>
      <c r="K269" s="157"/>
      <c r="L269" s="157"/>
      <c r="M269" s="141"/>
      <c r="N269" s="141"/>
      <c r="O269" s="141"/>
    </row>
    <row r="270" spans="1:15" ht="14.25">
      <c r="A270" s="10"/>
      <c r="B270" s="10"/>
      <c r="C270" s="9"/>
      <c r="D270" s="8"/>
      <c r="E270" s="8"/>
      <c r="F270" s="8"/>
      <c r="G270" s="8"/>
      <c r="H270" s="8"/>
      <c r="I270" s="8"/>
      <c r="J270" s="14"/>
      <c r="K270" s="157"/>
      <c r="L270" s="157"/>
      <c r="M270" s="141"/>
      <c r="N270" s="141"/>
      <c r="O270" s="141"/>
    </row>
    <row r="271" spans="1:15" ht="14.25">
      <c r="A271" s="10"/>
      <c r="B271" s="10"/>
      <c r="C271" s="26"/>
      <c r="D271" s="8"/>
      <c r="E271" s="8"/>
      <c r="F271" s="8"/>
      <c r="G271" s="8"/>
      <c r="H271" s="8"/>
      <c r="I271" s="8"/>
      <c r="J271" s="14"/>
      <c r="K271" s="157"/>
      <c r="L271" s="157"/>
      <c r="M271" s="141"/>
      <c r="N271" s="141"/>
      <c r="O271" s="141"/>
    </row>
    <row r="272" spans="1:15" ht="14.25">
      <c r="A272" s="10"/>
      <c r="B272" s="10"/>
      <c r="C272" s="26" t="s">
        <v>611</v>
      </c>
      <c r="D272" s="8" t="s">
        <v>495</v>
      </c>
      <c r="E272" s="8"/>
      <c r="F272" s="8">
        <v>1</v>
      </c>
      <c r="G272" s="8">
        <v>0.23</v>
      </c>
      <c r="H272" s="8">
        <v>0.45</v>
      </c>
      <c r="I272" s="8">
        <v>3.1</v>
      </c>
      <c r="J272" s="14">
        <f>F272*G272*H272*I272</f>
        <v>0.32085000000000002</v>
      </c>
      <c r="K272" s="157"/>
      <c r="L272" s="157"/>
      <c r="M272" s="141"/>
      <c r="N272" s="141"/>
      <c r="O272" s="141"/>
    </row>
    <row r="273" spans="1:15" ht="14.25">
      <c r="A273" s="10"/>
      <c r="B273" s="10"/>
      <c r="C273" s="9"/>
      <c r="D273" s="8"/>
      <c r="E273" s="8"/>
      <c r="F273" s="8"/>
      <c r="G273" s="8"/>
      <c r="H273" s="579" t="s">
        <v>612</v>
      </c>
      <c r="I273" s="580"/>
      <c r="J273" s="32">
        <f>SUM(J270:J272)</f>
        <v>0.32085000000000002</v>
      </c>
      <c r="K273" s="157"/>
      <c r="L273" s="157"/>
      <c r="M273" s="141"/>
      <c r="N273" s="141"/>
      <c r="O273" s="141"/>
    </row>
    <row r="274" spans="1:15" ht="14.25">
      <c r="A274" s="10"/>
      <c r="B274" s="10"/>
      <c r="C274" s="9" t="s">
        <v>613</v>
      </c>
      <c r="D274" s="8"/>
      <c r="E274" s="8">
        <v>1</v>
      </c>
      <c r="F274" s="8">
        <v>50</v>
      </c>
      <c r="G274" s="8">
        <v>0.6</v>
      </c>
      <c r="H274" s="159">
        <v>0.125</v>
      </c>
      <c r="I274" s="160"/>
      <c r="J274" s="32">
        <f>H274*G274*F274*E274</f>
        <v>3.75</v>
      </c>
      <c r="K274" s="157"/>
      <c r="L274" s="157"/>
      <c r="M274" s="141"/>
      <c r="N274" s="141"/>
      <c r="O274" s="141"/>
    </row>
    <row r="275" spans="1:15" ht="14.25">
      <c r="A275" s="10"/>
      <c r="B275" s="10"/>
      <c r="C275" s="9"/>
      <c r="D275" s="8"/>
      <c r="E275" s="8"/>
      <c r="F275" s="8"/>
      <c r="G275" s="8"/>
      <c r="H275" s="159"/>
      <c r="I275" s="160"/>
      <c r="J275" s="32"/>
      <c r="K275" s="157"/>
      <c r="L275" s="157"/>
      <c r="M275" s="141"/>
      <c r="N275" s="141"/>
      <c r="O275" s="141"/>
    </row>
    <row r="276" spans="1:15" ht="14.25">
      <c r="A276" s="10"/>
      <c r="B276" s="10"/>
      <c r="C276" s="9" t="s">
        <v>614</v>
      </c>
      <c r="D276" s="8"/>
      <c r="E276" s="8"/>
      <c r="F276" s="8"/>
      <c r="G276" s="8"/>
      <c r="H276" s="159"/>
      <c r="I276" s="160"/>
      <c r="J276" s="32">
        <f>J275+J274</f>
        <v>3.75</v>
      </c>
      <c r="K276" s="157"/>
      <c r="L276" s="157"/>
      <c r="M276" s="141"/>
      <c r="N276" s="141"/>
      <c r="O276" s="141"/>
    </row>
    <row r="277" spans="1:15" ht="14.25">
      <c r="A277" s="10"/>
      <c r="B277" s="10"/>
      <c r="C277" s="9"/>
      <c r="D277" s="8"/>
      <c r="E277" s="8"/>
      <c r="F277" s="8"/>
      <c r="G277" s="8"/>
      <c r="H277" s="159"/>
      <c r="I277" s="160"/>
      <c r="J277" s="32"/>
      <c r="K277" s="157"/>
      <c r="L277" s="157"/>
      <c r="M277" s="141"/>
      <c r="N277" s="141"/>
      <c r="O277" s="141"/>
    </row>
    <row r="278" spans="1:15" ht="14.25">
      <c r="A278" s="10"/>
      <c r="B278" s="10"/>
      <c r="C278" s="9"/>
      <c r="D278" s="8"/>
      <c r="E278" s="8"/>
      <c r="F278" s="8"/>
      <c r="G278" s="8"/>
      <c r="H278" s="579" t="s">
        <v>491</v>
      </c>
      <c r="I278" s="580"/>
      <c r="J278" s="32">
        <f>J273+J269+J259+J276</f>
        <v>49.689315000000001</v>
      </c>
      <c r="K278" s="157"/>
      <c r="L278" s="157"/>
      <c r="M278" s="141"/>
      <c r="N278" s="141"/>
      <c r="O278" s="141"/>
    </row>
    <row r="279" spans="1:15" ht="14.25">
      <c r="A279" s="10"/>
      <c r="B279" s="10"/>
      <c r="C279" s="94"/>
      <c r="D279" s="8"/>
      <c r="E279" s="8"/>
      <c r="F279" s="8"/>
      <c r="G279" s="8"/>
      <c r="H279" s="579" t="s">
        <v>594</v>
      </c>
      <c r="I279" s="580"/>
      <c r="J279" s="32">
        <f>J278</f>
        <v>49.689315000000001</v>
      </c>
      <c r="K279" s="157"/>
      <c r="L279" s="157"/>
      <c r="M279" s="141"/>
      <c r="N279" s="141"/>
      <c r="O279" s="141"/>
    </row>
    <row r="280" spans="1:15" ht="14.25">
      <c r="A280" s="10"/>
      <c r="B280" s="10"/>
      <c r="C280" s="94"/>
      <c r="D280" s="8"/>
      <c r="E280" s="8"/>
      <c r="F280" s="8"/>
      <c r="G280" s="8"/>
      <c r="H280" s="8"/>
      <c r="I280" s="23"/>
      <c r="J280" s="32"/>
      <c r="K280" s="157"/>
      <c r="L280" s="157"/>
      <c r="M280" s="141"/>
      <c r="N280" s="141"/>
      <c r="O280" s="141"/>
    </row>
    <row r="281" spans="1:15" ht="25.5">
      <c r="A281" s="10" t="s">
        <v>125</v>
      </c>
      <c r="B281" s="10" t="s">
        <v>114</v>
      </c>
      <c r="C281" s="27" t="s">
        <v>115</v>
      </c>
      <c r="D281" s="18" t="s">
        <v>615</v>
      </c>
      <c r="E281" s="18"/>
      <c r="F281" s="8"/>
      <c r="G281" s="8"/>
      <c r="H281" s="8"/>
      <c r="I281" s="23"/>
      <c r="J281" s="32"/>
      <c r="K281" s="157"/>
      <c r="L281" s="157"/>
      <c r="M281" s="141"/>
      <c r="N281" s="141"/>
      <c r="O281" s="141"/>
    </row>
    <row r="282" spans="1:15" ht="14.25" customHeight="1">
      <c r="A282" s="10"/>
      <c r="B282" s="10"/>
      <c r="C282" s="26" t="s">
        <v>616</v>
      </c>
      <c r="D282" s="18" t="s">
        <v>615</v>
      </c>
      <c r="E282" s="18"/>
      <c r="F282" s="14">
        <f>J243</f>
        <v>124.40541999999999</v>
      </c>
      <c r="G282" s="583" t="s">
        <v>617</v>
      </c>
      <c r="H282" s="584"/>
      <c r="I282" s="23"/>
      <c r="J282" s="83">
        <f>F282*0.5</f>
        <v>62.202709999999996</v>
      </c>
      <c r="K282" s="157"/>
      <c r="L282" s="157"/>
      <c r="M282" s="141"/>
      <c r="N282" s="141"/>
      <c r="O282" s="141"/>
    </row>
    <row r="283" spans="1:15" ht="14.25" customHeight="1">
      <c r="A283" s="10"/>
      <c r="B283" s="10"/>
      <c r="C283" s="26" t="s">
        <v>618</v>
      </c>
      <c r="D283" s="18" t="s">
        <v>615</v>
      </c>
      <c r="E283" s="18"/>
      <c r="F283" s="14">
        <f>J279</f>
        <v>49.689315000000001</v>
      </c>
      <c r="G283" s="583" t="s">
        <v>617</v>
      </c>
      <c r="H283" s="584"/>
      <c r="I283" s="23"/>
      <c r="J283" s="83">
        <f>F283*0.5</f>
        <v>24.8446575</v>
      </c>
      <c r="K283" s="157"/>
      <c r="L283" s="157"/>
      <c r="M283" s="141"/>
      <c r="N283" s="141"/>
      <c r="O283" s="141"/>
    </row>
    <row r="284" spans="1:15" ht="14.25">
      <c r="A284" s="10"/>
      <c r="B284" s="10"/>
      <c r="C284" s="27"/>
      <c r="D284" s="18"/>
      <c r="E284" s="18"/>
      <c r="F284" s="8"/>
      <c r="G284" s="8"/>
      <c r="H284" s="8"/>
      <c r="I284" s="23" t="s">
        <v>491</v>
      </c>
      <c r="J284" s="32">
        <f>SUM(J282:J283)</f>
        <v>87.047367499999993</v>
      </c>
      <c r="K284" s="157"/>
      <c r="L284" s="157"/>
      <c r="M284" s="141"/>
      <c r="N284" s="141"/>
      <c r="O284" s="141"/>
    </row>
    <row r="285" spans="1:15" ht="14.25">
      <c r="A285" s="10"/>
      <c r="B285" s="10"/>
      <c r="C285" s="27"/>
      <c r="D285" s="18"/>
      <c r="E285" s="18"/>
      <c r="F285" s="8"/>
      <c r="G285" s="8"/>
      <c r="H285" s="8"/>
      <c r="I285" s="23" t="s">
        <v>492</v>
      </c>
      <c r="J285" s="32">
        <f>J284</f>
        <v>87.047367499999993</v>
      </c>
      <c r="K285" s="157"/>
      <c r="L285" s="157"/>
      <c r="M285" s="141"/>
      <c r="N285" s="141"/>
      <c r="O285" s="141"/>
    </row>
    <row r="286" spans="1:15" ht="14.25">
      <c r="A286" s="10"/>
      <c r="B286" s="10"/>
      <c r="C286" s="27"/>
      <c r="D286" s="18"/>
      <c r="E286" s="18"/>
      <c r="F286" s="8"/>
      <c r="G286" s="8"/>
      <c r="H286" s="8"/>
      <c r="I286" s="23"/>
      <c r="J286" s="32"/>
      <c r="K286" s="157"/>
      <c r="L286" s="157"/>
      <c r="M286" s="141"/>
      <c r="N286" s="141"/>
      <c r="O286" s="141"/>
    </row>
    <row r="287" spans="1:15" ht="38.25">
      <c r="A287" s="10" t="s">
        <v>129</v>
      </c>
      <c r="B287" s="10" t="s">
        <v>117</v>
      </c>
      <c r="C287" s="163" t="s">
        <v>118</v>
      </c>
      <c r="D287" s="18"/>
      <c r="E287" s="18"/>
      <c r="F287" s="8"/>
      <c r="G287" s="8"/>
      <c r="H287" s="8"/>
      <c r="I287" s="23"/>
      <c r="J287" s="32"/>
      <c r="K287" s="157"/>
      <c r="L287" s="157"/>
      <c r="M287" s="141"/>
      <c r="N287" s="141"/>
      <c r="O287" s="141"/>
    </row>
    <row r="288" spans="1:15" ht="14.25">
      <c r="A288" s="10"/>
      <c r="B288" s="10" t="s">
        <v>119</v>
      </c>
      <c r="C288" s="163" t="s">
        <v>120</v>
      </c>
      <c r="D288" s="18"/>
      <c r="E288" s="18"/>
      <c r="F288" s="8"/>
      <c r="G288" s="8"/>
      <c r="H288" s="8"/>
      <c r="I288" s="23"/>
      <c r="J288" s="32"/>
      <c r="K288" s="157"/>
      <c r="L288" s="157"/>
      <c r="M288" s="141"/>
      <c r="N288" s="141"/>
      <c r="O288" s="141"/>
    </row>
    <row r="289" spans="1:15" ht="14.25">
      <c r="A289" s="10"/>
      <c r="B289" s="10"/>
      <c r="C289" s="26" t="s">
        <v>619</v>
      </c>
      <c r="D289" s="31" t="s">
        <v>504</v>
      </c>
      <c r="E289" s="31"/>
      <c r="F289" s="8">
        <v>2</v>
      </c>
      <c r="G289" s="8">
        <f>2*(21+14)</f>
        <v>70</v>
      </c>
      <c r="H289" s="8">
        <v>0.23</v>
      </c>
      <c r="I289" s="8">
        <v>0.3</v>
      </c>
      <c r="J289" s="14">
        <f>F289*G289*H289*I289</f>
        <v>9.66</v>
      </c>
      <c r="K289" s="157"/>
      <c r="L289" s="157"/>
      <c r="M289" s="141"/>
      <c r="N289" s="141"/>
      <c r="O289" s="141"/>
    </row>
    <row r="290" spans="1:15" ht="14.25">
      <c r="A290" s="10"/>
      <c r="B290" s="10"/>
      <c r="C290" s="26"/>
      <c r="D290" s="31"/>
      <c r="E290" s="31"/>
      <c r="F290" s="8"/>
      <c r="G290" s="8"/>
      <c r="H290" s="8"/>
      <c r="I290" s="8"/>
      <c r="J290" s="14"/>
      <c r="K290" s="157"/>
      <c r="L290" s="157"/>
      <c r="M290" s="141"/>
      <c r="N290" s="141"/>
      <c r="O290" s="141"/>
    </row>
    <row r="291" spans="1:15" ht="14.25">
      <c r="A291" s="10"/>
      <c r="B291" s="10"/>
      <c r="C291" s="9"/>
      <c r="D291" s="31"/>
      <c r="E291" s="31"/>
      <c r="F291" s="31"/>
      <c r="G291" s="31"/>
      <c r="H291" s="31"/>
      <c r="I291" s="23" t="s">
        <v>491</v>
      </c>
      <c r="J291" s="32">
        <f>SUM(J289:J290)</f>
        <v>9.66</v>
      </c>
      <c r="K291" s="157"/>
      <c r="L291" s="157"/>
      <c r="M291" s="141"/>
      <c r="N291" s="141"/>
      <c r="O291" s="141"/>
    </row>
    <row r="292" spans="1:15" ht="14.25">
      <c r="A292" s="10"/>
      <c r="B292" s="10"/>
      <c r="C292" s="28"/>
      <c r="D292" s="76"/>
      <c r="E292" s="8"/>
      <c r="F292" s="8"/>
      <c r="G292" s="8"/>
      <c r="H292" s="8"/>
      <c r="I292" s="23" t="s">
        <v>492</v>
      </c>
      <c r="J292" s="32">
        <f>J291</f>
        <v>9.66</v>
      </c>
      <c r="K292" s="157"/>
      <c r="L292" s="157"/>
      <c r="M292" s="141"/>
      <c r="N292" s="141"/>
      <c r="O292" s="141"/>
    </row>
    <row r="293" spans="1:15" ht="51">
      <c r="A293" s="10" t="s">
        <v>621</v>
      </c>
      <c r="B293" s="10" t="s">
        <v>122</v>
      </c>
      <c r="C293" s="28" t="s">
        <v>622</v>
      </c>
      <c r="D293" s="76"/>
      <c r="E293" s="8"/>
      <c r="F293" s="8"/>
      <c r="G293" s="8"/>
      <c r="H293" s="8"/>
      <c r="I293" s="23"/>
      <c r="J293" s="32"/>
      <c r="K293" s="157"/>
      <c r="L293" s="157"/>
      <c r="M293" s="141"/>
      <c r="N293" s="141"/>
      <c r="O293" s="141"/>
    </row>
    <row r="294" spans="1:15" ht="14.25">
      <c r="A294" s="10"/>
      <c r="B294" s="10" t="s">
        <v>124</v>
      </c>
      <c r="C294" s="28" t="s">
        <v>120</v>
      </c>
      <c r="D294" s="76" t="s">
        <v>584</v>
      </c>
      <c r="E294" s="8">
        <v>2</v>
      </c>
      <c r="F294" s="8">
        <v>18.100000000000001</v>
      </c>
      <c r="G294" s="8">
        <v>0.23</v>
      </c>
      <c r="H294" s="8">
        <v>3</v>
      </c>
      <c r="I294" s="23"/>
      <c r="J294" s="32">
        <f>H294*G294*F294*E294</f>
        <v>24.978000000000005</v>
      </c>
      <c r="K294" s="157"/>
      <c r="L294" s="157"/>
      <c r="M294" s="141"/>
      <c r="N294" s="141"/>
      <c r="O294" s="141"/>
    </row>
    <row r="295" spans="1:15" ht="14.25">
      <c r="A295" s="10"/>
      <c r="B295" s="10"/>
      <c r="C295" s="28" t="s">
        <v>623</v>
      </c>
      <c r="D295" s="76"/>
      <c r="E295" s="8">
        <v>2</v>
      </c>
      <c r="F295" s="8">
        <v>13.7</v>
      </c>
      <c r="G295" s="8">
        <v>0.23</v>
      </c>
      <c r="H295" s="8">
        <v>1.8</v>
      </c>
      <c r="I295" s="23"/>
      <c r="J295" s="32">
        <f>H295*G295*F295*E295</f>
        <v>11.3436</v>
      </c>
      <c r="K295" s="157"/>
      <c r="L295" s="157"/>
      <c r="M295" s="141"/>
      <c r="N295" s="141"/>
      <c r="O295" s="141"/>
    </row>
    <row r="296" spans="1:15" ht="14.25">
      <c r="A296" s="10"/>
      <c r="B296" s="10"/>
      <c r="C296" s="28" t="s">
        <v>843</v>
      </c>
      <c r="D296" s="76"/>
      <c r="E296" s="8">
        <v>1</v>
      </c>
      <c r="F296" s="8">
        <f>3.22+3.22+4</f>
        <v>10.440000000000001</v>
      </c>
      <c r="G296" s="8">
        <v>0.23</v>
      </c>
      <c r="H296" s="8">
        <v>2.4</v>
      </c>
      <c r="I296" s="23"/>
      <c r="J296" s="32">
        <f>H296*G296*F296*E296</f>
        <v>5.7628800000000009</v>
      </c>
      <c r="K296" s="157"/>
      <c r="L296" s="157"/>
      <c r="M296" s="141"/>
      <c r="N296" s="141"/>
      <c r="O296" s="141"/>
    </row>
    <row r="297" spans="1:15" ht="14.25">
      <c r="A297" s="10"/>
      <c r="B297" s="10"/>
      <c r="C297" s="28"/>
      <c r="D297" s="76"/>
      <c r="E297" s="8">
        <v>1</v>
      </c>
      <c r="F297" s="8">
        <f>2.3+2.3+3.22</f>
        <v>7.82</v>
      </c>
      <c r="G297" s="8">
        <v>0.23</v>
      </c>
      <c r="H297" s="8">
        <v>3</v>
      </c>
      <c r="I297" s="23"/>
      <c r="J297" s="32">
        <f>H297*G297*F297*E297</f>
        <v>5.3958000000000004</v>
      </c>
      <c r="K297" s="157"/>
      <c r="L297" s="157"/>
      <c r="M297" s="141"/>
      <c r="N297" s="141"/>
      <c r="O297" s="141"/>
    </row>
    <row r="298" spans="1:15" ht="14.25">
      <c r="A298" s="10"/>
      <c r="B298" s="10"/>
      <c r="C298" s="28"/>
      <c r="D298" s="76"/>
      <c r="E298" s="8"/>
      <c r="F298" s="8"/>
      <c r="G298" s="8"/>
      <c r="H298" s="8"/>
      <c r="I298" s="23"/>
      <c r="J298" s="32"/>
      <c r="K298" s="157"/>
      <c r="L298" s="157"/>
      <c r="M298" s="141"/>
      <c r="N298" s="141"/>
      <c r="O298" s="141"/>
    </row>
    <row r="299" spans="1:15" ht="14.25">
      <c r="A299" s="10"/>
      <c r="B299" s="10"/>
      <c r="C299" s="27"/>
      <c r="D299" s="18"/>
      <c r="E299" s="18"/>
      <c r="F299" s="8"/>
      <c r="G299" s="8"/>
      <c r="H299" s="8"/>
      <c r="I299" s="23"/>
      <c r="J299" s="32">
        <f>SUM(J294:J298)</f>
        <v>47.480280000000008</v>
      </c>
      <c r="K299" s="157"/>
      <c r="L299" s="157"/>
      <c r="M299" s="141"/>
      <c r="N299" s="141"/>
      <c r="O299" s="141"/>
    </row>
    <row r="300" spans="1:15" ht="38.25">
      <c r="A300" s="10" t="s">
        <v>624</v>
      </c>
      <c r="B300" s="76">
        <v>6.13</v>
      </c>
      <c r="C300" s="28" t="s">
        <v>126</v>
      </c>
      <c r="D300" s="76"/>
      <c r="E300" s="8"/>
      <c r="F300" s="8"/>
      <c r="G300" s="8"/>
      <c r="H300" s="8"/>
      <c r="I300" s="23"/>
      <c r="J300" s="32"/>
      <c r="K300" s="157"/>
      <c r="L300" s="157"/>
      <c r="M300" s="141"/>
      <c r="N300" s="141"/>
      <c r="O300" s="141"/>
    </row>
    <row r="301" spans="1:15" ht="14.25">
      <c r="A301" s="10"/>
      <c r="B301" s="76" t="s">
        <v>127</v>
      </c>
      <c r="C301" s="28" t="s">
        <v>128</v>
      </c>
      <c r="D301" s="76"/>
      <c r="E301" s="8">
        <v>1</v>
      </c>
      <c r="F301" s="8">
        <v>50</v>
      </c>
      <c r="G301" s="8">
        <v>3.15</v>
      </c>
      <c r="H301" s="8"/>
      <c r="I301" s="23"/>
      <c r="J301" s="32">
        <f>G301*F301*E301</f>
        <v>157.5</v>
      </c>
      <c r="K301" s="157"/>
      <c r="L301" s="157"/>
      <c r="M301" s="141"/>
      <c r="N301" s="141"/>
      <c r="O301" s="141"/>
    </row>
    <row r="302" spans="1:15" ht="14.25">
      <c r="A302" s="10"/>
      <c r="B302" s="76"/>
      <c r="C302" s="26"/>
      <c r="D302" s="121"/>
      <c r="E302" s="119"/>
      <c r="F302" s="119"/>
      <c r="G302" s="119"/>
      <c r="H302" s="119"/>
      <c r="I302" s="119"/>
      <c r="J302" s="122">
        <f>F302*E302*D302</f>
        <v>0</v>
      </c>
      <c r="M302" s="141"/>
      <c r="N302" s="141"/>
      <c r="O302" s="141"/>
    </row>
    <row r="303" spans="1:15" ht="14.25">
      <c r="A303" s="10"/>
      <c r="B303" s="76"/>
      <c r="C303" s="26"/>
      <c r="D303" s="121"/>
      <c r="E303" s="119"/>
      <c r="F303" s="119"/>
      <c r="G303" s="119"/>
      <c r="H303" s="119"/>
      <c r="I303" s="119"/>
      <c r="J303" s="122"/>
      <c r="K303" s="157"/>
      <c r="L303" s="157"/>
      <c r="M303" s="141"/>
      <c r="N303" s="141"/>
      <c r="O303" s="141"/>
    </row>
    <row r="304" spans="1:15" ht="14.25">
      <c r="A304" s="10"/>
      <c r="B304" s="76"/>
      <c r="C304" s="26"/>
      <c r="D304" s="8"/>
      <c r="E304" s="8"/>
      <c r="F304" s="110"/>
      <c r="G304" s="31"/>
      <c r="H304" s="31"/>
      <c r="I304" s="23" t="s">
        <v>491</v>
      </c>
      <c r="J304" s="32">
        <f>SUM(J301:J303)</f>
        <v>157.5</v>
      </c>
      <c r="K304" s="157"/>
      <c r="L304" s="157"/>
      <c r="M304" s="141"/>
      <c r="N304" s="141"/>
      <c r="O304" s="141"/>
    </row>
    <row r="305" spans="1:15" ht="14.25">
      <c r="A305" s="10"/>
      <c r="B305" s="76"/>
      <c r="C305" s="28"/>
      <c r="D305" s="76"/>
      <c r="E305" s="8"/>
      <c r="F305" s="8"/>
      <c r="G305" s="8"/>
      <c r="H305" s="8"/>
      <c r="I305" s="23" t="s">
        <v>492</v>
      </c>
      <c r="J305" s="32">
        <f>J304</f>
        <v>157.5</v>
      </c>
      <c r="K305" s="157"/>
      <c r="L305" s="157"/>
      <c r="M305" s="141"/>
      <c r="N305" s="141"/>
      <c r="O305" s="141"/>
    </row>
    <row r="306" spans="1:15" ht="14.25">
      <c r="A306" s="10"/>
      <c r="B306" s="10"/>
      <c r="C306" s="27"/>
      <c r="D306" s="18"/>
      <c r="E306" s="18"/>
      <c r="F306" s="8"/>
      <c r="G306" s="8"/>
      <c r="H306" s="8"/>
      <c r="I306" s="23"/>
      <c r="J306" s="32"/>
      <c r="K306" s="157"/>
      <c r="L306" s="157"/>
      <c r="M306" s="141"/>
      <c r="N306" s="141"/>
      <c r="O306" s="141"/>
    </row>
    <row r="307" spans="1:15" ht="25.5">
      <c r="A307" s="10" t="s">
        <v>131</v>
      </c>
      <c r="B307" s="10" t="s">
        <v>130</v>
      </c>
      <c r="C307" s="27" t="s">
        <v>630</v>
      </c>
      <c r="D307" s="8" t="s">
        <v>525</v>
      </c>
      <c r="E307" s="8"/>
      <c r="F307" s="81" t="s">
        <v>631</v>
      </c>
      <c r="G307" s="8"/>
      <c r="H307" s="8"/>
      <c r="I307" s="8"/>
      <c r="J307" s="23">
        <f>J305</f>
        <v>157.5</v>
      </c>
      <c r="K307" s="157"/>
      <c r="L307" s="157"/>
      <c r="M307" s="141"/>
      <c r="N307" s="141"/>
      <c r="O307" s="141"/>
    </row>
    <row r="308" spans="1:15" ht="14.25">
      <c r="A308" s="10"/>
      <c r="B308" s="10"/>
      <c r="C308" s="163"/>
      <c r="D308" s="18"/>
      <c r="E308" s="18"/>
      <c r="F308" s="8"/>
      <c r="G308" s="8"/>
      <c r="H308" s="8"/>
      <c r="I308" s="23"/>
      <c r="J308" s="32"/>
      <c r="K308" s="157"/>
      <c r="L308" s="157"/>
      <c r="M308" s="141"/>
      <c r="N308" s="141"/>
      <c r="O308" s="141"/>
    </row>
    <row r="309" spans="1:15" ht="51">
      <c r="A309" s="146" t="s">
        <v>632</v>
      </c>
      <c r="B309" s="146" t="s">
        <v>844</v>
      </c>
      <c r="C309" s="149" t="s">
        <v>634</v>
      </c>
      <c r="D309" s="150"/>
      <c r="E309" s="150"/>
      <c r="F309" s="143"/>
      <c r="G309" s="143"/>
      <c r="H309" s="143"/>
      <c r="I309" s="151"/>
      <c r="J309" s="152"/>
      <c r="K309" s="157"/>
      <c r="L309" s="157"/>
      <c r="M309" s="141"/>
      <c r="N309" s="141"/>
      <c r="O309" s="141"/>
    </row>
    <row r="310" spans="1:15" ht="14.25">
      <c r="A310" s="146"/>
      <c r="B310" s="146" t="s">
        <v>845</v>
      </c>
      <c r="C310" s="149" t="e">
        <v>#REF!</v>
      </c>
      <c r="D310" s="150" t="s">
        <v>635</v>
      </c>
      <c r="E310" s="150">
        <v>27</v>
      </c>
      <c r="F310" s="143">
        <v>2.4</v>
      </c>
      <c r="G310" s="143">
        <v>2.4</v>
      </c>
      <c r="H310" s="143">
        <v>0.3</v>
      </c>
      <c r="I310" s="151"/>
      <c r="J310" s="152">
        <f>E310*F310-G310-H310</f>
        <v>62.1</v>
      </c>
      <c r="K310" s="157"/>
      <c r="L310" s="157"/>
      <c r="M310" s="141"/>
      <c r="N310" s="141"/>
      <c r="O310" s="141"/>
    </row>
    <row r="311" spans="1:15" ht="14.25">
      <c r="A311" s="146"/>
      <c r="B311" s="146"/>
      <c r="C311" s="149"/>
      <c r="D311" s="150"/>
      <c r="E311" s="150"/>
      <c r="F311" s="143"/>
      <c r="G311" s="143"/>
      <c r="H311" s="143"/>
      <c r="I311" s="151"/>
      <c r="J311" s="152"/>
      <c r="K311" s="157"/>
      <c r="L311" s="157"/>
      <c r="M311" s="141"/>
      <c r="N311" s="141"/>
      <c r="O311" s="141"/>
    </row>
    <row r="312" spans="1:15" ht="51">
      <c r="A312" s="146" t="s">
        <v>636</v>
      </c>
      <c r="B312" s="146" t="s">
        <v>637</v>
      </c>
      <c r="C312" s="149" t="s">
        <v>846</v>
      </c>
      <c r="D312" s="150"/>
      <c r="E312" s="150"/>
      <c r="F312" s="143"/>
      <c r="G312" s="143"/>
      <c r="H312" s="143"/>
      <c r="I312" s="151"/>
      <c r="J312" s="152"/>
      <c r="K312" s="157"/>
      <c r="L312" s="157"/>
      <c r="M312" s="141"/>
      <c r="N312" s="141"/>
      <c r="O312" s="141"/>
    </row>
    <row r="313" spans="1:15" ht="14.25">
      <c r="A313" s="146"/>
      <c r="B313" s="146"/>
      <c r="C313" s="149"/>
      <c r="D313" s="150"/>
      <c r="E313" s="150"/>
      <c r="F313" s="143"/>
      <c r="G313" s="143"/>
      <c r="H313" s="143"/>
      <c r="I313" s="151"/>
      <c r="J313" s="152"/>
      <c r="K313" s="157"/>
      <c r="L313" s="157"/>
      <c r="M313" s="141"/>
      <c r="N313" s="141"/>
      <c r="O313" s="141"/>
    </row>
    <row r="314" spans="1:15" ht="14.25">
      <c r="A314" s="146"/>
      <c r="B314" s="146"/>
      <c r="C314" s="149"/>
      <c r="D314" s="150" t="s">
        <v>635</v>
      </c>
      <c r="E314" s="150">
        <v>27</v>
      </c>
      <c r="F314" s="143">
        <v>2.4</v>
      </c>
      <c r="G314" s="143">
        <v>2.4</v>
      </c>
      <c r="H314" s="143">
        <v>0.3</v>
      </c>
      <c r="I314" s="151">
        <v>0.2</v>
      </c>
      <c r="J314" s="152">
        <f>I314*H314*G314*F314*E314</f>
        <v>9.3311999999999991</v>
      </c>
      <c r="K314" s="157"/>
      <c r="L314" s="157"/>
      <c r="M314" s="141"/>
      <c r="N314" s="141"/>
      <c r="O314" s="141"/>
    </row>
    <row r="315" spans="1:15" ht="14.25">
      <c r="A315" s="146"/>
      <c r="B315" s="146"/>
      <c r="C315" s="149"/>
      <c r="D315" s="150"/>
      <c r="E315" s="150"/>
      <c r="F315" s="143"/>
      <c r="G315" s="143"/>
      <c r="H315" s="143"/>
      <c r="I315" s="151"/>
      <c r="J315" s="152"/>
      <c r="K315" s="157"/>
      <c r="L315" s="157"/>
      <c r="M315" s="141"/>
      <c r="N315" s="141"/>
      <c r="O315" s="141"/>
    </row>
    <row r="316" spans="1:15" ht="14.25">
      <c r="A316" s="146"/>
      <c r="B316" s="146"/>
      <c r="C316" s="153"/>
      <c r="D316" s="143"/>
      <c r="E316" s="143"/>
      <c r="F316" s="143"/>
      <c r="G316" s="143"/>
      <c r="H316" s="143"/>
      <c r="I316" s="143"/>
      <c r="J316" s="144"/>
      <c r="K316" s="157"/>
      <c r="L316" s="157"/>
      <c r="M316" s="141"/>
      <c r="N316" s="141"/>
      <c r="O316" s="141"/>
    </row>
    <row r="317" spans="1:15" ht="127.5">
      <c r="A317" s="10" t="s">
        <v>146</v>
      </c>
      <c r="B317" s="10" t="s">
        <v>132</v>
      </c>
      <c r="C317" s="27" t="s">
        <v>639</v>
      </c>
      <c r="D317" s="8"/>
      <c r="E317" s="8"/>
      <c r="F317" s="8"/>
      <c r="G317" s="8"/>
      <c r="H317" s="8"/>
      <c r="I317" s="8"/>
      <c r="J317" s="14"/>
      <c r="K317" s="157"/>
      <c r="L317" s="157"/>
      <c r="M317" s="141"/>
      <c r="N317" s="141"/>
      <c r="O317" s="141"/>
    </row>
    <row r="318" spans="1:15" ht="25.5">
      <c r="A318" s="106" t="s">
        <v>640</v>
      </c>
      <c r="B318" s="10" t="s">
        <v>133</v>
      </c>
      <c r="C318" s="27" t="s">
        <v>134</v>
      </c>
      <c r="D318" s="8"/>
      <c r="E318" s="8"/>
      <c r="F318" s="8"/>
      <c r="G318" s="8"/>
      <c r="H318" s="8"/>
      <c r="I318" s="8"/>
      <c r="J318" s="14"/>
      <c r="K318" s="157"/>
      <c r="L318" s="157"/>
      <c r="M318" s="141"/>
      <c r="N318" s="141"/>
      <c r="O318" s="141"/>
    </row>
    <row r="319" spans="1:15" ht="14.25">
      <c r="A319" s="106" t="s">
        <v>135</v>
      </c>
      <c r="B319" s="10" t="s">
        <v>136</v>
      </c>
      <c r="C319" s="27" t="s">
        <v>137</v>
      </c>
      <c r="D319" s="8" t="s">
        <v>525</v>
      </c>
      <c r="E319" s="8">
        <v>1</v>
      </c>
      <c r="F319" s="8">
        <v>6</v>
      </c>
      <c r="G319" s="8">
        <v>0.5</v>
      </c>
      <c r="H319" s="8"/>
      <c r="I319" s="8"/>
      <c r="J319" s="14">
        <f>G319*F319*E319</f>
        <v>3</v>
      </c>
      <c r="K319" s="157"/>
      <c r="L319" s="157"/>
      <c r="M319" s="141"/>
      <c r="N319" s="141"/>
      <c r="O319" s="141"/>
    </row>
    <row r="320" spans="1:15" ht="14.25">
      <c r="A320" s="106" t="s">
        <v>471</v>
      </c>
      <c r="B320" s="10"/>
      <c r="C320" s="9"/>
      <c r="D320" s="8"/>
      <c r="E320" s="8"/>
      <c r="F320" s="8"/>
      <c r="G320" s="8"/>
      <c r="H320" s="8"/>
      <c r="I320" s="24" t="s">
        <v>492</v>
      </c>
      <c r="J320" s="23">
        <f>J319</f>
        <v>3</v>
      </c>
      <c r="K320" s="157"/>
      <c r="L320" s="157"/>
      <c r="M320" s="141"/>
      <c r="N320" s="141"/>
      <c r="O320" s="141"/>
    </row>
    <row r="321" spans="1:15" ht="14.25">
      <c r="A321" s="106"/>
      <c r="B321" s="10"/>
      <c r="C321" s="9"/>
      <c r="D321" s="8"/>
      <c r="E321" s="8"/>
      <c r="F321" s="8"/>
      <c r="G321" s="8"/>
      <c r="H321" s="8"/>
      <c r="I321" s="24"/>
      <c r="J321" s="23"/>
      <c r="K321" s="157"/>
      <c r="L321" s="157"/>
      <c r="M321" s="141"/>
      <c r="N321" s="141"/>
      <c r="O321" s="141"/>
    </row>
    <row r="322" spans="1:15" ht="14.25">
      <c r="A322" s="106" t="s">
        <v>138</v>
      </c>
      <c r="B322" s="10" t="s">
        <v>139</v>
      </c>
      <c r="C322" s="9" t="s">
        <v>140</v>
      </c>
      <c r="D322" s="8" t="s">
        <v>525</v>
      </c>
      <c r="E322" s="8"/>
      <c r="F322" s="8"/>
      <c r="G322" s="8"/>
      <c r="H322" s="8"/>
      <c r="I322" s="24"/>
      <c r="J322" s="23"/>
      <c r="K322" s="157"/>
      <c r="L322" s="157"/>
      <c r="M322" s="141"/>
      <c r="N322" s="141"/>
      <c r="O322" s="141"/>
    </row>
    <row r="323" spans="1:15" ht="14.25">
      <c r="A323" s="106"/>
      <c r="B323" s="10"/>
      <c r="C323" s="9"/>
      <c r="D323" s="8" t="s">
        <v>525</v>
      </c>
      <c r="E323" s="8">
        <v>1</v>
      </c>
      <c r="F323" s="8">
        <v>4</v>
      </c>
      <c r="G323" s="8">
        <v>2.5</v>
      </c>
      <c r="H323" s="8">
        <v>0.45</v>
      </c>
      <c r="I323" s="24"/>
      <c r="J323" s="14">
        <f>PRODUCT(E323:I323)</f>
        <v>4.5</v>
      </c>
      <c r="K323" s="157"/>
      <c r="L323" s="157"/>
      <c r="M323" s="141"/>
      <c r="N323" s="141"/>
      <c r="O323" s="141"/>
    </row>
    <row r="324" spans="1:15" ht="14.25">
      <c r="A324" s="106"/>
      <c r="B324" s="10"/>
      <c r="C324" s="9"/>
      <c r="D324" s="8" t="s">
        <v>525</v>
      </c>
      <c r="E324" s="8">
        <v>1</v>
      </c>
      <c r="F324" s="8">
        <v>4</v>
      </c>
      <c r="G324" s="8">
        <v>1.2</v>
      </c>
      <c r="H324" s="8">
        <v>0.45</v>
      </c>
      <c r="I324" s="24"/>
      <c r="J324" s="14">
        <f>PRODUCT(E324:I324)</f>
        <v>2.16</v>
      </c>
      <c r="K324" s="157"/>
      <c r="L324" s="157"/>
      <c r="M324" s="141"/>
      <c r="N324" s="141"/>
      <c r="O324" s="141"/>
    </row>
    <row r="325" spans="1:15" ht="14.25">
      <c r="A325" s="106"/>
      <c r="B325" s="10"/>
      <c r="C325" s="9"/>
      <c r="D325" s="8"/>
      <c r="E325" s="8"/>
      <c r="F325" s="8"/>
      <c r="G325" s="8"/>
      <c r="H325" s="8"/>
      <c r="I325" s="24" t="s">
        <v>491</v>
      </c>
      <c r="J325" s="23">
        <f>SUM(J323:J324)</f>
        <v>6.66</v>
      </c>
      <c r="K325" s="157"/>
      <c r="L325" s="157"/>
      <c r="M325" s="141"/>
      <c r="N325" s="141"/>
      <c r="O325" s="141"/>
    </row>
    <row r="326" spans="1:15" ht="14.25">
      <c r="A326" s="106"/>
      <c r="B326" s="10"/>
      <c r="C326" s="9"/>
      <c r="D326" s="8"/>
      <c r="E326" s="8"/>
      <c r="F326" s="8"/>
      <c r="G326" s="8"/>
      <c r="H326" s="8"/>
      <c r="I326" s="24"/>
      <c r="J326" s="23"/>
      <c r="K326" s="157"/>
      <c r="L326" s="157"/>
      <c r="M326" s="141"/>
      <c r="N326" s="141"/>
      <c r="O326" s="141"/>
    </row>
    <row r="327" spans="1:15" ht="14.25">
      <c r="A327" s="106" t="s">
        <v>643</v>
      </c>
      <c r="B327" s="10" t="s">
        <v>141</v>
      </c>
      <c r="C327" s="27" t="s">
        <v>142</v>
      </c>
      <c r="D327" s="12"/>
      <c r="E327" s="12"/>
      <c r="F327" s="12"/>
      <c r="G327" s="12"/>
      <c r="H327" s="12"/>
      <c r="I327" s="107"/>
      <c r="J327" s="12"/>
      <c r="K327" s="157"/>
      <c r="L327" s="157"/>
      <c r="M327" s="141"/>
      <c r="N327" s="141"/>
      <c r="O327" s="141"/>
    </row>
    <row r="328" spans="1:15" ht="14.25">
      <c r="A328" s="106" t="s">
        <v>135</v>
      </c>
      <c r="B328" s="10" t="s">
        <v>143</v>
      </c>
      <c r="C328" s="27" t="s">
        <v>137</v>
      </c>
      <c r="D328" s="8" t="s">
        <v>525</v>
      </c>
      <c r="E328" s="8">
        <v>15</v>
      </c>
      <c r="F328" s="8">
        <v>1</v>
      </c>
      <c r="G328" s="8">
        <v>0.23</v>
      </c>
      <c r="H328" s="8"/>
      <c r="I328" s="24"/>
      <c r="J328" s="14">
        <f>G328*F328*E328</f>
        <v>3.45</v>
      </c>
      <c r="K328" s="157"/>
      <c r="L328" s="157"/>
      <c r="M328" s="141"/>
      <c r="N328" s="141"/>
      <c r="O328" s="141"/>
    </row>
    <row r="329" spans="1:15" ht="14.25">
      <c r="A329" s="106"/>
      <c r="B329" s="10"/>
      <c r="C329" s="27" t="s">
        <v>644</v>
      </c>
      <c r="D329" s="8"/>
      <c r="E329" s="8">
        <v>32</v>
      </c>
      <c r="F329" s="8">
        <v>1.5</v>
      </c>
      <c r="G329" s="8">
        <v>1.8</v>
      </c>
      <c r="H329" s="8"/>
      <c r="I329" s="24"/>
      <c r="J329" s="14">
        <f>G329*F329*E329</f>
        <v>86.4</v>
      </c>
      <c r="K329" s="157"/>
      <c r="L329" s="157"/>
      <c r="M329" s="141"/>
      <c r="N329" s="141"/>
      <c r="O329" s="141"/>
    </row>
    <row r="330" spans="1:15" ht="14.25">
      <c r="A330" s="106"/>
      <c r="B330" s="10"/>
      <c r="C330" s="27"/>
      <c r="D330" s="8"/>
      <c r="E330" s="8"/>
      <c r="F330" s="8"/>
      <c r="G330" s="8"/>
      <c r="H330" s="8"/>
      <c r="I330" s="24"/>
      <c r="J330" s="14"/>
      <c r="K330" s="157"/>
      <c r="L330" s="157"/>
      <c r="M330" s="141"/>
      <c r="N330" s="141"/>
      <c r="O330" s="141"/>
    </row>
    <row r="331" spans="1:15" ht="14.25">
      <c r="A331" s="106" t="s">
        <v>471</v>
      </c>
      <c r="B331" s="10"/>
      <c r="C331" s="27"/>
      <c r="D331" s="8"/>
      <c r="E331" s="8"/>
      <c r="F331" s="8"/>
      <c r="G331" s="8"/>
      <c r="H331" s="8"/>
      <c r="I331" s="24" t="s">
        <v>492</v>
      </c>
      <c r="J331" s="23">
        <f>SUM(J328:J330)</f>
        <v>89.850000000000009</v>
      </c>
      <c r="K331" s="157"/>
      <c r="L331" s="157"/>
      <c r="M331" s="141"/>
      <c r="N331" s="141"/>
      <c r="O331" s="141"/>
    </row>
    <row r="332" spans="1:15" ht="14.25">
      <c r="A332" s="106"/>
      <c r="B332" s="10"/>
      <c r="C332" s="27"/>
      <c r="D332" s="8"/>
      <c r="E332" s="8"/>
      <c r="F332" s="8"/>
      <c r="G332" s="8"/>
      <c r="H332" s="8"/>
      <c r="I332" s="24"/>
      <c r="J332" s="23"/>
      <c r="K332" s="157"/>
      <c r="L332" s="157"/>
      <c r="M332" s="141"/>
      <c r="N332" s="141"/>
      <c r="O332" s="141"/>
    </row>
    <row r="333" spans="1:15" ht="14.25">
      <c r="A333" s="106" t="s">
        <v>138</v>
      </c>
      <c r="B333" s="10" t="s">
        <v>144</v>
      </c>
      <c r="C333" s="27" t="s">
        <v>645</v>
      </c>
      <c r="D333" s="8" t="s">
        <v>525</v>
      </c>
      <c r="E333" s="8">
        <v>1</v>
      </c>
      <c r="F333" s="8">
        <v>1</v>
      </c>
      <c r="G333" s="8">
        <v>3</v>
      </c>
      <c r="H333" s="8">
        <v>0.75</v>
      </c>
      <c r="I333" s="24"/>
      <c r="J333" s="14">
        <f>E333*F333*G333*H333</f>
        <v>2.25</v>
      </c>
      <c r="K333" s="157"/>
      <c r="L333" s="157"/>
      <c r="M333" s="141"/>
      <c r="N333" s="141"/>
      <c r="O333" s="141"/>
    </row>
    <row r="334" spans="1:15" ht="14.25">
      <c r="A334" s="106"/>
      <c r="B334" s="108"/>
      <c r="C334" s="108"/>
      <c r="D334" s="12"/>
      <c r="E334" s="12"/>
      <c r="F334" s="12"/>
      <c r="G334" s="12"/>
      <c r="H334" s="12"/>
      <c r="I334" s="107" t="s">
        <v>492</v>
      </c>
      <c r="J334" s="32">
        <f>J333</f>
        <v>2.25</v>
      </c>
      <c r="K334" s="157"/>
      <c r="L334" s="157"/>
      <c r="M334" s="141"/>
      <c r="N334" s="141"/>
      <c r="O334" s="141"/>
    </row>
    <row r="335" spans="1:15" ht="51">
      <c r="A335" s="106" t="s">
        <v>646</v>
      </c>
      <c r="B335" s="100">
        <v>8.4</v>
      </c>
      <c r="C335" s="105" t="s">
        <v>145</v>
      </c>
      <c r="D335" s="99" t="s">
        <v>111</v>
      </c>
      <c r="E335" s="99">
        <v>4</v>
      </c>
      <c r="F335" s="99">
        <v>1</v>
      </c>
      <c r="G335" s="99">
        <v>3</v>
      </c>
      <c r="H335" s="99"/>
      <c r="I335" s="99"/>
      <c r="J335" s="17">
        <f>E335*F335*G335</f>
        <v>12</v>
      </c>
      <c r="K335" s="157"/>
      <c r="L335" s="157"/>
      <c r="M335" s="141"/>
      <c r="N335" s="141"/>
      <c r="O335" s="141"/>
    </row>
    <row r="336" spans="1:15" ht="14.25">
      <c r="A336" s="10"/>
      <c r="B336" s="104"/>
      <c r="C336" s="103"/>
      <c r="D336" s="102"/>
      <c r="E336" s="102"/>
      <c r="F336" s="102"/>
      <c r="G336" s="102"/>
      <c r="H336" s="102"/>
      <c r="I336" s="102"/>
      <c r="J336" s="101"/>
      <c r="K336" s="157"/>
      <c r="L336" s="157"/>
      <c r="M336" s="141"/>
      <c r="N336" s="141"/>
      <c r="O336" s="141"/>
    </row>
    <row r="337" spans="1:15" ht="76.5">
      <c r="A337" s="21" t="s">
        <v>151</v>
      </c>
      <c r="B337" s="100">
        <v>8.5</v>
      </c>
      <c r="C337" s="90" t="s">
        <v>147</v>
      </c>
      <c r="D337" s="99" t="s">
        <v>148</v>
      </c>
      <c r="E337" s="99">
        <v>1</v>
      </c>
      <c r="F337" s="99">
        <v>1</v>
      </c>
      <c r="G337" s="99">
        <v>1</v>
      </c>
      <c r="H337" s="99"/>
      <c r="I337" s="99"/>
      <c r="J337" s="17">
        <f>E337*F337*G337</f>
        <v>1</v>
      </c>
      <c r="K337" s="157"/>
      <c r="L337" s="157"/>
      <c r="M337" s="141"/>
      <c r="N337" s="141"/>
      <c r="O337" s="141"/>
    </row>
    <row r="338" spans="1:15" ht="14.25">
      <c r="A338" s="21"/>
      <c r="B338" s="10"/>
      <c r="C338" s="27"/>
      <c r="D338" s="8"/>
      <c r="E338" s="8"/>
      <c r="F338" s="8"/>
      <c r="G338" s="8"/>
      <c r="H338" s="8"/>
      <c r="I338" s="8"/>
      <c r="J338" s="14"/>
      <c r="K338" s="157"/>
      <c r="L338" s="157"/>
      <c r="M338" s="141"/>
      <c r="N338" s="141"/>
      <c r="O338" s="141"/>
    </row>
    <row r="339" spans="1:15" ht="63.75">
      <c r="A339" s="10" t="s">
        <v>164</v>
      </c>
      <c r="B339" s="2" t="s">
        <v>188</v>
      </c>
      <c r="C339" s="28" t="s">
        <v>648</v>
      </c>
      <c r="D339" s="14"/>
      <c r="E339" s="14"/>
      <c r="F339" s="14"/>
      <c r="G339" s="14"/>
      <c r="H339" s="14"/>
      <c r="I339" s="24"/>
      <c r="J339" s="17"/>
      <c r="K339" s="157"/>
      <c r="L339" s="157"/>
      <c r="M339" s="141"/>
      <c r="N339" s="141"/>
      <c r="O339" s="141"/>
    </row>
    <row r="340" spans="1:15" ht="30">
      <c r="A340" s="10"/>
      <c r="B340" s="2" t="s">
        <v>188</v>
      </c>
      <c r="C340" s="28" t="s">
        <v>158</v>
      </c>
      <c r="D340" s="14"/>
      <c r="E340" s="14"/>
      <c r="F340" s="14"/>
      <c r="G340" s="14"/>
      <c r="H340" s="14"/>
      <c r="I340" s="24"/>
      <c r="J340" s="17"/>
      <c r="K340" s="157"/>
      <c r="L340" s="157"/>
      <c r="M340" s="141"/>
      <c r="N340" s="141"/>
      <c r="O340" s="141"/>
    </row>
    <row r="341" spans="1:15" ht="14.25">
      <c r="A341" s="10"/>
      <c r="B341" s="76"/>
      <c r="C341" s="82" t="s">
        <v>649</v>
      </c>
      <c r="D341" s="92" t="s">
        <v>518</v>
      </c>
      <c r="E341" s="92"/>
      <c r="F341" s="92">
        <v>6</v>
      </c>
      <c r="G341" s="92">
        <v>1.05</v>
      </c>
      <c r="H341" s="92"/>
      <c r="I341" s="92">
        <v>2.1</v>
      </c>
      <c r="J341" s="22">
        <f>F341*G341*I341</f>
        <v>13.230000000000002</v>
      </c>
      <c r="K341" s="157"/>
      <c r="L341" s="157"/>
      <c r="M341" s="141"/>
      <c r="N341" s="141"/>
      <c r="O341" s="141"/>
    </row>
    <row r="342" spans="1:15" ht="14.25">
      <c r="A342" s="10"/>
      <c r="B342" s="76"/>
      <c r="C342" s="82"/>
      <c r="D342" s="92"/>
      <c r="E342" s="92"/>
      <c r="F342" s="92"/>
      <c r="G342" s="92"/>
      <c r="H342" s="92"/>
      <c r="I342" s="17" t="s">
        <v>491</v>
      </c>
      <c r="J342" s="87">
        <f>SUM(J341:J341)</f>
        <v>13.230000000000002</v>
      </c>
      <c r="K342" s="157"/>
      <c r="L342" s="157"/>
      <c r="M342" s="141"/>
      <c r="N342" s="141"/>
      <c r="O342" s="141"/>
    </row>
    <row r="343" spans="1:15" ht="14.25">
      <c r="A343" s="10"/>
      <c r="B343" s="76"/>
      <c r="C343" s="82"/>
      <c r="D343" s="92"/>
      <c r="E343" s="92"/>
      <c r="F343" s="92"/>
      <c r="G343" s="92"/>
      <c r="H343" s="92"/>
      <c r="I343" s="17" t="s">
        <v>492</v>
      </c>
      <c r="J343" s="87">
        <f>J342</f>
        <v>13.230000000000002</v>
      </c>
      <c r="K343" s="157"/>
      <c r="L343" s="157"/>
      <c r="M343" s="141"/>
      <c r="N343" s="141"/>
      <c r="O343" s="141"/>
    </row>
    <row r="344" spans="1:15" ht="14.25">
      <c r="A344" s="10"/>
      <c r="B344" s="10"/>
      <c r="C344" s="9"/>
      <c r="D344" s="8"/>
      <c r="E344" s="8"/>
      <c r="F344" s="8"/>
      <c r="G344" s="8"/>
      <c r="H344" s="8"/>
      <c r="I344" s="8"/>
      <c r="J344" s="14"/>
      <c r="K344" s="157"/>
      <c r="L344" s="157"/>
      <c r="M344" s="141"/>
      <c r="N344" s="141"/>
      <c r="O344" s="141"/>
    </row>
    <row r="345" spans="1:15" ht="51">
      <c r="A345" s="10" t="s">
        <v>170</v>
      </c>
      <c r="B345" s="10" t="s">
        <v>160</v>
      </c>
      <c r="C345" s="28" t="s">
        <v>161</v>
      </c>
      <c r="D345" s="8"/>
      <c r="E345" s="8"/>
      <c r="F345" s="8"/>
      <c r="G345" s="8"/>
      <c r="H345" s="8"/>
      <c r="I345" s="8"/>
      <c r="J345" s="14"/>
      <c r="K345" s="164"/>
      <c r="L345" s="157"/>
      <c r="M345" s="141"/>
      <c r="N345" s="141"/>
      <c r="O345" s="141"/>
    </row>
    <row r="346" spans="1:15" ht="14.25">
      <c r="A346" s="10"/>
      <c r="B346" s="10" t="s">
        <v>162</v>
      </c>
      <c r="C346" s="75" t="s">
        <v>163</v>
      </c>
      <c r="D346" s="8" t="s">
        <v>650</v>
      </c>
      <c r="E346" s="8"/>
      <c r="F346" s="8"/>
      <c r="G346" s="8"/>
      <c r="H346" s="8"/>
      <c r="I346" s="8"/>
      <c r="J346" s="22"/>
      <c r="K346" s="164"/>
      <c r="L346" s="157"/>
      <c r="M346" s="141"/>
      <c r="N346" s="141"/>
      <c r="O346" s="141"/>
    </row>
    <row r="347" spans="1:15" ht="14.25">
      <c r="A347" s="10" t="s">
        <v>471</v>
      </c>
      <c r="B347" s="10"/>
      <c r="C347" s="26"/>
      <c r="D347" s="8"/>
      <c r="E347" s="8"/>
      <c r="F347" s="8"/>
      <c r="G347" s="8"/>
      <c r="H347" s="8"/>
      <c r="I347" s="8"/>
      <c r="J347" s="22"/>
      <c r="K347" s="164"/>
      <c r="L347" s="157"/>
      <c r="M347" s="141"/>
      <c r="N347" s="141"/>
      <c r="O347" s="141"/>
    </row>
    <row r="348" spans="1:15" ht="14.25">
      <c r="A348" s="10"/>
      <c r="B348" s="10"/>
      <c r="C348" s="26" t="s">
        <v>651</v>
      </c>
      <c r="D348" s="8"/>
      <c r="E348" s="8">
        <v>18</v>
      </c>
      <c r="F348" s="8">
        <v>1.8</v>
      </c>
      <c r="G348" s="8">
        <v>1</v>
      </c>
      <c r="H348" s="8"/>
      <c r="I348" s="8"/>
      <c r="J348" s="22">
        <f>E348*F348*G348</f>
        <v>32.4</v>
      </c>
      <c r="K348" s="164"/>
      <c r="L348" s="157"/>
      <c r="M348" s="141"/>
      <c r="N348" s="141"/>
      <c r="O348" s="141"/>
    </row>
    <row r="349" spans="1:15" ht="14.25">
      <c r="A349" s="10"/>
      <c r="B349" s="10"/>
      <c r="C349" s="9"/>
      <c r="D349" s="8"/>
      <c r="E349" s="8"/>
      <c r="F349" s="8"/>
      <c r="G349" s="8"/>
      <c r="H349" s="8"/>
      <c r="I349" s="24" t="s">
        <v>491</v>
      </c>
      <c r="J349" s="17">
        <f>SUM(J347:J348)</f>
        <v>32.4</v>
      </c>
      <c r="K349" s="164"/>
      <c r="L349" s="157"/>
      <c r="M349" s="141"/>
      <c r="N349" s="141"/>
      <c r="O349" s="141"/>
    </row>
    <row r="350" spans="1:15" ht="12.75" customHeight="1">
      <c r="A350" s="10"/>
      <c r="B350" s="10"/>
      <c r="C350" s="9"/>
      <c r="D350" s="8"/>
      <c r="E350" s="8"/>
      <c r="F350" s="8"/>
      <c r="G350" s="8"/>
      <c r="H350" s="8"/>
      <c r="I350" s="24" t="s">
        <v>492</v>
      </c>
      <c r="J350" s="17">
        <f>J349</f>
        <v>32.4</v>
      </c>
      <c r="K350" s="164"/>
      <c r="L350" s="157"/>
      <c r="M350" s="141"/>
      <c r="N350" s="141"/>
      <c r="O350" s="141"/>
    </row>
    <row r="351" spans="1:15" ht="51">
      <c r="A351" s="10" t="s">
        <v>172</v>
      </c>
      <c r="B351" s="10" t="s">
        <v>165</v>
      </c>
      <c r="C351" s="27" t="s">
        <v>166</v>
      </c>
      <c r="D351" s="8"/>
      <c r="E351" s="8"/>
      <c r="F351" s="8"/>
      <c r="G351" s="8"/>
      <c r="H351" s="8"/>
      <c r="I351" s="8"/>
      <c r="J351" s="14"/>
      <c r="K351" s="164"/>
      <c r="L351" s="157"/>
      <c r="M351" s="141"/>
      <c r="N351" s="141"/>
      <c r="O351" s="141"/>
    </row>
    <row r="352" spans="1:15" ht="25.5">
      <c r="A352" s="10"/>
      <c r="B352" s="10" t="s">
        <v>168</v>
      </c>
      <c r="C352" s="27" t="s">
        <v>169</v>
      </c>
      <c r="D352" s="18"/>
      <c r="E352" s="18"/>
      <c r="F352" s="18"/>
      <c r="G352" s="77"/>
      <c r="H352" s="18"/>
      <c r="I352" s="18"/>
      <c r="J352" s="22"/>
      <c r="K352" s="164"/>
      <c r="L352" s="157"/>
      <c r="M352" s="141"/>
      <c r="N352" s="141"/>
      <c r="O352" s="141"/>
    </row>
    <row r="353" spans="1:18" ht="14.25">
      <c r="A353" s="10"/>
      <c r="B353" s="10"/>
      <c r="C353" s="9" t="s">
        <v>847</v>
      </c>
      <c r="D353" s="95" t="s">
        <v>197</v>
      </c>
      <c r="E353" s="95"/>
      <c r="F353" s="18"/>
      <c r="G353" s="18"/>
      <c r="H353" s="581"/>
      <c r="I353" s="582"/>
      <c r="J353" s="22"/>
      <c r="K353" s="157"/>
      <c r="L353" s="157" t="s">
        <v>471</v>
      </c>
      <c r="M353" s="141" t="s">
        <v>654</v>
      </c>
      <c r="N353" s="141"/>
      <c r="O353" s="141" t="s">
        <v>655</v>
      </c>
      <c r="Q353" s="7">
        <v>3</v>
      </c>
      <c r="R353" s="7">
        <f>Q353*2.41</f>
        <v>7.23</v>
      </c>
    </row>
    <row r="354" spans="1:18" ht="14.25" customHeight="1">
      <c r="A354" s="10"/>
      <c r="B354" s="10"/>
      <c r="C354" s="9"/>
      <c r="D354" s="95"/>
      <c r="E354" s="95"/>
      <c r="F354" s="18"/>
      <c r="G354" s="18"/>
      <c r="H354" s="581"/>
      <c r="I354" s="582"/>
      <c r="J354" s="22"/>
      <c r="K354" s="157"/>
      <c r="L354" s="157"/>
      <c r="M354" s="141" t="s">
        <v>657</v>
      </c>
      <c r="N354" s="141"/>
      <c r="O354" s="141"/>
    </row>
    <row r="355" spans="1:18" ht="14.25">
      <c r="A355" s="10" t="s">
        <v>471</v>
      </c>
      <c r="B355" s="10"/>
      <c r="C355" s="135" t="s">
        <v>660</v>
      </c>
      <c r="D355" s="18" t="s">
        <v>167</v>
      </c>
      <c r="E355" s="18"/>
      <c r="F355" s="22">
        <f>J640</f>
        <v>49.14</v>
      </c>
      <c r="G355" s="77"/>
      <c r="H355" s="581" t="s">
        <v>661</v>
      </c>
      <c r="I355" s="582"/>
      <c r="J355" s="22">
        <f>F355*15</f>
        <v>737.1</v>
      </c>
      <c r="K355" s="164"/>
      <c r="L355" s="157"/>
      <c r="M355" s="141"/>
      <c r="N355" s="141"/>
      <c r="O355" s="141"/>
    </row>
    <row r="356" spans="1:18" ht="14.25">
      <c r="A356" s="10"/>
      <c r="B356" s="10"/>
      <c r="C356" s="9"/>
      <c r="D356" s="18"/>
      <c r="E356" s="18"/>
      <c r="F356" s="18"/>
      <c r="G356" s="77"/>
      <c r="H356" s="18"/>
      <c r="I356" s="65" t="s">
        <v>491</v>
      </c>
      <c r="J356" s="17">
        <f>SUM(J353:J355)</f>
        <v>737.1</v>
      </c>
      <c r="K356" s="164"/>
      <c r="L356" s="157"/>
      <c r="M356" s="141"/>
      <c r="N356" s="141"/>
      <c r="O356" s="141"/>
    </row>
    <row r="357" spans="1:18" ht="14.25">
      <c r="A357" s="10"/>
      <c r="B357" s="10"/>
      <c r="C357" s="9"/>
      <c r="D357" s="18"/>
      <c r="E357" s="18"/>
      <c r="F357" s="18"/>
      <c r="G357" s="77"/>
      <c r="H357" s="18"/>
      <c r="I357" s="65"/>
      <c r="J357" s="17"/>
      <c r="K357" s="164"/>
      <c r="L357" s="157"/>
      <c r="M357" s="141"/>
      <c r="N357" s="141"/>
      <c r="O357" s="141"/>
    </row>
    <row r="358" spans="1:18" ht="14.25">
      <c r="A358" s="10" t="s">
        <v>471</v>
      </c>
      <c r="B358" s="10"/>
      <c r="C358" s="9"/>
      <c r="D358" s="8"/>
      <c r="E358" s="8"/>
      <c r="F358" s="8"/>
      <c r="G358" s="8"/>
      <c r="H358" s="8"/>
      <c r="I358" s="8"/>
      <c r="J358" s="14"/>
      <c r="K358" s="157"/>
      <c r="L358" s="157"/>
      <c r="M358" s="141"/>
      <c r="N358" s="141"/>
      <c r="O358" s="141"/>
    </row>
    <row r="359" spans="1:18" ht="14.25">
      <c r="A359" s="10"/>
      <c r="B359" s="16"/>
      <c r="C359" s="98"/>
      <c r="D359" s="70"/>
      <c r="E359" s="70"/>
      <c r="F359" s="70"/>
      <c r="G359" s="70"/>
      <c r="H359" s="70"/>
      <c r="I359" s="70"/>
      <c r="J359" s="97"/>
      <c r="K359" s="157"/>
      <c r="L359" s="157"/>
      <c r="M359" s="141"/>
      <c r="N359" s="141"/>
      <c r="O359" s="141"/>
    </row>
    <row r="360" spans="1:18" ht="140.25">
      <c r="A360" s="10" t="s">
        <v>662</v>
      </c>
      <c r="B360" s="91" t="s">
        <v>181</v>
      </c>
      <c r="C360" s="90" t="s">
        <v>182</v>
      </c>
      <c r="D360" s="96" t="s">
        <v>650</v>
      </c>
      <c r="E360" s="96"/>
      <c r="F360" s="18"/>
      <c r="G360" s="18"/>
      <c r="H360" s="18"/>
      <c r="I360" s="18"/>
      <c r="J360" s="22"/>
      <c r="K360" s="157"/>
      <c r="L360" s="157"/>
      <c r="M360" s="141"/>
      <c r="N360" s="141"/>
      <c r="O360" s="141"/>
    </row>
    <row r="361" spans="1:18" ht="14.25">
      <c r="A361" s="10"/>
      <c r="B361" s="91"/>
      <c r="C361" s="82" t="s">
        <v>663</v>
      </c>
      <c r="D361" s="96" t="s">
        <v>650</v>
      </c>
      <c r="E361" s="96">
        <v>5</v>
      </c>
      <c r="F361" s="18">
        <v>3</v>
      </c>
      <c r="G361" s="18">
        <f>2.1+2.1+0.75</f>
        <v>4.95</v>
      </c>
      <c r="H361" s="18"/>
      <c r="I361" s="18"/>
      <c r="J361" s="17">
        <f>G361*F361*E361</f>
        <v>74.25</v>
      </c>
      <c r="K361" s="157"/>
      <c r="L361" s="157"/>
      <c r="M361" s="141"/>
      <c r="N361" s="141"/>
      <c r="O361" s="141"/>
    </row>
    <row r="362" spans="1:18" ht="14.25">
      <c r="A362" s="10"/>
      <c r="B362" s="91"/>
      <c r="C362" s="90"/>
      <c r="D362" s="96"/>
      <c r="E362" s="96"/>
      <c r="F362" s="18"/>
      <c r="G362" s="18"/>
      <c r="H362" s="18"/>
      <c r="I362" s="65" t="s">
        <v>492</v>
      </c>
      <c r="J362" s="17">
        <f>J361</f>
        <v>74.25</v>
      </c>
      <c r="K362" s="157"/>
      <c r="L362" s="157"/>
      <c r="M362" s="141"/>
      <c r="N362" s="141"/>
      <c r="O362" s="141"/>
    </row>
    <row r="363" spans="1:18" ht="253.5" customHeight="1">
      <c r="A363" s="10" t="s">
        <v>173</v>
      </c>
      <c r="B363" s="91" t="s">
        <v>184</v>
      </c>
      <c r="C363" s="90" t="s">
        <v>664</v>
      </c>
      <c r="D363" s="96"/>
      <c r="E363" s="96"/>
      <c r="F363" s="18"/>
      <c r="G363" s="18"/>
      <c r="H363" s="18"/>
      <c r="I363" s="18"/>
      <c r="J363" s="22"/>
      <c r="K363" s="157"/>
      <c r="L363" s="157"/>
      <c r="M363" s="141"/>
      <c r="N363" s="141"/>
      <c r="O363" s="141"/>
    </row>
    <row r="364" spans="1:18" ht="14.25">
      <c r="A364" s="10"/>
      <c r="B364" s="91" t="s">
        <v>185</v>
      </c>
      <c r="C364" s="90" t="s">
        <v>665</v>
      </c>
      <c r="D364" s="96" t="s">
        <v>518</v>
      </c>
      <c r="E364" s="96"/>
      <c r="F364" s="18"/>
      <c r="G364" s="18"/>
      <c r="H364" s="18"/>
      <c r="I364" s="18"/>
      <c r="J364" s="22"/>
      <c r="K364" s="157"/>
      <c r="L364" s="157"/>
      <c r="M364" s="141"/>
      <c r="N364" s="141"/>
      <c r="O364" s="141"/>
    </row>
    <row r="365" spans="1:18" ht="14.25">
      <c r="A365" s="10"/>
      <c r="B365" s="10"/>
      <c r="C365" s="82" t="s">
        <v>663</v>
      </c>
      <c r="D365" s="96" t="s">
        <v>518</v>
      </c>
      <c r="E365" s="96">
        <v>5</v>
      </c>
      <c r="F365" s="18">
        <v>1</v>
      </c>
      <c r="G365" s="18">
        <v>2.1</v>
      </c>
      <c r="H365" s="18">
        <v>0.75</v>
      </c>
      <c r="I365" s="18"/>
      <c r="J365" s="17">
        <f>H365*G365*F365*E365</f>
        <v>7.8750000000000009</v>
      </c>
      <c r="K365" s="157"/>
      <c r="L365" s="157"/>
      <c r="M365" s="141"/>
      <c r="N365" s="141"/>
      <c r="O365" s="141"/>
    </row>
    <row r="366" spans="1:18" ht="14.25">
      <c r="A366" s="10"/>
      <c r="B366" s="10"/>
      <c r="C366" s="82"/>
      <c r="D366" s="96"/>
      <c r="E366" s="96"/>
      <c r="F366" s="18"/>
      <c r="G366" s="18"/>
      <c r="H366" s="18"/>
      <c r="I366" s="18" t="s">
        <v>492</v>
      </c>
      <c r="J366" s="17">
        <f>J365</f>
        <v>7.8750000000000009</v>
      </c>
      <c r="K366" s="157"/>
      <c r="L366" s="157"/>
      <c r="M366" s="141"/>
      <c r="N366" s="141"/>
      <c r="O366" s="141"/>
    </row>
    <row r="367" spans="1:18" ht="14.25">
      <c r="A367" s="10"/>
      <c r="B367" s="10"/>
      <c r="C367" s="82"/>
      <c r="D367" s="96"/>
      <c r="E367" s="96"/>
      <c r="F367" s="18"/>
      <c r="G367" s="18"/>
      <c r="H367" s="18"/>
      <c r="I367" s="18"/>
      <c r="J367" s="17"/>
      <c r="K367" s="157"/>
      <c r="L367" s="157"/>
      <c r="M367" s="141"/>
      <c r="N367" s="141"/>
      <c r="O367" s="141"/>
    </row>
    <row r="368" spans="1:18" ht="93.6" customHeight="1">
      <c r="A368" s="10" t="s">
        <v>174</v>
      </c>
      <c r="B368" s="10" t="s">
        <v>149</v>
      </c>
      <c r="C368" s="90" t="s">
        <v>666</v>
      </c>
      <c r="D368" s="96"/>
      <c r="E368" s="96"/>
      <c r="F368" s="18"/>
      <c r="G368" s="18"/>
      <c r="H368" s="18"/>
      <c r="I368" s="18"/>
      <c r="J368" s="17"/>
      <c r="K368" s="157"/>
      <c r="L368" s="157"/>
      <c r="M368" s="141"/>
      <c r="N368" s="141"/>
      <c r="O368" s="141"/>
    </row>
    <row r="369" spans="1:15" ht="38.25">
      <c r="A369" s="10"/>
      <c r="B369" s="10" t="s">
        <v>150</v>
      </c>
      <c r="C369" s="90" t="s">
        <v>667</v>
      </c>
      <c r="D369" s="96"/>
      <c r="E369" s="96"/>
      <c r="F369" s="18"/>
      <c r="G369" s="18"/>
      <c r="H369" s="18"/>
      <c r="I369" s="18"/>
      <c r="J369" s="17"/>
      <c r="K369" s="157"/>
      <c r="L369" s="157"/>
      <c r="M369" s="141"/>
      <c r="N369" s="141"/>
      <c r="O369" s="141"/>
    </row>
    <row r="370" spans="1:15" ht="14.25">
      <c r="A370" s="10"/>
      <c r="B370" s="10"/>
      <c r="C370" s="26"/>
      <c r="D370" s="14"/>
      <c r="E370" s="25"/>
      <c r="F370" s="25"/>
      <c r="G370" s="14"/>
      <c r="H370" s="14"/>
      <c r="I370" s="14"/>
      <c r="J370" s="14"/>
      <c r="K370" s="157"/>
      <c r="L370" s="157"/>
      <c r="M370" s="141"/>
      <c r="N370" s="141"/>
      <c r="O370" s="141"/>
    </row>
    <row r="371" spans="1:15" ht="14.25">
      <c r="A371" s="10"/>
      <c r="B371" s="10"/>
      <c r="C371" s="26" t="s">
        <v>668</v>
      </c>
      <c r="D371" s="14" t="s">
        <v>669</v>
      </c>
      <c r="E371" s="25">
        <v>10</v>
      </c>
      <c r="F371" s="25">
        <v>5</v>
      </c>
      <c r="G371" s="14">
        <v>0.9</v>
      </c>
      <c r="H371" s="14"/>
      <c r="I371" s="14">
        <v>2.1</v>
      </c>
      <c r="J371" s="14">
        <f>E371*F371*G371*I371</f>
        <v>94.5</v>
      </c>
      <c r="K371" s="157"/>
      <c r="L371" s="157"/>
      <c r="M371" s="141"/>
      <c r="N371" s="141"/>
      <c r="O371" s="141"/>
    </row>
    <row r="372" spans="1:15" ht="14.25">
      <c r="A372" s="10"/>
      <c r="B372" s="10"/>
      <c r="C372" s="26"/>
      <c r="D372" s="14"/>
      <c r="E372" s="25"/>
      <c r="F372" s="25"/>
      <c r="G372" s="14"/>
      <c r="H372" s="14"/>
      <c r="I372" s="14"/>
      <c r="J372" s="14"/>
      <c r="K372" s="157"/>
      <c r="L372" s="157"/>
      <c r="M372" s="141"/>
      <c r="N372" s="141"/>
      <c r="O372" s="141"/>
    </row>
    <row r="373" spans="1:15" ht="14.25">
      <c r="A373" s="10"/>
      <c r="B373" s="10"/>
      <c r="C373" s="26" t="s">
        <v>670</v>
      </c>
      <c r="D373" s="14" t="s">
        <v>669</v>
      </c>
      <c r="E373" s="25">
        <v>1</v>
      </c>
      <c r="F373" s="25">
        <v>1</v>
      </c>
      <c r="G373" s="14">
        <v>0.9</v>
      </c>
      <c r="H373" s="14"/>
      <c r="I373" s="14">
        <v>2.1</v>
      </c>
      <c r="J373" s="14">
        <f>E373*F373*G373*I373</f>
        <v>1.8900000000000001</v>
      </c>
      <c r="K373" s="157"/>
      <c r="L373" s="157"/>
      <c r="M373" s="141"/>
      <c r="N373" s="141"/>
      <c r="O373" s="141"/>
    </row>
    <row r="374" spans="1:15" ht="14.25">
      <c r="A374" s="10"/>
      <c r="B374" s="10"/>
      <c r="C374" s="9"/>
      <c r="D374" s="14"/>
      <c r="E374" s="14"/>
      <c r="F374" s="14"/>
      <c r="G374" s="14"/>
      <c r="H374" s="14"/>
      <c r="I374" s="24" t="s">
        <v>491</v>
      </c>
      <c r="J374" s="17">
        <f>SUM(J370:J373)</f>
        <v>96.39</v>
      </c>
      <c r="K374" s="157"/>
      <c r="L374" s="157"/>
      <c r="M374" s="141"/>
      <c r="N374" s="141"/>
      <c r="O374" s="141"/>
    </row>
    <row r="375" spans="1:15" ht="14.25">
      <c r="A375" s="10"/>
      <c r="B375" s="10"/>
      <c r="C375" s="9"/>
      <c r="D375" s="14"/>
      <c r="E375" s="14"/>
      <c r="F375" s="14"/>
      <c r="G375" s="14"/>
      <c r="H375" s="14"/>
      <c r="I375" s="24" t="s">
        <v>492</v>
      </c>
      <c r="J375" s="17">
        <f>J374</f>
        <v>96.39</v>
      </c>
      <c r="K375" s="157"/>
      <c r="L375" s="157"/>
      <c r="M375" s="141"/>
      <c r="N375" s="141"/>
      <c r="O375" s="141"/>
    </row>
    <row r="376" spans="1:15" ht="75">
      <c r="A376" s="10"/>
      <c r="B376" s="2" t="s">
        <v>152</v>
      </c>
      <c r="C376" s="5" t="s">
        <v>153</v>
      </c>
      <c r="D376" s="569" t="s">
        <v>69</v>
      </c>
      <c r="E376" s="25">
        <v>5</v>
      </c>
      <c r="F376" s="25">
        <v>5</v>
      </c>
      <c r="G376" s="14">
        <v>0.9</v>
      </c>
      <c r="H376" s="14"/>
      <c r="I376" s="14">
        <v>2.1</v>
      </c>
      <c r="J376" s="14">
        <f>E376*F376*G376*I376</f>
        <v>47.25</v>
      </c>
      <c r="K376" s="157"/>
      <c r="L376" s="157"/>
      <c r="M376" s="141"/>
      <c r="N376" s="141"/>
      <c r="O376" s="141"/>
    </row>
    <row r="377" spans="1:15" ht="15">
      <c r="A377" s="10"/>
      <c r="B377" s="2" t="s">
        <v>154</v>
      </c>
      <c r="C377" s="5" t="s">
        <v>155</v>
      </c>
      <c r="D377" s="569"/>
      <c r="E377" s="25">
        <v>1</v>
      </c>
      <c r="F377" s="25">
        <v>1</v>
      </c>
      <c r="G377" s="14">
        <v>0.9</v>
      </c>
      <c r="H377" s="14"/>
      <c r="I377" s="14">
        <v>2.1</v>
      </c>
      <c r="J377" s="14">
        <f>E377*F377*G377*I377</f>
        <v>1.8900000000000001</v>
      </c>
      <c r="K377" s="157"/>
      <c r="L377" s="157"/>
      <c r="M377" s="141"/>
      <c r="N377" s="141"/>
      <c r="O377" s="141"/>
    </row>
    <row r="378" spans="1:15" ht="15">
      <c r="A378" s="10"/>
      <c r="B378" s="2"/>
      <c r="C378" s="6"/>
      <c r="D378" s="1"/>
      <c r="E378" s="14"/>
      <c r="F378" s="14"/>
      <c r="G378" s="14"/>
      <c r="H378" s="14"/>
      <c r="I378" s="24"/>
      <c r="J378" s="17">
        <f>SUM(J376:J377)</f>
        <v>49.14</v>
      </c>
      <c r="K378" s="157"/>
      <c r="L378" s="157"/>
      <c r="M378" s="141"/>
      <c r="N378" s="141"/>
      <c r="O378" s="141"/>
    </row>
    <row r="379" spans="1:15" ht="150">
      <c r="A379" s="10"/>
      <c r="B379" s="2">
        <v>9.31</v>
      </c>
      <c r="C379" s="6" t="s">
        <v>156</v>
      </c>
      <c r="D379" s="569" t="s">
        <v>69</v>
      </c>
      <c r="E379" s="14"/>
      <c r="F379" s="14"/>
      <c r="G379" s="14"/>
      <c r="H379" s="14"/>
      <c r="I379" s="24"/>
      <c r="J379" s="17"/>
      <c r="K379" s="157"/>
      <c r="L379" s="157"/>
      <c r="M379" s="141"/>
      <c r="N379" s="141"/>
      <c r="O379" s="141"/>
    </row>
    <row r="380" spans="1:15" ht="15">
      <c r="A380" s="10"/>
      <c r="B380" s="2" t="s">
        <v>157</v>
      </c>
      <c r="C380" s="6" t="s">
        <v>158</v>
      </c>
      <c r="D380" s="569"/>
      <c r="E380" s="14"/>
      <c r="F380" s="14"/>
      <c r="G380" s="14"/>
      <c r="H380" s="14"/>
      <c r="I380" s="24"/>
      <c r="J380" s="17">
        <v>49.14</v>
      </c>
      <c r="K380" s="157"/>
      <c r="L380" s="157"/>
      <c r="M380" s="141"/>
      <c r="N380" s="141"/>
      <c r="O380" s="141"/>
    </row>
    <row r="381" spans="1:15" ht="15">
      <c r="A381" s="10"/>
      <c r="B381" s="2"/>
      <c r="C381" s="6"/>
      <c r="D381" s="1"/>
      <c r="E381" s="14"/>
      <c r="F381" s="14"/>
      <c r="G381" s="14"/>
      <c r="H381" s="14"/>
      <c r="I381" s="24"/>
      <c r="J381" s="17"/>
      <c r="K381" s="157"/>
      <c r="L381" s="157"/>
      <c r="M381" s="141"/>
      <c r="N381" s="141"/>
      <c r="O381" s="141"/>
    </row>
    <row r="382" spans="1:15" ht="14.25">
      <c r="A382" s="10"/>
      <c r="B382" s="91"/>
      <c r="C382" s="82"/>
      <c r="D382" s="92"/>
      <c r="E382" s="92"/>
      <c r="F382" s="92"/>
      <c r="G382" s="92"/>
      <c r="H382" s="92"/>
      <c r="I382" s="17"/>
      <c r="J382" s="87"/>
      <c r="K382" s="157"/>
      <c r="L382" s="157"/>
      <c r="M382" s="141"/>
      <c r="N382" s="141"/>
      <c r="O382" s="141"/>
    </row>
    <row r="383" spans="1:15" ht="102">
      <c r="A383" s="10" t="s">
        <v>175</v>
      </c>
      <c r="B383" s="10" t="s">
        <v>192</v>
      </c>
      <c r="C383" s="27" t="s">
        <v>193</v>
      </c>
      <c r="D383" s="18" t="s">
        <v>171</v>
      </c>
      <c r="E383" s="18">
        <v>1</v>
      </c>
      <c r="F383" s="18">
        <v>20</v>
      </c>
      <c r="G383" s="18">
        <v>1</v>
      </c>
      <c r="H383" s="18"/>
      <c r="I383" s="18"/>
      <c r="J383" s="87">
        <f>E383*F383*G383</f>
        <v>20</v>
      </c>
      <c r="K383" s="157"/>
      <c r="L383" s="157"/>
      <c r="M383" s="141"/>
      <c r="N383" s="141"/>
      <c r="O383" s="141"/>
    </row>
    <row r="384" spans="1:15" ht="14.25">
      <c r="A384" s="10"/>
      <c r="B384" s="10"/>
      <c r="C384" s="9"/>
      <c r="D384" s="8"/>
      <c r="E384" s="8"/>
      <c r="F384" s="8"/>
      <c r="G384" s="8"/>
      <c r="H384" s="8"/>
      <c r="I384" s="8"/>
      <c r="J384" s="14"/>
      <c r="K384" s="157"/>
      <c r="L384" s="157"/>
      <c r="M384" s="141"/>
      <c r="N384" s="141"/>
      <c r="O384" s="141"/>
    </row>
    <row r="385" spans="1:19" ht="14.25">
      <c r="A385" s="10"/>
      <c r="B385" s="10"/>
      <c r="C385" s="94"/>
      <c r="D385" s="8"/>
      <c r="E385" s="8"/>
      <c r="F385" s="8"/>
      <c r="G385" s="8"/>
      <c r="H385" s="8"/>
      <c r="I385" s="8"/>
      <c r="J385" s="14"/>
      <c r="K385" s="157"/>
      <c r="L385" s="157"/>
      <c r="M385" s="141"/>
      <c r="N385" s="141"/>
      <c r="O385" s="141"/>
    </row>
    <row r="386" spans="1:19" ht="153">
      <c r="A386" s="10" t="s">
        <v>176</v>
      </c>
      <c r="B386" s="10" t="s">
        <v>195</v>
      </c>
      <c r="C386" s="27" t="s">
        <v>196</v>
      </c>
      <c r="D386" s="8"/>
      <c r="E386" s="8"/>
      <c r="F386" s="8"/>
      <c r="G386" s="8"/>
      <c r="H386" s="8"/>
      <c r="I386" s="8"/>
      <c r="J386" s="14"/>
      <c r="K386" s="157"/>
      <c r="L386" s="157"/>
      <c r="M386" s="141"/>
      <c r="N386" s="141"/>
      <c r="O386" s="141"/>
    </row>
    <row r="387" spans="1:19" ht="14.25">
      <c r="A387" s="10"/>
      <c r="B387" s="10"/>
      <c r="C387" s="9" t="s">
        <v>671</v>
      </c>
      <c r="D387" s="95" t="s">
        <v>197</v>
      </c>
      <c r="E387" s="95">
        <v>1</v>
      </c>
      <c r="F387" s="18">
        <f>2.7+2.7+1+3</f>
        <v>9.4</v>
      </c>
      <c r="G387" s="18">
        <f>F387*E387</f>
        <v>9.4</v>
      </c>
      <c r="H387" s="581" t="s">
        <v>653</v>
      </c>
      <c r="I387" s="582"/>
      <c r="J387" s="22">
        <f>G387*18</f>
        <v>169.20000000000002</v>
      </c>
      <c r="K387" s="157"/>
      <c r="L387" s="157"/>
      <c r="M387" s="141" t="s">
        <v>658</v>
      </c>
      <c r="N387" s="141"/>
      <c r="O387" s="141" t="s">
        <v>659</v>
      </c>
      <c r="Q387" s="7">
        <v>1</v>
      </c>
      <c r="R387" s="7">
        <v>3.56</v>
      </c>
    </row>
    <row r="388" spans="1:19" ht="14.25">
      <c r="A388" s="10"/>
      <c r="B388" s="10"/>
      <c r="C388" s="9"/>
      <c r="D388" s="95"/>
      <c r="E388" s="95"/>
      <c r="F388" s="18"/>
      <c r="G388" s="18"/>
      <c r="H388" s="581"/>
      <c r="I388" s="582"/>
      <c r="J388" s="22"/>
      <c r="K388" s="157"/>
      <c r="L388" s="157" t="s">
        <v>471</v>
      </c>
      <c r="M388" s="141" t="s">
        <v>654</v>
      </c>
      <c r="N388" s="141"/>
      <c r="O388" s="141" t="s">
        <v>655</v>
      </c>
      <c r="Q388" s="7">
        <v>3</v>
      </c>
      <c r="R388" s="7">
        <f>Q388*2.41</f>
        <v>7.23</v>
      </c>
    </row>
    <row r="389" spans="1:19" ht="14.25" customHeight="1">
      <c r="A389" s="10"/>
      <c r="B389" s="10"/>
      <c r="C389" s="9"/>
      <c r="D389" s="95"/>
      <c r="E389" s="95"/>
      <c r="F389" s="18"/>
      <c r="G389" s="18"/>
      <c r="H389" s="581"/>
      <c r="I389" s="582"/>
      <c r="J389" s="22"/>
      <c r="K389" s="157"/>
      <c r="L389" s="157"/>
      <c r="M389" s="141" t="s">
        <v>657</v>
      </c>
      <c r="N389" s="141"/>
      <c r="O389" s="141"/>
    </row>
    <row r="390" spans="1:19" ht="14.25" customHeight="1">
      <c r="A390" s="10"/>
      <c r="B390" s="10"/>
      <c r="C390" s="9"/>
      <c r="D390" s="95"/>
      <c r="E390" s="95"/>
      <c r="F390" s="18"/>
      <c r="G390" s="18"/>
      <c r="H390" s="581"/>
      <c r="I390" s="582"/>
      <c r="J390" s="22"/>
      <c r="K390" s="157"/>
      <c r="L390" s="157"/>
      <c r="M390" s="141" t="s">
        <v>658</v>
      </c>
      <c r="N390" s="141"/>
      <c r="O390" s="141" t="s">
        <v>659</v>
      </c>
      <c r="Q390" s="133">
        <v>1</v>
      </c>
      <c r="R390" s="7">
        <v>3.36</v>
      </c>
    </row>
    <row r="391" spans="1:19" ht="14.25">
      <c r="A391" s="10"/>
      <c r="B391" s="10"/>
      <c r="C391" s="94"/>
      <c r="D391" s="8"/>
      <c r="E391" s="8"/>
      <c r="F391" s="8"/>
      <c r="G391" s="8"/>
      <c r="H391" s="8"/>
      <c r="I391" s="17" t="s">
        <v>491</v>
      </c>
      <c r="J391" s="87">
        <f>SUM(J387:J390)</f>
        <v>169.20000000000002</v>
      </c>
      <c r="K391" s="157"/>
      <c r="L391" s="157"/>
      <c r="M391" s="141"/>
      <c r="N391" s="141"/>
      <c r="O391" s="141"/>
      <c r="R391" s="7">
        <f>R390+R388+R387</f>
        <v>14.15</v>
      </c>
    </row>
    <row r="392" spans="1:19" ht="14.25">
      <c r="A392" s="10"/>
      <c r="B392" s="10"/>
      <c r="C392" s="9"/>
      <c r="D392" s="8"/>
      <c r="E392" s="8"/>
      <c r="F392" s="8"/>
      <c r="G392" s="8"/>
      <c r="H392" s="8"/>
      <c r="I392" s="24" t="s">
        <v>492</v>
      </c>
      <c r="J392" s="23">
        <f>J391</f>
        <v>169.20000000000002</v>
      </c>
      <c r="K392" s="157"/>
      <c r="L392" s="157"/>
      <c r="M392" s="141"/>
      <c r="N392" s="141"/>
      <c r="O392" s="141"/>
    </row>
    <row r="393" spans="1:19" ht="63.75">
      <c r="A393" s="10" t="s">
        <v>177</v>
      </c>
      <c r="B393" s="10" t="s">
        <v>200</v>
      </c>
      <c r="C393" s="27" t="s">
        <v>199</v>
      </c>
      <c r="D393" s="8"/>
      <c r="E393" s="8"/>
      <c r="F393" s="8"/>
      <c r="G393" s="8"/>
      <c r="H393" s="8"/>
      <c r="I393" s="8"/>
      <c r="J393" s="14"/>
      <c r="K393" s="157"/>
      <c r="L393" s="157"/>
      <c r="M393" s="141"/>
      <c r="N393" s="141"/>
      <c r="O393" s="141"/>
      <c r="S393" s="133"/>
    </row>
    <row r="394" spans="1:19" ht="14.25">
      <c r="A394" s="10"/>
      <c r="B394" s="10" t="s">
        <v>200</v>
      </c>
      <c r="C394" s="9" t="s">
        <v>201</v>
      </c>
      <c r="D394" s="8" t="s">
        <v>518</v>
      </c>
      <c r="E394" s="8"/>
      <c r="F394" s="8"/>
      <c r="G394" s="8"/>
      <c r="H394" s="8"/>
      <c r="I394" s="8"/>
      <c r="J394" s="14"/>
      <c r="K394" s="157"/>
      <c r="L394" s="157"/>
      <c r="M394" s="141"/>
      <c r="N394" s="141"/>
      <c r="O394" s="141"/>
    </row>
    <row r="395" spans="1:19" ht="14.25">
      <c r="A395" s="10"/>
      <c r="B395" s="10"/>
      <c r="C395" s="26" t="s">
        <v>672</v>
      </c>
      <c r="D395" s="8"/>
      <c r="E395" s="8">
        <v>1</v>
      </c>
      <c r="F395" s="8">
        <v>24</v>
      </c>
      <c r="G395" s="8">
        <v>1.5</v>
      </c>
      <c r="H395" s="8">
        <v>0.3</v>
      </c>
      <c r="I395" s="8"/>
      <c r="J395" s="14">
        <f>E395*F395*G395*H395</f>
        <v>10.799999999999999</v>
      </c>
      <c r="K395" s="157"/>
      <c r="L395" s="157"/>
      <c r="M395" s="141"/>
      <c r="N395" s="141"/>
      <c r="O395" s="141"/>
    </row>
    <row r="396" spans="1:19" ht="14.25">
      <c r="A396" s="10"/>
      <c r="B396" s="10"/>
      <c r="C396" s="26" t="s">
        <v>673</v>
      </c>
      <c r="D396" s="8"/>
      <c r="E396" s="8">
        <v>1</v>
      </c>
      <c r="F396" s="8">
        <v>24</v>
      </c>
      <c r="G396" s="8">
        <v>1.5</v>
      </c>
      <c r="H396" s="8" t="s">
        <v>471</v>
      </c>
      <c r="I396" s="8">
        <v>0.17499999999999999</v>
      </c>
      <c r="J396" s="14">
        <f>E396*F396*G396*I396</f>
        <v>6.3</v>
      </c>
      <c r="K396" s="157"/>
      <c r="L396" s="157"/>
      <c r="M396" s="141"/>
      <c r="N396" s="141"/>
      <c r="O396" s="141"/>
    </row>
    <row r="397" spans="1:19" ht="14.25">
      <c r="A397" s="10"/>
      <c r="B397" s="10"/>
      <c r="C397" s="26" t="s">
        <v>674</v>
      </c>
      <c r="D397" s="8"/>
      <c r="E397" s="8">
        <v>1</v>
      </c>
      <c r="F397" s="8">
        <v>3</v>
      </c>
      <c r="G397" s="8">
        <v>2.4</v>
      </c>
      <c r="H397" s="8">
        <v>1.2</v>
      </c>
      <c r="I397" s="8"/>
      <c r="J397" s="14">
        <f>E397*F397*G397*H397</f>
        <v>8.6399999999999988</v>
      </c>
      <c r="K397" s="157"/>
      <c r="L397" s="157"/>
      <c r="M397" s="141"/>
      <c r="N397" s="141"/>
      <c r="O397" s="141"/>
    </row>
    <row r="398" spans="1:19" ht="14.25">
      <c r="A398" s="10"/>
      <c r="B398" s="10"/>
      <c r="C398" s="9"/>
      <c r="D398" s="8"/>
      <c r="E398" s="8">
        <v>1</v>
      </c>
      <c r="F398" s="8">
        <v>2</v>
      </c>
      <c r="G398" s="8">
        <v>2.4</v>
      </c>
      <c r="H398" s="8">
        <v>1.7</v>
      </c>
      <c r="I398" s="8"/>
      <c r="J398" s="14">
        <f>E398*F398*G398*H398</f>
        <v>8.16</v>
      </c>
      <c r="K398" s="157"/>
      <c r="L398" s="157"/>
      <c r="M398" s="141"/>
      <c r="N398" s="141"/>
      <c r="O398" s="141"/>
    </row>
    <row r="399" spans="1:19" ht="14.25">
      <c r="A399" s="10"/>
      <c r="B399" s="10"/>
      <c r="C399" s="26" t="s">
        <v>675</v>
      </c>
      <c r="D399" s="8"/>
      <c r="E399" s="8">
        <v>1</v>
      </c>
      <c r="F399" s="8">
        <v>1</v>
      </c>
      <c r="G399" s="8">
        <v>2.4</v>
      </c>
      <c r="H399" s="8">
        <v>1.43</v>
      </c>
      <c r="I399" s="8"/>
      <c r="J399" s="14">
        <f>E399*F399*G399*H399</f>
        <v>3.4319999999999999</v>
      </c>
      <c r="K399" s="157"/>
      <c r="L399" s="157"/>
      <c r="M399" s="141"/>
      <c r="N399" s="141"/>
      <c r="O399" s="141"/>
    </row>
    <row r="400" spans="1:19" ht="14.25">
      <c r="A400" s="10"/>
      <c r="B400" s="10"/>
      <c r="C400" s="9"/>
      <c r="D400" s="8"/>
      <c r="E400" s="8">
        <v>1</v>
      </c>
      <c r="F400" s="8">
        <v>1</v>
      </c>
      <c r="G400" s="8">
        <v>2.5</v>
      </c>
      <c r="H400" s="8">
        <v>1.2</v>
      </c>
      <c r="I400" s="8"/>
      <c r="J400" s="14">
        <f>E400*F400*G400*H400</f>
        <v>3</v>
      </c>
      <c r="K400" s="157"/>
      <c r="L400" s="157"/>
      <c r="M400" s="141"/>
      <c r="N400" s="141"/>
      <c r="O400" s="141"/>
    </row>
    <row r="401" spans="1:15" ht="14.25">
      <c r="A401" s="10"/>
      <c r="B401" s="10"/>
      <c r="C401" s="9"/>
      <c r="D401" s="8"/>
      <c r="E401" s="8"/>
      <c r="F401" s="8"/>
      <c r="G401" s="8"/>
      <c r="H401" s="8"/>
      <c r="I401" s="17" t="s">
        <v>491</v>
      </c>
      <c r="J401" s="87">
        <f>SUM(J395:J400)</f>
        <v>40.331999999999994</v>
      </c>
      <c r="K401" s="157"/>
      <c r="L401" s="157"/>
      <c r="M401" s="141"/>
      <c r="N401" s="141"/>
      <c r="O401" s="141"/>
    </row>
    <row r="402" spans="1:15" ht="14.25">
      <c r="A402" s="10"/>
      <c r="B402" s="10"/>
      <c r="C402" s="9"/>
      <c r="D402" s="8"/>
      <c r="E402" s="8"/>
      <c r="F402" s="8"/>
      <c r="G402" s="8"/>
      <c r="H402" s="8"/>
      <c r="I402" s="24" t="s">
        <v>492</v>
      </c>
      <c r="J402" s="23">
        <f>J401</f>
        <v>40.331999999999994</v>
      </c>
      <c r="K402" s="157"/>
      <c r="L402" s="157"/>
      <c r="M402" s="141"/>
      <c r="N402" s="141"/>
      <c r="O402" s="141"/>
    </row>
    <row r="403" spans="1:15" ht="25.5">
      <c r="A403" s="10" t="s">
        <v>178</v>
      </c>
      <c r="B403" s="10" t="s">
        <v>203</v>
      </c>
      <c r="C403" s="27" t="s">
        <v>204</v>
      </c>
      <c r="D403" s="18" t="s">
        <v>650</v>
      </c>
      <c r="E403" s="18">
        <v>1</v>
      </c>
      <c r="F403" s="22">
        <v>24</v>
      </c>
      <c r="G403" s="18">
        <v>1.5</v>
      </c>
      <c r="H403" s="18"/>
      <c r="I403" s="18"/>
      <c r="J403" s="17">
        <f>E403*F403*G403</f>
        <v>36</v>
      </c>
      <c r="K403" s="157"/>
      <c r="L403" s="157"/>
      <c r="M403" s="141"/>
      <c r="N403" s="141"/>
      <c r="O403" s="141"/>
    </row>
    <row r="404" spans="1:15" ht="14.25">
      <c r="A404" s="10"/>
      <c r="B404" s="10"/>
      <c r="C404" s="27"/>
      <c r="D404" s="8"/>
      <c r="E404" s="8"/>
      <c r="F404" s="8"/>
      <c r="G404" s="8"/>
      <c r="H404" s="8"/>
      <c r="I404" s="8"/>
      <c r="J404" s="14"/>
      <c r="K404" s="157"/>
      <c r="L404" s="157"/>
      <c r="M404" s="141"/>
      <c r="N404" s="141"/>
      <c r="O404" s="141"/>
    </row>
    <row r="405" spans="1:15" ht="25.5">
      <c r="A405" s="10" t="s">
        <v>179</v>
      </c>
      <c r="B405" s="10" t="s">
        <v>206</v>
      </c>
      <c r="C405" s="27" t="s">
        <v>676</v>
      </c>
      <c r="D405" s="8" t="s">
        <v>518</v>
      </c>
      <c r="E405" s="8">
        <v>5</v>
      </c>
      <c r="F405" s="8">
        <v>3</v>
      </c>
      <c r="G405" s="8">
        <v>0.45</v>
      </c>
      <c r="H405" s="8"/>
      <c r="I405" s="8"/>
      <c r="J405" s="14">
        <f>G405*F405*E405</f>
        <v>6.75</v>
      </c>
      <c r="K405" s="157"/>
      <c r="L405" s="157"/>
      <c r="M405" s="141"/>
      <c r="N405" s="141"/>
      <c r="O405" s="141"/>
    </row>
    <row r="406" spans="1:15" ht="14.25">
      <c r="A406" s="10"/>
      <c r="B406" s="10"/>
      <c r="C406" s="9"/>
      <c r="D406" s="8"/>
      <c r="E406" s="8"/>
      <c r="F406" s="8"/>
      <c r="G406" s="8"/>
      <c r="H406" s="8"/>
      <c r="I406" s="24" t="s">
        <v>491</v>
      </c>
      <c r="J406" s="23">
        <f>J405</f>
        <v>6.75</v>
      </c>
      <c r="K406" s="157"/>
      <c r="L406" s="157"/>
      <c r="M406" s="141"/>
      <c r="N406" s="141"/>
      <c r="O406" s="141"/>
    </row>
    <row r="407" spans="1:15" ht="14.25">
      <c r="A407" s="10"/>
      <c r="B407" s="10"/>
      <c r="C407" s="9"/>
      <c r="D407" s="8"/>
      <c r="E407" s="8"/>
      <c r="F407" s="8"/>
      <c r="G407" s="8"/>
      <c r="H407" s="8"/>
      <c r="I407" s="24" t="s">
        <v>492</v>
      </c>
      <c r="J407" s="23"/>
      <c r="K407" s="157"/>
      <c r="L407" s="157"/>
      <c r="M407" s="141"/>
      <c r="N407" s="141"/>
      <c r="O407" s="141"/>
    </row>
    <row r="408" spans="1:15" ht="127.5">
      <c r="A408" s="10" t="s">
        <v>180</v>
      </c>
      <c r="B408" s="10" t="s">
        <v>208</v>
      </c>
      <c r="C408" s="27" t="s">
        <v>677</v>
      </c>
      <c r="D408" s="18" t="s">
        <v>525</v>
      </c>
      <c r="E408" s="18"/>
      <c r="F408" s="8"/>
      <c r="G408" s="8"/>
      <c r="H408" s="8"/>
      <c r="I408" s="8"/>
      <c r="J408" s="14" t="s">
        <v>471</v>
      </c>
      <c r="K408" s="164" t="s">
        <v>471</v>
      </c>
      <c r="L408" s="157"/>
      <c r="M408" s="141"/>
      <c r="N408" s="141"/>
      <c r="O408" s="141"/>
    </row>
    <row r="409" spans="1:15" ht="14.25">
      <c r="A409" s="10"/>
      <c r="B409" s="10"/>
      <c r="C409" s="26" t="s">
        <v>678</v>
      </c>
      <c r="D409" s="8" t="s">
        <v>525</v>
      </c>
      <c r="E409" s="8">
        <v>5</v>
      </c>
      <c r="F409" s="8">
        <f>2.5+2.5+1.5+0.6</f>
        <v>7.1</v>
      </c>
      <c r="G409" s="8"/>
      <c r="H409" s="8" t="s">
        <v>471</v>
      </c>
      <c r="I409" s="8">
        <v>2.1</v>
      </c>
      <c r="J409" s="14">
        <f>I409*F409*E409</f>
        <v>74.55</v>
      </c>
      <c r="K409" s="164"/>
      <c r="L409" s="157"/>
      <c r="M409" s="141"/>
      <c r="N409" s="141"/>
      <c r="O409" s="141"/>
    </row>
    <row r="410" spans="1:15" ht="14.25">
      <c r="A410" s="10"/>
      <c r="B410" s="10"/>
      <c r="C410" s="26" t="s">
        <v>679</v>
      </c>
      <c r="D410" s="8" t="s">
        <v>525</v>
      </c>
      <c r="E410" s="8">
        <v>1</v>
      </c>
      <c r="F410" s="8">
        <v>6</v>
      </c>
      <c r="G410" s="8"/>
      <c r="H410" s="8" t="s">
        <v>471</v>
      </c>
      <c r="I410" s="8">
        <v>2.1</v>
      </c>
      <c r="J410" s="14">
        <f>I410*F410*E410</f>
        <v>12.600000000000001</v>
      </c>
      <c r="K410" s="164"/>
      <c r="L410" s="157"/>
      <c r="M410" s="141"/>
      <c r="N410" s="141"/>
      <c r="O410" s="141"/>
    </row>
    <row r="411" spans="1:15" ht="14.25">
      <c r="A411" s="10"/>
      <c r="B411" s="10"/>
      <c r="C411" s="9"/>
      <c r="D411" s="8"/>
      <c r="E411" s="8"/>
      <c r="F411" s="8"/>
      <c r="G411" s="8"/>
      <c r="H411" s="8"/>
      <c r="I411" s="23" t="s">
        <v>491</v>
      </c>
      <c r="J411" s="32">
        <f>SUM(J409:J410)</f>
        <v>87.15</v>
      </c>
      <c r="K411" s="164"/>
      <c r="L411" s="157"/>
      <c r="M411" s="141"/>
      <c r="N411" s="141"/>
      <c r="O411" s="141"/>
    </row>
    <row r="412" spans="1:15" ht="14.25">
      <c r="A412" s="10"/>
      <c r="B412" s="10"/>
      <c r="C412" s="9"/>
      <c r="D412" s="8"/>
      <c r="E412" s="8"/>
      <c r="F412" s="8"/>
      <c r="G412" s="8"/>
      <c r="H412" s="8"/>
      <c r="I412" s="24" t="s">
        <v>492</v>
      </c>
      <c r="J412" s="23">
        <f>J411</f>
        <v>87.15</v>
      </c>
      <c r="K412" s="164"/>
      <c r="L412" s="157"/>
      <c r="M412" s="141"/>
      <c r="N412" s="141"/>
      <c r="O412" s="141"/>
    </row>
    <row r="413" spans="1:15" ht="102">
      <c r="A413" s="10" t="s">
        <v>183</v>
      </c>
      <c r="B413" s="91" t="s">
        <v>210</v>
      </c>
      <c r="C413" s="90" t="s">
        <v>680</v>
      </c>
      <c r="D413" s="88" t="s">
        <v>72</v>
      </c>
      <c r="E413" s="88"/>
      <c r="F413" s="88"/>
      <c r="G413" s="88"/>
      <c r="H413" s="88"/>
      <c r="I413" s="88"/>
      <c r="J413" s="14"/>
      <c r="K413" s="164"/>
      <c r="L413" s="157"/>
      <c r="M413" s="141"/>
      <c r="N413" s="141"/>
      <c r="O413" s="141"/>
    </row>
    <row r="414" spans="1:15" ht="14.25">
      <c r="A414" s="10"/>
      <c r="B414" s="91"/>
      <c r="C414" s="82" t="s">
        <v>681</v>
      </c>
      <c r="D414" s="8" t="s">
        <v>525</v>
      </c>
      <c r="E414" s="8">
        <v>5</v>
      </c>
      <c r="F414" s="8"/>
      <c r="G414" s="8">
        <v>2.5</v>
      </c>
      <c r="H414" s="8">
        <v>1.5</v>
      </c>
      <c r="I414" s="8" t="s">
        <v>471</v>
      </c>
      <c r="J414" s="14">
        <f>H414*G414*E414</f>
        <v>18.75</v>
      </c>
      <c r="K414" s="164"/>
      <c r="L414" s="157"/>
      <c r="M414" s="141"/>
      <c r="N414" s="141"/>
      <c r="O414" s="141"/>
    </row>
    <row r="415" spans="1:15" ht="14.25">
      <c r="A415" s="10"/>
      <c r="B415" s="91"/>
      <c r="C415" s="82"/>
      <c r="D415" s="8"/>
      <c r="E415" s="8"/>
      <c r="F415" s="8"/>
      <c r="G415" s="8"/>
      <c r="H415" s="8"/>
      <c r="I415" s="8"/>
      <c r="J415" s="14"/>
      <c r="K415" s="164"/>
      <c r="L415" s="157"/>
      <c r="M415" s="141"/>
      <c r="N415" s="141"/>
      <c r="O415" s="141"/>
    </row>
    <row r="416" spans="1:15" ht="14.25">
      <c r="A416" s="10"/>
      <c r="B416" s="91"/>
      <c r="C416" s="82"/>
      <c r="D416" s="8"/>
      <c r="E416" s="8"/>
      <c r="F416" s="8"/>
      <c r="G416" s="8"/>
      <c r="H416" s="8"/>
      <c r="I416" s="8"/>
      <c r="J416" s="14"/>
      <c r="K416" s="164"/>
      <c r="L416" s="157"/>
      <c r="M416" s="141"/>
      <c r="N416" s="141"/>
      <c r="O416" s="141"/>
    </row>
    <row r="417" spans="1:15" ht="14.25">
      <c r="A417" s="10"/>
      <c r="B417" s="91"/>
      <c r="C417" s="93"/>
      <c r="D417" s="88"/>
      <c r="E417" s="88"/>
      <c r="F417" s="88"/>
      <c r="G417" s="88"/>
      <c r="H417" s="88"/>
      <c r="I417" s="23" t="s">
        <v>491</v>
      </c>
      <c r="J417" s="32">
        <f>SUM(J414:J416)</f>
        <v>18.75</v>
      </c>
      <c r="K417" s="164"/>
      <c r="L417" s="157"/>
      <c r="M417" s="141"/>
      <c r="N417" s="141"/>
      <c r="O417" s="141"/>
    </row>
    <row r="418" spans="1:15" ht="14.25">
      <c r="A418" s="10"/>
      <c r="B418" s="10"/>
      <c r="C418" s="9"/>
      <c r="D418" s="8"/>
      <c r="E418" s="8"/>
      <c r="F418" s="8"/>
      <c r="G418" s="8"/>
      <c r="H418" s="8"/>
      <c r="I418" s="24" t="s">
        <v>492</v>
      </c>
      <c r="J418" s="23">
        <f>J417</f>
        <v>18.75</v>
      </c>
      <c r="K418" s="157"/>
      <c r="L418" s="157"/>
      <c r="M418" s="141"/>
      <c r="N418" s="141"/>
      <c r="O418" s="141"/>
    </row>
    <row r="419" spans="1:15" ht="89.25">
      <c r="A419" s="10" t="s">
        <v>186</v>
      </c>
      <c r="B419" s="10" t="s">
        <v>212</v>
      </c>
      <c r="C419" s="27" t="s">
        <v>213</v>
      </c>
      <c r="D419" s="8"/>
      <c r="E419" s="8"/>
      <c r="F419" s="8"/>
      <c r="G419" s="8"/>
      <c r="H419" s="8"/>
      <c r="I419" s="8"/>
      <c r="J419" s="14" t="s">
        <v>471</v>
      </c>
      <c r="K419" s="157"/>
      <c r="L419" s="157"/>
      <c r="M419" s="141"/>
      <c r="N419" s="141"/>
      <c r="O419" s="141"/>
    </row>
    <row r="420" spans="1:15" ht="14.25">
      <c r="A420" s="10" t="s">
        <v>683</v>
      </c>
      <c r="B420" s="10" t="s">
        <v>214</v>
      </c>
      <c r="C420" s="27" t="s">
        <v>215</v>
      </c>
      <c r="D420" s="8" t="s">
        <v>525</v>
      </c>
      <c r="E420" s="8"/>
      <c r="F420" s="8"/>
      <c r="G420" s="8"/>
      <c r="H420" s="8"/>
      <c r="I420" s="80"/>
      <c r="J420" s="8"/>
      <c r="K420" s="157"/>
      <c r="L420" s="157"/>
      <c r="M420" s="141"/>
      <c r="N420" s="141"/>
      <c r="O420" s="141"/>
    </row>
    <row r="421" spans="1:15" ht="14.25">
      <c r="A421" s="10" t="s">
        <v>471</v>
      </c>
      <c r="B421" s="10"/>
      <c r="C421" s="123" t="s">
        <v>848</v>
      </c>
      <c r="D421" s="121"/>
      <c r="E421" s="119"/>
      <c r="F421" s="119">
        <v>172.5</v>
      </c>
      <c r="G421" s="8"/>
      <c r="H421" s="8"/>
      <c r="I421" s="80"/>
      <c r="J421" s="8">
        <f>F421</f>
        <v>172.5</v>
      </c>
      <c r="K421" s="157"/>
      <c r="L421" s="157"/>
      <c r="M421" s="141"/>
      <c r="N421" s="141"/>
      <c r="O421" s="141"/>
    </row>
    <row r="422" spans="1:15" ht="14.25">
      <c r="A422" s="10"/>
      <c r="B422" s="10"/>
      <c r="C422" s="123" t="s">
        <v>849</v>
      </c>
      <c r="D422" s="121"/>
      <c r="E422" s="119"/>
      <c r="F422" s="119"/>
      <c r="G422" s="8"/>
      <c r="H422" s="8"/>
      <c r="I422" s="80"/>
      <c r="J422" s="14">
        <f>-J418</f>
        <v>-18.75</v>
      </c>
      <c r="K422" s="157"/>
      <c r="L422" s="157"/>
      <c r="M422" s="141"/>
      <c r="N422" s="141"/>
      <c r="O422" s="141"/>
    </row>
    <row r="423" spans="1:15" ht="14.25">
      <c r="A423" s="10"/>
      <c r="B423" s="10"/>
      <c r="C423" s="123" t="s">
        <v>850</v>
      </c>
      <c r="D423" s="121"/>
      <c r="E423" s="119"/>
      <c r="F423" s="119"/>
      <c r="G423" s="8"/>
      <c r="H423" s="8"/>
      <c r="I423" s="80"/>
      <c r="J423" s="124">
        <v>25.16</v>
      </c>
      <c r="K423" s="157"/>
      <c r="L423" s="157"/>
      <c r="M423" s="141"/>
      <c r="N423" s="141"/>
      <c r="O423" s="141"/>
    </row>
    <row r="424" spans="1:15" ht="14.25">
      <c r="A424" s="10"/>
      <c r="B424" s="10"/>
      <c r="C424" s="9"/>
      <c r="D424" s="8"/>
      <c r="E424" s="8"/>
      <c r="F424" s="8"/>
      <c r="G424" s="8"/>
      <c r="H424" s="8"/>
      <c r="I424" s="23" t="s">
        <v>491</v>
      </c>
      <c r="J424" s="32">
        <f>SUM(J420:J423)</f>
        <v>178.91</v>
      </c>
      <c r="K424" s="157"/>
      <c r="L424" s="157"/>
      <c r="M424" s="141"/>
      <c r="N424" s="141"/>
      <c r="O424" s="141"/>
    </row>
    <row r="425" spans="1:15" ht="14.25">
      <c r="A425" s="10"/>
      <c r="B425" s="10"/>
      <c r="C425" s="9"/>
      <c r="D425" s="8"/>
      <c r="E425" s="8"/>
      <c r="F425" s="8"/>
      <c r="G425" s="8"/>
      <c r="H425" s="8"/>
      <c r="I425" s="23" t="s">
        <v>492</v>
      </c>
      <c r="J425" s="32">
        <f>J424</f>
        <v>178.91</v>
      </c>
      <c r="K425" s="157"/>
      <c r="L425" s="157"/>
      <c r="M425" s="141"/>
      <c r="N425" s="141"/>
      <c r="O425" s="141"/>
    </row>
    <row r="426" spans="1:15" ht="63.75">
      <c r="A426" s="10" t="s">
        <v>187</v>
      </c>
      <c r="B426" s="91" t="s">
        <v>217</v>
      </c>
      <c r="C426" s="90" t="s">
        <v>218</v>
      </c>
      <c r="D426" s="92"/>
      <c r="E426" s="92"/>
      <c r="F426" s="92"/>
      <c r="G426" s="92"/>
      <c r="H426" s="92"/>
      <c r="I426" s="92"/>
      <c r="J426" s="14"/>
      <c r="K426" s="157"/>
      <c r="L426" s="157"/>
      <c r="M426" s="141"/>
      <c r="N426" s="141"/>
      <c r="O426" s="141"/>
    </row>
    <row r="427" spans="1:15" ht="14.25">
      <c r="A427" s="10"/>
      <c r="B427" s="91" t="s">
        <v>219</v>
      </c>
      <c r="C427" s="90" t="s">
        <v>220</v>
      </c>
      <c r="D427" s="88" t="s">
        <v>518</v>
      </c>
      <c r="E427" s="88"/>
      <c r="F427" s="89" t="s">
        <v>684</v>
      </c>
      <c r="G427" s="88"/>
      <c r="H427" s="88"/>
      <c r="I427" s="88"/>
      <c r="J427" s="87">
        <f>J425</f>
        <v>178.91</v>
      </c>
      <c r="K427" s="157"/>
      <c r="L427" s="157"/>
      <c r="M427" s="141"/>
      <c r="N427" s="141"/>
      <c r="O427" s="141"/>
    </row>
    <row r="428" spans="1:15" ht="14.25">
      <c r="A428" s="10" t="s">
        <v>471</v>
      </c>
      <c r="B428" s="91"/>
      <c r="C428" s="90"/>
      <c r="D428" s="92"/>
      <c r="E428" s="92"/>
      <c r="F428" s="92"/>
      <c r="G428" s="92"/>
      <c r="H428" s="92"/>
      <c r="I428" s="92"/>
      <c r="J428" s="83"/>
      <c r="K428" s="157"/>
      <c r="L428" s="157"/>
      <c r="M428" s="141"/>
      <c r="N428" s="141"/>
      <c r="O428" s="141"/>
    </row>
    <row r="429" spans="1:15" ht="25.5">
      <c r="A429" s="36" t="s">
        <v>189</v>
      </c>
      <c r="B429" s="91" t="s">
        <v>685</v>
      </c>
      <c r="C429" s="90" t="s">
        <v>686</v>
      </c>
      <c r="D429" s="88" t="s">
        <v>72</v>
      </c>
      <c r="E429" s="88"/>
      <c r="F429" s="89" t="s">
        <v>684</v>
      </c>
      <c r="G429" s="88"/>
      <c r="H429" s="88"/>
      <c r="I429" s="88"/>
      <c r="J429" s="87">
        <f>J425</f>
        <v>178.91</v>
      </c>
      <c r="K429" s="157"/>
      <c r="L429" s="157"/>
      <c r="M429" s="141"/>
      <c r="N429" s="141"/>
      <c r="O429" s="141"/>
    </row>
    <row r="430" spans="1:15" ht="14.25">
      <c r="A430" s="10" t="s">
        <v>471</v>
      </c>
      <c r="B430" s="36"/>
      <c r="C430" s="66"/>
      <c r="D430" s="24"/>
      <c r="E430" s="24"/>
      <c r="F430" s="24"/>
      <c r="G430" s="24"/>
      <c r="H430" s="24"/>
      <c r="I430" s="24"/>
      <c r="J430" s="23"/>
      <c r="K430" s="157"/>
      <c r="L430" s="157"/>
      <c r="M430" s="141"/>
      <c r="N430" s="141"/>
      <c r="O430" s="141"/>
    </row>
    <row r="431" spans="1:15" ht="89.25">
      <c r="A431" s="10" t="s">
        <v>191</v>
      </c>
      <c r="B431" s="10" t="s">
        <v>223</v>
      </c>
      <c r="C431" s="27" t="s">
        <v>224</v>
      </c>
      <c r="D431" s="18" t="s">
        <v>171</v>
      </c>
      <c r="E431" s="18"/>
      <c r="F431" s="18">
        <v>1</v>
      </c>
      <c r="G431" s="18">
        <v>10</v>
      </c>
      <c r="H431" s="18"/>
      <c r="I431" s="18"/>
      <c r="J431" s="17">
        <f>F431*G431</f>
        <v>10</v>
      </c>
      <c r="K431" s="157" t="s">
        <v>471</v>
      </c>
      <c r="L431" s="157"/>
      <c r="M431" s="141"/>
      <c r="N431" s="141"/>
      <c r="O431" s="141"/>
    </row>
    <row r="432" spans="1:15" ht="14.25">
      <c r="A432" s="10" t="s">
        <v>471</v>
      </c>
      <c r="B432" s="10"/>
      <c r="C432" s="27"/>
      <c r="D432" s="8"/>
      <c r="E432" s="8"/>
      <c r="F432" s="8"/>
      <c r="G432" s="8" t="s">
        <v>851</v>
      </c>
      <c r="H432" s="8"/>
      <c r="I432" s="8"/>
      <c r="J432" s="14"/>
      <c r="K432" s="157"/>
      <c r="L432" s="157"/>
      <c r="M432" s="141"/>
      <c r="N432" s="141"/>
      <c r="O432" s="141"/>
    </row>
    <row r="433" spans="1:15" ht="51">
      <c r="A433" s="10" t="s">
        <v>194</v>
      </c>
      <c r="B433" s="83">
        <v>12.41</v>
      </c>
      <c r="C433" s="27" t="s">
        <v>687</v>
      </c>
      <c r="D433" s="68"/>
      <c r="E433" s="68"/>
      <c r="F433" s="68"/>
      <c r="G433" s="68"/>
      <c r="H433" s="68"/>
      <c r="I433" s="68"/>
      <c r="J433" s="83"/>
      <c r="K433" s="157"/>
      <c r="L433" s="157"/>
      <c r="M433" s="141"/>
      <c r="N433" s="141"/>
      <c r="O433" s="141"/>
    </row>
    <row r="434" spans="1:15" ht="14.25">
      <c r="A434" s="10"/>
      <c r="B434" s="83" t="s">
        <v>688</v>
      </c>
      <c r="C434" s="27" t="s">
        <v>689</v>
      </c>
      <c r="D434" s="68"/>
      <c r="E434" s="68"/>
      <c r="F434" s="68"/>
      <c r="G434" s="68"/>
      <c r="H434" s="68"/>
      <c r="I434" s="68"/>
      <c r="J434" s="83"/>
      <c r="K434" s="157"/>
      <c r="L434" s="157"/>
      <c r="M434" s="141"/>
      <c r="N434" s="141"/>
      <c r="O434" s="141"/>
    </row>
    <row r="435" spans="1:15" ht="14.25">
      <c r="A435" s="10"/>
      <c r="B435" s="85" t="s">
        <v>225</v>
      </c>
      <c r="C435" s="84" t="s">
        <v>226</v>
      </c>
      <c r="D435" s="8" t="s">
        <v>650</v>
      </c>
      <c r="E435" s="8"/>
      <c r="F435" s="8">
        <v>5</v>
      </c>
      <c r="G435" s="8">
        <v>10</v>
      </c>
      <c r="H435" s="8"/>
      <c r="I435" s="8"/>
      <c r="J435" s="22">
        <f>F435*G435</f>
        <v>50</v>
      </c>
      <c r="K435" s="157"/>
      <c r="L435" s="157"/>
      <c r="M435" s="141"/>
      <c r="N435" s="141"/>
      <c r="O435" s="141"/>
    </row>
    <row r="436" spans="1:15" ht="14.25">
      <c r="A436" s="10"/>
      <c r="B436" s="85"/>
      <c r="C436" s="86"/>
      <c r="D436" s="8" t="s">
        <v>650</v>
      </c>
      <c r="E436" s="8"/>
      <c r="F436" s="8"/>
      <c r="G436" s="8"/>
      <c r="H436" s="8"/>
      <c r="I436" s="8"/>
      <c r="J436" s="22"/>
      <c r="K436" s="157"/>
      <c r="L436" s="157"/>
      <c r="M436" s="141"/>
      <c r="N436" s="141"/>
      <c r="O436" s="141"/>
    </row>
    <row r="437" spans="1:15" ht="14.25">
      <c r="A437" s="10"/>
      <c r="B437" s="85"/>
      <c r="C437" s="86"/>
      <c r="D437" s="8"/>
      <c r="E437" s="8"/>
      <c r="F437" s="8"/>
      <c r="G437" s="8"/>
      <c r="H437" s="8"/>
      <c r="I437" s="8" t="s">
        <v>491</v>
      </c>
      <c r="J437" s="17">
        <f>SUM(J435:J436)</f>
        <v>50</v>
      </c>
      <c r="K437" s="157"/>
      <c r="L437" s="157"/>
      <c r="M437" s="141"/>
      <c r="N437" s="141"/>
      <c r="O437" s="141"/>
    </row>
    <row r="438" spans="1:15" ht="14.25">
      <c r="A438" s="10" t="s">
        <v>471</v>
      </c>
      <c r="B438" s="85"/>
      <c r="C438" s="86"/>
      <c r="D438" s="8"/>
      <c r="E438" s="8"/>
      <c r="F438" s="8"/>
      <c r="G438" s="8"/>
      <c r="H438" s="8"/>
      <c r="I438" s="8" t="s">
        <v>690</v>
      </c>
      <c r="J438" s="83">
        <f>J437</f>
        <v>50</v>
      </c>
      <c r="K438" s="157"/>
      <c r="L438" s="157"/>
      <c r="M438" s="141"/>
      <c r="N438" s="141"/>
      <c r="O438" s="141"/>
    </row>
    <row r="439" spans="1:15" ht="63.75">
      <c r="A439" s="10" t="s">
        <v>190</v>
      </c>
      <c r="B439" s="83">
        <v>12.42</v>
      </c>
      <c r="C439" s="27" t="s">
        <v>228</v>
      </c>
      <c r="D439" s="68"/>
      <c r="E439" s="68"/>
      <c r="F439" s="68"/>
      <c r="G439" s="68"/>
      <c r="H439" s="68"/>
      <c r="I439" s="68"/>
      <c r="J439" s="83"/>
      <c r="K439" s="157"/>
      <c r="L439" s="157"/>
      <c r="M439" s="141"/>
      <c r="N439" s="141"/>
      <c r="O439" s="141"/>
    </row>
    <row r="440" spans="1:15" ht="14.25">
      <c r="A440" s="10" t="s">
        <v>640</v>
      </c>
      <c r="B440" s="85" t="s">
        <v>229</v>
      </c>
      <c r="C440" s="84" t="s">
        <v>230</v>
      </c>
      <c r="D440" s="68"/>
      <c r="E440" s="68"/>
      <c r="F440" s="68"/>
      <c r="G440" s="68"/>
      <c r="H440" s="68"/>
      <c r="I440" s="68"/>
      <c r="J440" s="83"/>
      <c r="K440" s="157"/>
      <c r="L440" s="157"/>
      <c r="M440" s="141"/>
      <c r="N440" s="141"/>
      <c r="O440" s="141"/>
    </row>
    <row r="441" spans="1:15" ht="14.25">
      <c r="A441" s="10"/>
      <c r="B441" s="85" t="s">
        <v>231</v>
      </c>
      <c r="C441" s="27" t="s">
        <v>232</v>
      </c>
      <c r="D441" s="8" t="s">
        <v>171</v>
      </c>
      <c r="E441" s="8"/>
      <c r="F441" s="8">
        <v>1</v>
      </c>
      <c r="G441" s="8">
        <v>20</v>
      </c>
      <c r="H441" s="8"/>
      <c r="I441" s="8"/>
      <c r="J441" s="17">
        <f>F441*G441</f>
        <v>20</v>
      </c>
      <c r="K441" s="157"/>
      <c r="L441" s="157"/>
      <c r="M441" s="141"/>
      <c r="N441" s="141"/>
      <c r="O441" s="141"/>
    </row>
    <row r="442" spans="1:15" ht="14.25">
      <c r="A442" s="10"/>
      <c r="B442" s="85"/>
      <c r="C442" s="9"/>
      <c r="D442" s="8"/>
      <c r="E442" s="8"/>
      <c r="F442" s="8"/>
      <c r="G442" s="8"/>
      <c r="H442" s="8"/>
      <c r="I442" s="8"/>
      <c r="J442" s="22"/>
      <c r="K442" s="157"/>
      <c r="L442" s="157"/>
      <c r="M442" s="141"/>
      <c r="N442" s="141"/>
      <c r="O442" s="141"/>
    </row>
    <row r="443" spans="1:15" ht="14.25">
      <c r="A443" s="10" t="s">
        <v>643</v>
      </c>
      <c r="B443" s="85" t="s">
        <v>233</v>
      </c>
      <c r="C443" s="27" t="s">
        <v>234</v>
      </c>
      <c r="D443" s="8"/>
      <c r="E443" s="8"/>
      <c r="F443" s="8"/>
      <c r="G443" s="8"/>
      <c r="H443" s="8"/>
      <c r="I443" s="8"/>
      <c r="J443" s="83"/>
      <c r="K443" s="157"/>
      <c r="L443" s="157"/>
      <c r="M443" s="141"/>
      <c r="N443" s="141"/>
      <c r="O443" s="141"/>
    </row>
    <row r="444" spans="1:15" ht="14.25">
      <c r="A444" s="10"/>
      <c r="B444" s="85" t="s">
        <v>235</v>
      </c>
      <c r="C444" s="27" t="s">
        <v>236</v>
      </c>
      <c r="D444" s="8" t="s">
        <v>171</v>
      </c>
      <c r="E444" s="8"/>
      <c r="F444" s="8">
        <v>1</v>
      </c>
      <c r="G444" s="8">
        <v>20</v>
      </c>
      <c r="H444" s="8"/>
      <c r="I444" s="8"/>
      <c r="J444" s="17">
        <f>F444*G444</f>
        <v>20</v>
      </c>
      <c r="K444" s="157"/>
      <c r="L444" s="157"/>
      <c r="M444" s="141"/>
      <c r="N444" s="141"/>
      <c r="O444" s="141"/>
    </row>
    <row r="445" spans="1:15" ht="14.25">
      <c r="A445" s="10"/>
      <c r="B445" s="85"/>
      <c r="C445" s="9"/>
      <c r="D445" s="8"/>
      <c r="E445" s="8"/>
      <c r="F445" s="8"/>
      <c r="G445" s="8"/>
      <c r="H445" s="8"/>
      <c r="I445" s="8"/>
      <c r="J445" s="22"/>
      <c r="K445" s="157"/>
      <c r="L445" s="157"/>
      <c r="M445" s="141"/>
      <c r="N445" s="141"/>
      <c r="O445" s="141"/>
    </row>
    <row r="446" spans="1:15" ht="14.25">
      <c r="A446" s="10" t="s">
        <v>691</v>
      </c>
      <c r="B446" s="85" t="s">
        <v>237</v>
      </c>
      <c r="C446" s="84" t="s">
        <v>238</v>
      </c>
      <c r="D446" s="8"/>
      <c r="E446" s="8"/>
      <c r="F446" s="8"/>
      <c r="G446" s="8"/>
      <c r="H446" s="8"/>
      <c r="I446" s="8"/>
      <c r="J446" s="83"/>
      <c r="K446" s="157"/>
      <c r="L446" s="157"/>
      <c r="M446" s="141"/>
      <c r="N446" s="141"/>
      <c r="O446" s="141"/>
    </row>
    <row r="447" spans="1:15" ht="14.25">
      <c r="A447" s="10"/>
      <c r="B447" s="85" t="s">
        <v>239</v>
      </c>
      <c r="C447" s="84" t="s">
        <v>240</v>
      </c>
      <c r="D447" s="8" t="s">
        <v>171</v>
      </c>
      <c r="E447" s="8"/>
      <c r="F447" s="8">
        <v>1</v>
      </c>
      <c r="G447" s="8">
        <v>20</v>
      </c>
      <c r="H447" s="8"/>
      <c r="I447" s="8"/>
      <c r="J447" s="17">
        <f>F447*G447</f>
        <v>20</v>
      </c>
      <c r="K447" s="157"/>
      <c r="L447" s="157"/>
      <c r="M447" s="141"/>
      <c r="N447" s="141"/>
      <c r="O447" s="141"/>
    </row>
    <row r="448" spans="1:15" ht="14.25">
      <c r="A448" s="10"/>
      <c r="B448" s="85"/>
      <c r="C448" s="86"/>
      <c r="D448" s="8"/>
      <c r="E448" s="8"/>
      <c r="F448" s="8"/>
      <c r="G448" s="8"/>
      <c r="H448" s="8"/>
      <c r="I448" s="8"/>
      <c r="J448" s="22"/>
      <c r="K448" s="157"/>
      <c r="L448" s="157"/>
      <c r="M448" s="141"/>
      <c r="N448" s="141"/>
      <c r="O448" s="141"/>
    </row>
    <row r="449" spans="1:15" ht="14.25">
      <c r="A449" s="10" t="s">
        <v>533</v>
      </c>
      <c r="B449" s="85" t="s">
        <v>241</v>
      </c>
      <c r="C449" s="84" t="s">
        <v>242</v>
      </c>
      <c r="D449" s="8"/>
      <c r="E449" s="8"/>
      <c r="F449" s="8"/>
      <c r="G449" s="8"/>
      <c r="H449" s="8"/>
      <c r="I449" s="8"/>
      <c r="J449" s="83"/>
      <c r="K449" s="157"/>
      <c r="L449" s="157"/>
      <c r="M449" s="141"/>
      <c r="N449" s="141"/>
      <c r="O449" s="141"/>
    </row>
    <row r="450" spans="1:15" ht="14.25">
      <c r="A450" s="10" t="s">
        <v>471</v>
      </c>
      <c r="B450" s="85" t="s">
        <v>243</v>
      </c>
      <c r="C450" s="84" t="s">
        <v>244</v>
      </c>
      <c r="D450" s="8" t="s">
        <v>171</v>
      </c>
      <c r="E450" s="8"/>
      <c r="F450" s="8">
        <v>1</v>
      </c>
      <c r="G450" s="8">
        <v>10</v>
      </c>
      <c r="H450" s="8"/>
      <c r="I450" s="8"/>
      <c r="J450" s="17">
        <f>F450*G450</f>
        <v>10</v>
      </c>
      <c r="K450" s="157"/>
      <c r="L450" s="157"/>
      <c r="M450" s="141"/>
      <c r="N450" s="141"/>
      <c r="O450" s="141"/>
    </row>
    <row r="451" spans="1:15" ht="14.25">
      <c r="A451" s="10"/>
      <c r="B451" s="85"/>
      <c r="C451" s="86"/>
      <c r="D451" s="8"/>
      <c r="E451" s="8"/>
      <c r="F451" s="8"/>
      <c r="G451" s="8"/>
      <c r="H451" s="8"/>
      <c r="I451" s="8"/>
      <c r="J451" s="83"/>
      <c r="K451" s="157"/>
      <c r="L451" s="157"/>
      <c r="M451" s="141"/>
      <c r="N451" s="141"/>
      <c r="O451" s="141"/>
    </row>
    <row r="452" spans="1:15" ht="76.5">
      <c r="A452" s="10" t="s">
        <v>198</v>
      </c>
      <c r="B452" s="83">
        <v>12.43</v>
      </c>
      <c r="C452" s="27" t="s">
        <v>246</v>
      </c>
      <c r="D452" s="8"/>
      <c r="E452" s="8"/>
      <c r="F452" s="8"/>
      <c r="G452" s="8"/>
      <c r="H452" s="8"/>
      <c r="I452" s="8"/>
      <c r="J452" s="83"/>
      <c r="K452" s="157"/>
      <c r="L452" s="157"/>
      <c r="M452" s="141"/>
      <c r="N452" s="141"/>
      <c r="O452" s="141"/>
    </row>
    <row r="453" spans="1:15" ht="14.25">
      <c r="A453" s="10"/>
      <c r="B453" s="83" t="s">
        <v>247</v>
      </c>
      <c r="C453" s="27" t="s">
        <v>232</v>
      </c>
      <c r="D453" s="8" t="s">
        <v>171</v>
      </c>
      <c r="E453" s="8"/>
      <c r="F453" s="8">
        <v>5</v>
      </c>
      <c r="G453" s="8">
        <v>20</v>
      </c>
      <c r="H453" s="8"/>
      <c r="I453" s="8"/>
      <c r="J453" s="17">
        <f>F453*G453</f>
        <v>100</v>
      </c>
      <c r="K453" s="157"/>
      <c r="L453" s="157"/>
      <c r="M453" s="141"/>
      <c r="N453" s="141"/>
      <c r="O453" s="141"/>
    </row>
    <row r="454" spans="1:15" ht="14.25">
      <c r="A454" s="10"/>
      <c r="B454" s="83"/>
      <c r="C454" s="9"/>
      <c r="D454" s="8"/>
      <c r="E454" s="8"/>
      <c r="F454" s="8"/>
      <c r="G454" s="8"/>
      <c r="H454" s="8"/>
      <c r="I454" s="8"/>
      <c r="J454" s="83"/>
      <c r="K454" s="157"/>
      <c r="L454" s="157"/>
      <c r="M454" s="141"/>
      <c r="N454" s="141"/>
      <c r="O454" s="141"/>
    </row>
    <row r="455" spans="1:15" ht="38.25">
      <c r="A455" s="10" t="s">
        <v>202</v>
      </c>
      <c r="B455" s="83">
        <v>12.44</v>
      </c>
      <c r="C455" s="27" t="s">
        <v>249</v>
      </c>
      <c r="D455" s="18" t="s">
        <v>171</v>
      </c>
      <c r="E455" s="18"/>
      <c r="F455" s="18">
        <v>1</v>
      </c>
      <c r="G455" s="18">
        <v>8</v>
      </c>
      <c r="H455" s="18"/>
      <c r="I455" s="18"/>
      <c r="J455" s="17">
        <f>F455*G455</f>
        <v>8</v>
      </c>
      <c r="K455" s="157"/>
      <c r="L455" s="157"/>
      <c r="M455" s="141"/>
      <c r="N455" s="141"/>
      <c r="O455" s="141"/>
    </row>
    <row r="456" spans="1:15" ht="14.25">
      <c r="A456" s="10"/>
      <c r="B456" s="85"/>
      <c r="C456" s="84"/>
      <c r="D456" s="8"/>
      <c r="E456" s="8"/>
      <c r="F456" s="8"/>
      <c r="G456" s="8"/>
      <c r="H456" s="8"/>
      <c r="I456" s="8"/>
      <c r="J456" s="83"/>
      <c r="K456" s="157"/>
      <c r="L456" s="157"/>
      <c r="M456" s="141"/>
      <c r="N456" s="141"/>
      <c r="O456" s="141"/>
    </row>
    <row r="457" spans="1:15" ht="25.5">
      <c r="A457" s="10" t="s">
        <v>205</v>
      </c>
      <c r="B457" s="85"/>
      <c r="C457" s="136" t="s">
        <v>692</v>
      </c>
      <c r="D457" s="8"/>
      <c r="E457" s="8"/>
      <c r="F457" s="8"/>
      <c r="G457" s="8"/>
      <c r="H457" s="8"/>
      <c r="I457" s="8"/>
      <c r="J457" s="83"/>
      <c r="K457" s="157"/>
      <c r="L457" s="157"/>
      <c r="M457" s="141"/>
      <c r="N457" s="141"/>
      <c r="O457" s="141"/>
    </row>
    <row r="458" spans="1:15" ht="38.25">
      <c r="A458" s="10"/>
      <c r="B458" s="85"/>
      <c r="C458" s="136" t="s">
        <v>693</v>
      </c>
      <c r="D458" s="18" t="s">
        <v>171</v>
      </c>
      <c r="E458" s="18"/>
      <c r="F458" s="18">
        <v>1</v>
      </c>
      <c r="G458" s="18">
        <v>8</v>
      </c>
      <c r="H458" s="18"/>
      <c r="I458" s="18"/>
      <c r="J458" s="17">
        <f>F458*G458</f>
        <v>8</v>
      </c>
      <c r="K458" s="157"/>
      <c r="L458" s="157"/>
      <c r="M458" s="141"/>
      <c r="N458" s="141"/>
      <c r="O458" s="141"/>
    </row>
    <row r="459" spans="1:15" ht="14.25">
      <c r="A459" s="10"/>
      <c r="B459" s="85"/>
      <c r="C459" s="84"/>
      <c r="D459" s="8"/>
      <c r="E459" s="8"/>
      <c r="F459" s="8"/>
      <c r="G459" s="8"/>
      <c r="H459" s="8"/>
      <c r="I459" s="8"/>
      <c r="J459" s="83"/>
      <c r="K459" s="157"/>
      <c r="L459" s="157"/>
      <c r="M459" s="141"/>
      <c r="N459" s="141"/>
      <c r="O459" s="141"/>
    </row>
    <row r="460" spans="1:15" ht="14.25">
      <c r="A460" s="10"/>
      <c r="B460" s="85"/>
      <c r="C460" s="84"/>
      <c r="D460" s="8"/>
      <c r="E460" s="8"/>
      <c r="F460" s="8"/>
      <c r="G460" s="8"/>
      <c r="H460" s="8"/>
      <c r="I460" s="8"/>
      <c r="J460" s="83"/>
      <c r="K460" s="157"/>
      <c r="L460" s="157"/>
      <c r="M460" s="141"/>
      <c r="N460" s="141"/>
      <c r="O460" s="141"/>
    </row>
    <row r="461" spans="1:15" ht="14.25">
      <c r="A461" s="10" t="s">
        <v>207</v>
      </c>
      <c r="B461" s="146" t="s">
        <v>251</v>
      </c>
      <c r="C461" s="154" t="s">
        <v>694</v>
      </c>
      <c r="D461" s="143"/>
      <c r="E461" s="143"/>
      <c r="F461" s="143"/>
      <c r="G461" s="143"/>
      <c r="H461" s="143"/>
      <c r="I461" s="143"/>
      <c r="J461" s="144"/>
      <c r="K461" s="157" t="s">
        <v>695</v>
      </c>
      <c r="L461" s="157"/>
      <c r="M461" s="141"/>
      <c r="N461" s="141"/>
      <c r="O461" s="141"/>
    </row>
    <row r="462" spans="1:15" ht="14.25">
      <c r="A462" s="10"/>
      <c r="B462" s="10" t="s">
        <v>252</v>
      </c>
      <c r="C462" s="27" t="s">
        <v>253</v>
      </c>
      <c r="D462" s="8" t="s">
        <v>525</v>
      </c>
      <c r="E462" s="8"/>
      <c r="F462" s="8"/>
      <c r="G462" s="8"/>
      <c r="H462" s="8"/>
      <c r="I462" s="8"/>
      <c r="J462" s="14" t="s">
        <v>471</v>
      </c>
      <c r="K462" s="157" t="s">
        <v>471</v>
      </c>
      <c r="L462" s="157"/>
      <c r="M462" s="141"/>
      <c r="N462" s="141"/>
      <c r="O462" s="141"/>
    </row>
    <row r="463" spans="1:15" ht="14.25">
      <c r="A463" s="10"/>
      <c r="B463" s="136"/>
      <c r="C463" s="136" t="s">
        <v>852</v>
      </c>
      <c r="D463" s="136"/>
      <c r="E463" s="136"/>
      <c r="F463" s="136"/>
      <c r="G463" s="136"/>
      <c r="H463" s="136"/>
      <c r="I463" s="136"/>
      <c r="J463" s="136">
        <v>190</v>
      </c>
      <c r="K463" s="157"/>
      <c r="L463" s="157"/>
      <c r="M463" s="141"/>
      <c r="N463" s="141"/>
      <c r="O463" s="141"/>
    </row>
    <row r="464" spans="1:15" ht="14.25">
      <c r="A464" s="10"/>
      <c r="B464" s="136"/>
      <c r="C464" s="136"/>
      <c r="D464" s="136"/>
      <c r="E464" s="136"/>
      <c r="F464" s="136"/>
      <c r="G464" s="136"/>
      <c r="H464" s="136"/>
      <c r="I464" s="136"/>
      <c r="J464" s="136"/>
      <c r="K464" s="157"/>
      <c r="L464" s="157"/>
      <c r="M464" s="141"/>
      <c r="N464" s="141"/>
      <c r="O464" s="141"/>
    </row>
    <row r="465" spans="1:15" ht="14.25">
      <c r="A465" s="10" t="s">
        <v>471</v>
      </c>
      <c r="B465" s="10"/>
      <c r="C465" s="9"/>
      <c r="D465" s="8"/>
      <c r="E465" s="8"/>
      <c r="F465" s="8"/>
      <c r="G465" s="8"/>
      <c r="H465" s="8"/>
      <c r="I465" s="24" t="s">
        <v>492</v>
      </c>
      <c r="J465" s="23">
        <f>SUM(J463:J464)</f>
        <v>190</v>
      </c>
      <c r="K465" s="162"/>
      <c r="L465" s="157"/>
      <c r="M465" s="141"/>
      <c r="N465" s="141"/>
      <c r="O465" s="141"/>
    </row>
    <row r="466" spans="1:15" ht="25.5">
      <c r="A466" s="10" t="s">
        <v>209</v>
      </c>
      <c r="B466" s="10" t="s">
        <v>255</v>
      </c>
      <c r="C466" s="27" t="s">
        <v>701</v>
      </c>
      <c r="D466" s="8"/>
      <c r="E466" s="8"/>
      <c r="F466" s="8"/>
      <c r="G466" s="8"/>
      <c r="H466" s="8"/>
      <c r="I466" s="8"/>
      <c r="J466" s="14"/>
      <c r="K466" s="157"/>
      <c r="L466" s="157"/>
      <c r="M466" s="141"/>
      <c r="N466" s="141"/>
      <c r="O466" s="141"/>
    </row>
    <row r="467" spans="1:15" ht="14.25">
      <c r="A467" s="10"/>
      <c r="B467" s="10" t="s">
        <v>256</v>
      </c>
      <c r="C467" s="27" t="s">
        <v>257</v>
      </c>
      <c r="D467" s="8" t="s">
        <v>702</v>
      </c>
      <c r="E467" s="8"/>
      <c r="F467" s="8"/>
      <c r="G467" s="8"/>
      <c r="H467" s="8"/>
      <c r="I467" s="8"/>
      <c r="J467" s="159" t="s">
        <v>471</v>
      </c>
      <c r="K467" s="157"/>
      <c r="L467" s="157"/>
      <c r="M467" s="141"/>
      <c r="N467" s="141"/>
      <c r="O467" s="141"/>
    </row>
    <row r="468" spans="1:15" ht="14.25">
      <c r="A468" s="10"/>
      <c r="B468" s="10"/>
      <c r="C468" s="123" t="s">
        <v>853</v>
      </c>
      <c r="D468" s="125"/>
      <c r="E468" s="136">
        <v>1</v>
      </c>
      <c r="F468" s="136">
        <v>155.05000000000001</v>
      </c>
      <c r="G468" s="136"/>
      <c r="H468" s="136">
        <v>3.3</v>
      </c>
      <c r="I468" s="136"/>
      <c r="J468" s="165">
        <f>H468*F468*E468</f>
        <v>511.66500000000002</v>
      </c>
      <c r="K468" s="129"/>
      <c r="M468" s="130"/>
      <c r="N468" s="141"/>
      <c r="O468" s="141"/>
    </row>
    <row r="469" spans="1:15" ht="14.25">
      <c r="A469" s="10"/>
      <c r="B469" s="10"/>
      <c r="C469" s="123"/>
      <c r="D469" s="126"/>
      <c r="E469" s="127"/>
      <c r="F469" s="127"/>
      <c r="G469" s="127"/>
      <c r="H469" s="127"/>
      <c r="I469" s="127"/>
      <c r="J469" s="138"/>
      <c r="K469" s="130"/>
      <c r="M469" s="130"/>
      <c r="N469" s="141"/>
      <c r="O469" s="141"/>
    </row>
    <row r="470" spans="1:15" ht="14.25">
      <c r="A470" s="10"/>
      <c r="B470" s="10"/>
      <c r="C470" s="26"/>
      <c r="D470" s="8"/>
      <c r="E470" s="8"/>
      <c r="F470" s="8"/>
      <c r="G470" s="8"/>
      <c r="H470" s="8"/>
      <c r="I470" s="23" t="s">
        <v>492</v>
      </c>
      <c r="J470" s="128">
        <f>J468</f>
        <v>511.66500000000002</v>
      </c>
      <c r="K470" s="157"/>
      <c r="L470" s="157"/>
      <c r="M470" s="141"/>
      <c r="N470" s="141"/>
      <c r="O470" s="141"/>
    </row>
    <row r="471" spans="1:15" ht="14.25">
      <c r="A471" s="10"/>
      <c r="B471" s="10"/>
      <c r="C471" s="26"/>
      <c r="D471" s="8"/>
      <c r="E471" s="8"/>
      <c r="F471" s="8"/>
      <c r="G471" s="8"/>
      <c r="H471" s="8"/>
      <c r="I471" s="23"/>
      <c r="J471" s="128"/>
      <c r="K471" s="157"/>
      <c r="L471" s="157"/>
      <c r="M471" s="141"/>
      <c r="N471" s="141"/>
      <c r="O471" s="141"/>
    </row>
    <row r="472" spans="1:15" ht="25.5">
      <c r="A472" s="10" t="s">
        <v>211</v>
      </c>
      <c r="B472" s="10" t="s">
        <v>259</v>
      </c>
      <c r="C472" s="27" t="s">
        <v>260</v>
      </c>
      <c r="D472" s="18"/>
      <c r="E472" s="8"/>
      <c r="F472" s="8"/>
      <c r="G472" s="8"/>
      <c r="H472" s="8"/>
      <c r="I472" s="23"/>
      <c r="J472" s="128"/>
      <c r="K472" s="157"/>
      <c r="L472" s="157"/>
      <c r="M472" s="141"/>
      <c r="N472" s="141"/>
      <c r="O472" s="141"/>
    </row>
    <row r="473" spans="1:15" ht="14.25">
      <c r="A473" s="10"/>
      <c r="B473" s="10" t="s">
        <v>261</v>
      </c>
      <c r="C473" s="27" t="s">
        <v>262</v>
      </c>
      <c r="D473" s="18" t="s">
        <v>702</v>
      </c>
      <c r="E473" s="8" t="s">
        <v>719</v>
      </c>
      <c r="F473" s="8"/>
      <c r="G473" s="8"/>
      <c r="H473" s="8"/>
      <c r="I473" s="23"/>
      <c r="J473" s="128">
        <v>20</v>
      </c>
      <c r="K473" s="157"/>
      <c r="L473" s="157"/>
      <c r="M473" s="141"/>
      <c r="N473" s="141"/>
      <c r="O473" s="141"/>
    </row>
    <row r="474" spans="1:15" ht="14.25">
      <c r="A474" s="10"/>
      <c r="B474" s="10"/>
      <c r="C474" s="26"/>
      <c r="D474" s="8"/>
      <c r="E474" s="8"/>
      <c r="F474" s="8"/>
      <c r="G474" s="8"/>
      <c r="H474" s="8"/>
      <c r="I474" s="8"/>
      <c r="J474" s="159"/>
      <c r="K474" s="157"/>
      <c r="L474" s="157"/>
      <c r="M474" s="141"/>
      <c r="N474" s="141"/>
      <c r="O474" s="141"/>
    </row>
    <row r="475" spans="1:15" ht="51">
      <c r="A475" s="10" t="s">
        <v>216</v>
      </c>
      <c r="B475" s="10" t="s">
        <v>263</v>
      </c>
      <c r="C475" s="27" t="s">
        <v>720</v>
      </c>
      <c r="D475" s="8" t="s">
        <v>525</v>
      </c>
      <c r="E475" s="8"/>
      <c r="F475" s="8"/>
      <c r="G475" s="8"/>
      <c r="H475" s="8"/>
      <c r="I475" s="8"/>
      <c r="J475" s="14" t="s">
        <v>471</v>
      </c>
      <c r="K475" s="157"/>
      <c r="L475" s="157"/>
      <c r="M475" s="141"/>
      <c r="N475" s="141"/>
      <c r="O475" s="141"/>
    </row>
    <row r="476" spans="1:15" ht="14.25">
      <c r="A476" s="10"/>
      <c r="B476" s="10"/>
      <c r="C476" s="123"/>
      <c r="D476" s="8"/>
      <c r="E476" s="8">
        <v>1</v>
      </c>
      <c r="F476" s="8">
        <v>100</v>
      </c>
      <c r="G476" s="8">
        <f>1+3.3+1</f>
        <v>5.3</v>
      </c>
      <c r="H476" s="8"/>
      <c r="I476" s="8"/>
      <c r="J476" s="22">
        <f>G476*F476*E476</f>
        <v>530</v>
      </c>
      <c r="K476" s="157"/>
      <c r="L476" s="157"/>
      <c r="M476" s="141"/>
      <c r="N476" s="141"/>
      <c r="O476" s="141"/>
    </row>
    <row r="477" spans="1:15" ht="14.25">
      <c r="A477" s="10"/>
      <c r="B477" s="10"/>
      <c r="C477" s="123"/>
      <c r="D477" s="8"/>
      <c r="E477" s="121"/>
      <c r="F477" s="119"/>
      <c r="G477" s="119"/>
      <c r="H477" s="8"/>
      <c r="I477" s="8"/>
      <c r="J477" s="22"/>
      <c r="K477" s="157"/>
      <c r="L477" s="157"/>
      <c r="M477" s="141"/>
      <c r="N477" s="141"/>
      <c r="O477" s="141"/>
    </row>
    <row r="478" spans="1:15" ht="14.25">
      <c r="A478" s="10"/>
      <c r="B478" s="10"/>
      <c r="C478" s="123"/>
      <c r="D478" s="8"/>
      <c r="E478" s="124"/>
      <c r="F478" s="119"/>
      <c r="G478" s="119"/>
      <c r="H478" s="8"/>
      <c r="I478" s="8"/>
      <c r="J478" s="22"/>
      <c r="K478" s="157"/>
      <c r="L478" s="157"/>
      <c r="M478" s="141"/>
      <c r="N478" s="141"/>
      <c r="O478" s="141"/>
    </row>
    <row r="479" spans="1:15" ht="14.25">
      <c r="A479" s="10"/>
      <c r="B479" s="10"/>
      <c r="C479" s="9"/>
      <c r="D479" s="8"/>
      <c r="E479" s="8"/>
      <c r="F479" s="8"/>
      <c r="G479" s="8"/>
      <c r="H479" s="8"/>
      <c r="I479" s="23" t="s">
        <v>491</v>
      </c>
      <c r="J479" s="32">
        <f>SUM(J476:J478)</f>
        <v>530</v>
      </c>
      <c r="K479" s="157"/>
      <c r="L479" s="157"/>
      <c r="M479" s="141"/>
      <c r="N479" s="141"/>
      <c r="O479" s="141"/>
    </row>
    <row r="480" spans="1:15" ht="14.25">
      <c r="A480" s="10"/>
      <c r="B480" s="10"/>
      <c r="C480" s="9"/>
      <c r="D480" s="8"/>
      <c r="E480" s="8"/>
      <c r="F480" s="8"/>
      <c r="G480" s="8"/>
      <c r="H480" s="8"/>
      <c r="I480" s="24" t="s">
        <v>492</v>
      </c>
      <c r="J480" s="23">
        <f>J479</f>
        <v>530</v>
      </c>
      <c r="K480" s="157"/>
      <c r="L480" s="157"/>
      <c r="M480" s="141"/>
      <c r="N480" s="141"/>
      <c r="O480" s="141"/>
    </row>
    <row r="481" spans="1:15" ht="14.25">
      <c r="A481" s="10"/>
      <c r="B481" s="10"/>
      <c r="C481" s="26"/>
      <c r="D481" s="8"/>
      <c r="E481" s="8"/>
      <c r="F481" s="8"/>
      <c r="G481" s="8"/>
      <c r="H481" s="8"/>
      <c r="I481" s="24"/>
      <c r="J481" s="17"/>
      <c r="K481" s="157"/>
      <c r="L481" s="166"/>
      <c r="M481" s="166"/>
      <c r="N481" s="166"/>
      <c r="O481" s="166"/>
    </row>
    <row r="482" spans="1:15" ht="25.5">
      <c r="A482" s="10" t="s">
        <v>221</v>
      </c>
      <c r="B482" s="10" t="s">
        <v>266</v>
      </c>
      <c r="C482" s="27" t="s">
        <v>267</v>
      </c>
      <c r="D482" s="8"/>
      <c r="E482" s="8"/>
      <c r="F482" s="70"/>
      <c r="G482" s="70"/>
      <c r="H482" s="70"/>
      <c r="I482" s="70"/>
      <c r="J482" s="14"/>
      <c r="K482" s="157"/>
      <c r="L482" s="157"/>
      <c r="M482" s="141"/>
      <c r="N482" s="141"/>
      <c r="O482" s="141"/>
    </row>
    <row r="483" spans="1:15" ht="14.25">
      <c r="A483" s="10" t="s">
        <v>471</v>
      </c>
      <c r="B483" s="10" t="s">
        <v>854</v>
      </c>
      <c r="C483" s="27" t="s">
        <v>725</v>
      </c>
      <c r="D483" s="8" t="s">
        <v>525</v>
      </c>
      <c r="E483" s="8"/>
      <c r="F483" s="68" t="s">
        <v>719</v>
      </c>
      <c r="G483" s="70"/>
      <c r="H483" s="70"/>
      <c r="I483" s="70"/>
      <c r="J483" s="23">
        <v>180</v>
      </c>
      <c r="K483" s="157"/>
      <c r="L483" s="157"/>
      <c r="M483" s="141"/>
      <c r="N483" s="141"/>
      <c r="O483" s="141"/>
    </row>
    <row r="484" spans="1:15" ht="14.25">
      <c r="A484" s="10"/>
      <c r="B484" s="16"/>
      <c r="C484" s="15"/>
      <c r="D484" s="70"/>
      <c r="E484" s="70"/>
      <c r="F484" s="70"/>
      <c r="G484" s="70"/>
      <c r="H484" s="8"/>
      <c r="I484" s="8"/>
      <c r="J484" s="14"/>
      <c r="K484" s="157"/>
      <c r="L484" s="157"/>
      <c r="M484" s="141"/>
      <c r="N484" s="141"/>
      <c r="O484" s="141"/>
    </row>
    <row r="485" spans="1:15" ht="63.75">
      <c r="A485" s="10" t="s">
        <v>222</v>
      </c>
      <c r="B485" s="10" t="s">
        <v>855</v>
      </c>
      <c r="C485" s="27" t="s">
        <v>726</v>
      </c>
      <c r="D485" s="18" t="s">
        <v>72</v>
      </c>
      <c r="E485" s="134"/>
      <c r="F485" s="585" t="s">
        <v>727</v>
      </c>
      <c r="G485" s="586"/>
      <c r="H485" s="586"/>
      <c r="I485" s="587"/>
      <c r="J485" s="23">
        <f>J470</f>
        <v>511.66500000000002</v>
      </c>
      <c r="K485" s="157" t="s">
        <v>728</v>
      </c>
      <c r="L485" s="157"/>
      <c r="M485" s="141"/>
      <c r="N485" s="141"/>
      <c r="O485" s="141"/>
    </row>
    <row r="486" spans="1:15" ht="14.25">
      <c r="A486" s="10" t="s">
        <v>471</v>
      </c>
      <c r="B486" s="10"/>
      <c r="C486" s="27"/>
      <c r="D486" s="8"/>
      <c r="E486" s="134"/>
      <c r="F486" s="27"/>
      <c r="G486" s="27"/>
      <c r="H486" s="27"/>
      <c r="I486" s="66" t="s">
        <v>492</v>
      </c>
      <c r="J486" s="23">
        <f>J485</f>
        <v>511.66500000000002</v>
      </c>
      <c r="K486" s="157"/>
      <c r="L486" s="157"/>
      <c r="M486" s="141"/>
      <c r="N486" s="141"/>
      <c r="O486" s="141"/>
    </row>
    <row r="487" spans="1:15" ht="14.25">
      <c r="A487" s="10"/>
      <c r="B487" s="16"/>
      <c r="C487" s="15"/>
      <c r="D487" s="70"/>
      <c r="E487" s="70"/>
      <c r="F487" s="70"/>
      <c r="G487" s="70"/>
      <c r="H487" s="8"/>
      <c r="I487" s="8"/>
      <c r="J487" s="14"/>
      <c r="K487" s="157"/>
      <c r="L487" s="157"/>
      <c r="M487" s="141"/>
      <c r="N487" s="141"/>
      <c r="O487" s="141"/>
    </row>
    <row r="488" spans="1:15" ht="25.5">
      <c r="A488" s="146" t="s">
        <v>227</v>
      </c>
      <c r="B488" s="146" t="s">
        <v>272</v>
      </c>
      <c r="C488" s="155" t="s">
        <v>273</v>
      </c>
      <c r="D488" s="143"/>
      <c r="E488" s="143"/>
      <c r="F488" s="143"/>
      <c r="G488" s="143"/>
      <c r="H488" s="143"/>
      <c r="I488" s="143"/>
      <c r="J488" s="144"/>
      <c r="K488" s="157"/>
      <c r="L488" s="157"/>
      <c r="M488" s="141"/>
      <c r="N488" s="141"/>
      <c r="O488" s="141"/>
    </row>
    <row r="489" spans="1:15" ht="38.25">
      <c r="A489" s="146" t="s">
        <v>471</v>
      </c>
      <c r="B489" s="146" t="s">
        <v>274</v>
      </c>
      <c r="C489" s="155" t="s">
        <v>729</v>
      </c>
      <c r="D489" s="143" t="s">
        <v>525</v>
      </c>
      <c r="E489" s="143"/>
      <c r="F489" s="156"/>
      <c r="G489" s="143"/>
      <c r="H489" s="143"/>
      <c r="I489" s="143"/>
      <c r="J489" s="151">
        <f>J479</f>
        <v>530</v>
      </c>
      <c r="K489" s="157" t="s">
        <v>730</v>
      </c>
      <c r="L489" s="157"/>
      <c r="M489" s="141"/>
      <c r="N489" s="141"/>
      <c r="O489" s="141"/>
    </row>
    <row r="490" spans="1:15" ht="14.25">
      <c r="A490" s="146"/>
      <c r="B490" s="146"/>
      <c r="C490" s="153"/>
      <c r="D490" s="143"/>
      <c r="E490" s="143"/>
      <c r="F490" s="143"/>
      <c r="G490" s="143"/>
      <c r="H490" s="143"/>
      <c r="I490" s="151" t="s">
        <v>492</v>
      </c>
      <c r="J490" s="152">
        <f>J489</f>
        <v>530</v>
      </c>
      <c r="K490" s="157"/>
      <c r="L490" s="157"/>
      <c r="M490" s="141"/>
      <c r="N490" s="141"/>
      <c r="O490" s="141"/>
    </row>
    <row r="491" spans="1:15" ht="14.25">
      <c r="A491" s="80"/>
      <c r="B491" s="80"/>
      <c r="C491" s="80"/>
      <c r="D491" s="80"/>
      <c r="E491" s="80"/>
      <c r="F491" s="80"/>
      <c r="G491" s="80"/>
      <c r="H491" s="80"/>
      <c r="I491" s="80"/>
      <c r="J491" s="80"/>
      <c r="K491" s="157"/>
      <c r="L491" s="157"/>
      <c r="M491" s="141"/>
      <c r="N491" s="141"/>
      <c r="O491" s="141"/>
    </row>
    <row r="492" spans="1:15" ht="63.75">
      <c r="A492" s="10" t="s">
        <v>245</v>
      </c>
      <c r="B492" s="10" t="s">
        <v>276</v>
      </c>
      <c r="C492" s="27" t="s">
        <v>277</v>
      </c>
      <c r="D492" s="8"/>
      <c r="E492" s="134"/>
      <c r="F492" s="27"/>
      <c r="G492" s="27"/>
      <c r="H492" s="27"/>
      <c r="I492" s="27"/>
      <c r="J492" s="23"/>
      <c r="K492" s="157"/>
      <c r="L492" s="157"/>
      <c r="M492" s="141"/>
      <c r="N492" s="141"/>
      <c r="O492" s="141"/>
    </row>
    <row r="493" spans="1:15" ht="14.25">
      <c r="A493" s="10" t="s">
        <v>471</v>
      </c>
      <c r="B493" s="10" t="s">
        <v>278</v>
      </c>
      <c r="C493" s="27" t="s">
        <v>279</v>
      </c>
      <c r="D493" s="8"/>
      <c r="E493" s="134"/>
      <c r="F493" s="585" t="s">
        <v>727</v>
      </c>
      <c r="G493" s="586"/>
      <c r="H493" s="586"/>
      <c r="I493" s="587"/>
      <c r="J493" s="23">
        <f>J485</f>
        <v>511.66500000000002</v>
      </c>
      <c r="K493" s="157"/>
      <c r="L493" s="157"/>
      <c r="M493" s="141"/>
      <c r="N493" s="141"/>
      <c r="O493" s="141"/>
    </row>
    <row r="494" spans="1:15" ht="14.25">
      <c r="A494" s="10"/>
      <c r="B494" s="10"/>
      <c r="C494" s="9"/>
      <c r="D494" s="8"/>
      <c r="E494" s="134"/>
      <c r="F494" s="163"/>
      <c r="G494" s="167"/>
      <c r="H494" s="167"/>
      <c r="I494" s="79" t="s">
        <v>492</v>
      </c>
      <c r="J494" s="23">
        <f>J493</f>
        <v>511.66500000000002</v>
      </c>
      <c r="K494" s="157"/>
      <c r="L494" s="157"/>
      <c r="M494" s="141"/>
      <c r="N494" s="141"/>
      <c r="O494" s="141"/>
    </row>
    <row r="495" spans="1:15" ht="38.25">
      <c r="A495" s="10" t="s">
        <v>248</v>
      </c>
      <c r="B495" s="10" t="s">
        <v>280</v>
      </c>
      <c r="C495" s="27" t="s">
        <v>281</v>
      </c>
      <c r="D495" s="8"/>
      <c r="E495" s="134"/>
      <c r="F495" s="27"/>
      <c r="G495" s="27"/>
      <c r="H495" s="27"/>
      <c r="I495" s="27"/>
      <c r="J495" s="23"/>
      <c r="K495" s="157"/>
      <c r="L495" s="157"/>
      <c r="M495" s="141"/>
      <c r="N495" s="141"/>
      <c r="O495" s="141"/>
    </row>
    <row r="496" spans="1:15" ht="14.25">
      <c r="A496" s="10" t="s">
        <v>471</v>
      </c>
      <c r="B496" s="10"/>
      <c r="C496" s="9"/>
      <c r="D496" s="8"/>
      <c r="E496" s="134"/>
      <c r="F496" s="163"/>
      <c r="G496" s="167"/>
      <c r="H496" s="167"/>
      <c r="I496" s="74"/>
      <c r="J496" s="23"/>
      <c r="K496" s="157"/>
      <c r="L496" s="157"/>
      <c r="M496" s="141"/>
      <c r="N496" s="141"/>
      <c r="O496" s="141"/>
    </row>
    <row r="497" spans="1:15" ht="25.5">
      <c r="A497" s="10" t="s">
        <v>84</v>
      </c>
      <c r="B497" s="10" t="s">
        <v>282</v>
      </c>
      <c r="C497" s="27" t="s">
        <v>283</v>
      </c>
      <c r="D497" s="8"/>
      <c r="E497" s="134"/>
      <c r="F497" s="585" t="s">
        <v>727</v>
      </c>
      <c r="G497" s="586"/>
      <c r="H497" s="586"/>
      <c r="I497" s="587"/>
      <c r="J497" s="23">
        <f>J493</f>
        <v>511.66500000000002</v>
      </c>
      <c r="K497" s="157"/>
      <c r="L497" s="157"/>
      <c r="M497" s="141"/>
      <c r="N497" s="141"/>
      <c r="O497" s="141"/>
    </row>
    <row r="498" spans="1:15" ht="14.25">
      <c r="A498" s="10" t="s">
        <v>471</v>
      </c>
      <c r="B498" s="10"/>
      <c r="C498" s="9" t="s">
        <v>471</v>
      </c>
      <c r="D498" s="8"/>
      <c r="E498" s="134"/>
      <c r="F498" s="27"/>
      <c r="G498" s="27"/>
      <c r="H498" s="27"/>
      <c r="I498" s="24" t="s">
        <v>492</v>
      </c>
      <c r="J498" s="23">
        <f>J497</f>
        <v>511.66500000000002</v>
      </c>
      <c r="K498" s="157"/>
      <c r="L498" s="157"/>
      <c r="M498" s="141"/>
      <c r="N498" s="141"/>
      <c r="O498" s="141"/>
    </row>
    <row r="499" spans="1:15" ht="14.25">
      <c r="A499" s="10"/>
      <c r="B499" s="10"/>
      <c r="C499" s="132"/>
      <c r="D499" s="8"/>
      <c r="E499" s="134"/>
      <c r="F499" s="163"/>
      <c r="G499" s="167"/>
      <c r="H499" s="167"/>
      <c r="I499" s="79"/>
      <c r="J499" s="23"/>
      <c r="K499" s="157"/>
      <c r="L499" s="157"/>
      <c r="M499" s="141"/>
      <c r="N499" s="141"/>
      <c r="O499" s="141"/>
    </row>
    <row r="500" spans="1:15" ht="63.75">
      <c r="A500" s="10" t="s">
        <v>250</v>
      </c>
      <c r="B500" s="76" t="s">
        <v>285</v>
      </c>
      <c r="C500" s="75" t="s">
        <v>856</v>
      </c>
      <c r="D500" s="76"/>
      <c r="E500" s="134"/>
      <c r="F500" s="163"/>
      <c r="G500" s="167"/>
      <c r="H500" s="167"/>
      <c r="I500" s="168"/>
      <c r="J500" s="23"/>
      <c r="K500" s="157"/>
      <c r="L500" s="157"/>
      <c r="M500" s="141"/>
      <c r="N500" s="141"/>
      <c r="O500" s="141"/>
    </row>
    <row r="501" spans="1:15" ht="14.25">
      <c r="A501" s="10" t="s">
        <v>471</v>
      </c>
      <c r="B501" s="76" t="s">
        <v>285</v>
      </c>
      <c r="C501" s="78" t="s">
        <v>279</v>
      </c>
      <c r="D501" s="76" t="s">
        <v>72</v>
      </c>
      <c r="E501" s="134"/>
      <c r="F501" s="163"/>
      <c r="G501" s="167"/>
      <c r="H501" s="167"/>
      <c r="I501" s="168"/>
      <c r="J501" s="23"/>
      <c r="K501" s="157"/>
      <c r="L501" s="157"/>
      <c r="M501" s="141"/>
      <c r="N501" s="141"/>
      <c r="O501" s="141"/>
    </row>
    <row r="502" spans="1:15" ht="14.25">
      <c r="A502" s="10"/>
      <c r="B502" s="10"/>
      <c r="C502" s="26" t="s">
        <v>731</v>
      </c>
      <c r="D502" s="18"/>
      <c r="E502" s="18"/>
      <c r="F502" s="77"/>
      <c r="G502" s="18"/>
      <c r="H502" s="18"/>
      <c r="I502" s="18"/>
      <c r="J502" s="22">
        <v>150</v>
      </c>
      <c r="K502" s="157"/>
      <c r="L502" s="157"/>
      <c r="M502" s="141"/>
      <c r="N502" s="141"/>
      <c r="O502" s="141"/>
    </row>
    <row r="503" spans="1:15" ht="14.25">
      <c r="A503" s="16"/>
      <c r="B503" s="16"/>
      <c r="C503" s="169"/>
      <c r="D503" s="170"/>
      <c r="E503" s="170"/>
      <c r="F503" s="171"/>
      <c r="G503" s="170"/>
      <c r="H503" s="170"/>
      <c r="I503" s="170"/>
      <c r="J503" s="172"/>
      <c r="K503" s="173"/>
      <c r="L503" s="157"/>
      <c r="M503" s="141"/>
      <c r="N503" s="141"/>
      <c r="O503" s="141"/>
    </row>
    <row r="504" spans="1:15" ht="14.25">
      <c r="A504" s="10"/>
      <c r="B504" s="10"/>
      <c r="C504" s="9"/>
      <c r="D504" s="8"/>
      <c r="E504" s="8"/>
      <c r="F504" s="8"/>
      <c r="G504" s="8"/>
      <c r="H504" s="8"/>
      <c r="I504" s="23" t="s">
        <v>491</v>
      </c>
      <c r="J504" s="32">
        <f>SUM(J502:J503)</f>
        <v>150</v>
      </c>
      <c r="K504" s="157"/>
      <c r="L504" s="157"/>
      <c r="M504" s="141"/>
      <c r="N504" s="141"/>
      <c r="O504" s="141"/>
    </row>
    <row r="505" spans="1:15" ht="14.25">
      <c r="A505" s="10"/>
      <c r="B505" s="10"/>
      <c r="C505" s="9"/>
      <c r="D505" s="8"/>
      <c r="E505" s="134"/>
      <c r="F505" s="27"/>
      <c r="G505" s="27"/>
      <c r="H505" s="27"/>
      <c r="I505" s="24" t="s">
        <v>492</v>
      </c>
      <c r="J505" s="23">
        <f>J504</f>
        <v>150</v>
      </c>
      <c r="K505" s="157"/>
      <c r="L505" s="157"/>
      <c r="M505" s="141"/>
      <c r="N505" s="141"/>
      <c r="O505" s="141"/>
    </row>
    <row r="506" spans="1:15" ht="102">
      <c r="A506" s="10" t="s">
        <v>254</v>
      </c>
      <c r="B506" s="73">
        <v>16.68</v>
      </c>
      <c r="C506" s="27" t="s">
        <v>732</v>
      </c>
      <c r="D506" s="18" t="s">
        <v>525</v>
      </c>
      <c r="E506" s="8"/>
      <c r="F506" s="8"/>
      <c r="G506" s="8"/>
      <c r="H506" s="8"/>
      <c r="I506" s="8"/>
      <c r="J506" s="23"/>
      <c r="K506" s="157"/>
      <c r="L506" s="157"/>
      <c r="M506" s="141"/>
      <c r="N506" s="141"/>
      <c r="O506" s="141"/>
    </row>
    <row r="507" spans="1:15" ht="14.25">
      <c r="A507" s="10"/>
      <c r="B507" s="10"/>
      <c r="C507" s="26" t="s">
        <v>733</v>
      </c>
      <c r="D507" s="8" t="s">
        <v>525</v>
      </c>
      <c r="E507" s="8">
        <v>1</v>
      </c>
      <c r="F507" s="72">
        <v>50</v>
      </c>
      <c r="G507" s="72">
        <v>1</v>
      </c>
      <c r="H507" s="72"/>
      <c r="I507" s="8"/>
      <c r="J507" s="17">
        <f>E507*F507*G507</f>
        <v>50</v>
      </c>
      <c r="K507" s="157"/>
      <c r="L507" s="157"/>
      <c r="M507" s="141"/>
      <c r="N507" s="141"/>
      <c r="O507" s="141"/>
    </row>
    <row r="508" spans="1:15" ht="14.25">
      <c r="A508" s="10" t="s">
        <v>471</v>
      </c>
      <c r="B508" s="10"/>
      <c r="C508" s="9"/>
      <c r="D508" s="8"/>
      <c r="E508" s="8"/>
      <c r="F508" s="8"/>
      <c r="G508" s="8"/>
      <c r="H508" s="8"/>
      <c r="I508" s="8" t="s">
        <v>492</v>
      </c>
      <c r="J508" s="23">
        <f>J507</f>
        <v>50</v>
      </c>
      <c r="K508" s="157"/>
      <c r="L508" s="157"/>
      <c r="M508" s="141"/>
      <c r="N508" s="141"/>
      <c r="O508" s="141"/>
    </row>
    <row r="509" spans="1:15" ht="89.25">
      <c r="A509" s="10" t="s">
        <v>258</v>
      </c>
      <c r="B509" s="10" t="s">
        <v>289</v>
      </c>
      <c r="C509" s="27" t="s">
        <v>290</v>
      </c>
      <c r="D509" s="8"/>
      <c r="E509" s="8"/>
      <c r="F509" s="8"/>
      <c r="G509" s="8"/>
      <c r="H509" s="8"/>
      <c r="I509" s="8"/>
      <c r="J509" s="71"/>
      <c r="K509" s="157"/>
      <c r="L509" s="157"/>
      <c r="M509" s="141"/>
      <c r="N509" s="141"/>
      <c r="O509" s="141"/>
    </row>
    <row r="510" spans="1:15" ht="25.5">
      <c r="A510" s="10"/>
      <c r="B510" s="10" t="s">
        <v>291</v>
      </c>
      <c r="C510" s="27" t="s">
        <v>292</v>
      </c>
      <c r="D510" s="18" t="s">
        <v>171</v>
      </c>
      <c r="E510" s="18">
        <v>1</v>
      </c>
      <c r="F510" s="18">
        <v>1</v>
      </c>
      <c r="G510" s="18">
        <v>1</v>
      </c>
      <c r="H510" s="18"/>
      <c r="I510" s="18"/>
      <c r="J510" s="17">
        <f>E510*F510*G510</f>
        <v>1</v>
      </c>
      <c r="K510" s="157"/>
      <c r="L510" s="157"/>
      <c r="M510" s="141"/>
      <c r="N510" s="141"/>
      <c r="O510" s="141"/>
    </row>
    <row r="511" spans="1:15" ht="14.25">
      <c r="A511" s="10" t="s">
        <v>471</v>
      </c>
      <c r="B511" s="10"/>
      <c r="C511" s="9"/>
      <c r="D511" s="8"/>
      <c r="E511" s="8"/>
      <c r="F511" s="8"/>
      <c r="G511" s="8"/>
      <c r="H511" s="8"/>
      <c r="I511" s="8"/>
      <c r="J511" s="14"/>
      <c r="K511" s="157"/>
      <c r="L511" s="157"/>
      <c r="M511" s="141"/>
      <c r="N511" s="141"/>
      <c r="O511" s="141"/>
    </row>
    <row r="512" spans="1:15" ht="76.5">
      <c r="A512" s="10" t="s">
        <v>264</v>
      </c>
      <c r="B512" s="10" t="s">
        <v>734</v>
      </c>
      <c r="C512" s="27" t="s">
        <v>735</v>
      </c>
      <c r="D512" s="8"/>
      <c r="E512" s="8"/>
      <c r="F512" s="8"/>
      <c r="G512" s="8"/>
      <c r="H512" s="8"/>
      <c r="I512" s="8"/>
      <c r="J512" s="14"/>
      <c r="K512" s="157"/>
      <c r="L512" s="157"/>
      <c r="M512" s="141"/>
      <c r="N512" s="141"/>
      <c r="O512" s="141"/>
    </row>
    <row r="513" spans="1:15" ht="25.5">
      <c r="A513" s="10"/>
      <c r="B513" s="10" t="s">
        <v>736</v>
      </c>
      <c r="C513" s="27" t="s">
        <v>737</v>
      </c>
      <c r="D513" s="8" t="s">
        <v>171</v>
      </c>
      <c r="E513" s="8">
        <v>5</v>
      </c>
      <c r="F513" s="8">
        <v>1</v>
      </c>
      <c r="G513" s="8">
        <v>1</v>
      </c>
      <c r="H513" s="8" t="s">
        <v>471</v>
      </c>
      <c r="I513" s="8"/>
      <c r="J513" s="17">
        <f>E513*F513*G513</f>
        <v>5</v>
      </c>
      <c r="K513" s="157"/>
      <c r="L513" s="157"/>
      <c r="M513" s="141"/>
      <c r="N513" s="141"/>
      <c r="O513" s="141"/>
    </row>
    <row r="514" spans="1:15" ht="14.25">
      <c r="A514" s="10"/>
      <c r="B514" s="10"/>
      <c r="C514" s="27"/>
      <c r="D514" s="8"/>
      <c r="E514" s="8"/>
      <c r="F514" s="8"/>
      <c r="G514" s="8"/>
      <c r="H514" s="8"/>
      <c r="I514" s="8"/>
      <c r="J514" s="17"/>
      <c r="K514" s="157"/>
      <c r="L514" s="157"/>
      <c r="M514" s="141"/>
      <c r="N514" s="141"/>
      <c r="O514" s="141"/>
    </row>
    <row r="515" spans="1:15" ht="102">
      <c r="A515" s="10" t="s">
        <v>857</v>
      </c>
      <c r="B515" s="10" t="s">
        <v>858</v>
      </c>
      <c r="C515" s="27" t="s">
        <v>297</v>
      </c>
      <c r="D515" s="8"/>
      <c r="E515" s="8"/>
      <c r="F515" s="8"/>
      <c r="G515" s="8"/>
      <c r="H515" s="8"/>
      <c r="I515" s="8"/>
      <c r="J515" s="17"/>
      <c r="K515" s="157"/>
      <c r="L515" s="157"/>
      <c r="M515" s="141"/>
      <c r="N515" s="141"/>
      <c r="O515" s="141"/>
    </row>
    <row r="516" spans="1:15" ht="14.25">
      <c r="A516" s="10"/>
      <c r="B516" s="10" t="s">
        <v>299</v>
      </c>
      <c r="C516" s="27" t="s">
        <v>300</v>
      </c>
      <c r="D516" s="8" t="s">
        <v>298</v>
      </c>
      <c r="E516" s="8">
        <v>3</v>
      </c>
      <c r="F516" s="8">
        <v>1</v>
      </c>
      <c r="G516" s="8">
        <v>0.6</v>
      </c>
      <c r="H516" s="8"/>
      <c r="I516" s="8"/>
      <c r="J516" s="17">
        <f>E516*F516*G516</f>
        <v>1.7999999999999998</v>
      </c>
      <c r="K516" s="157"/>
      <c r="L516" s="157"/>
      <c r="M516" s="141"/>
      <c r="N516" s="141"/>
      <c r="O516" s="141"/>
    </row>
    <row r="517" spans="1:15" ht="14.25">
      <c r="A517" s="10"/>
      <c r="B517" s="10"/>
      <c r="C517" s="27"/>
      <c r="D517" s="8"/>
      <c r="E517" s="8"/>
      <c r="F517" s="8"/>
      <c r="G517" s="8"/>
      <c r="H517" s="8"/>
      <c r="I517" s="8"/>
      <c r="J517" s="17"/>
      <c r="K517" s="157"/>
      <c r="L517" s="157"/>
      <c r="M517" s="141"/>
      <c r="N517" s="141"/>
      <c r="O517" s="141"/>
    </row>
    <row r="518" spans="1:15" ht="51">
      <c r="A518" s="10" t="s">
        <v>859</v>
      </c>
      <c r="B518" s="10" t="s">
        <v>860</v>
      </c>
      <c r="C518" s="27" t="s">
        <v>861</v>
      </c>
      <c r="D518" s="8" t="s">
        <v>171</v>
      </c>
      <c r="E518" s="8"/>
      <c r="F518" s="8"/>
      <c r="G518" s="8"/>
      <c r="H518" s="8"/>
      <c r="I518" s="8"/>
      <c r="J518" s="17"/>
      <c r="K518" s="157"/>
      <c r="L518" s="157"/>
      <c r="M518" s="141"/>
      <c r="N518" s="141"/>
      <c r="O518" s="141"/>
    </row>
    <row r="519" spans="1:15" ht="14.25">
      <c r="A519" s="10"/>
      <c r="B519" s="10"/>
      <c r="C519" s="27"/>
      <c r="D519" s="8"/>
      <c r="E519" s="8"/>
      <c r="F519" s="8"/>
      <c r="G519" s="8"/>
      <c r="H519" s="8"/>
      <c r="I519" s="8"/>
      <c r="J519" s="17"/>
      <c r="K519" s="157"/>
      <c r="L519" s="157"/>
      <c r="M519" s="141"/>
      <c r="N519" s="141"/>
      <c r="O519" s="141"/>
    </row>
    <row r="520" spans="1:15" ht="38.25">
      <c r="A520" s="10" t="s">
        <v>862</v>
      </c>
      <c r="B520" s="10" t="s">
        <v>863</v>
      </c>
      <c r="C520" s="27" t="s">
        <v>864</v>
      </c>
      <c r="D520" s="8" t="s">
        <v>743</v>
      </c>
      <c r="E520" s="8"/>
      <c r="F520" s="8"/>
      <c r="G520" s="8"/>
      <c r="H520" s="8"/>
      <c r="I520" s="8"/>
      <c r="J520" s="17"/>
      <c r="K520" s="157"/>
      <c r="L520" s="157"/>
      <c r="M520" s="141"/>
      <c r="N520" s="141"/>
      <c r="O520" s="141"/>
    </row>
    <row r="521" spans="1:15" ht="14.25">
      <c r="A521" s="10"/>
      <c r="B521" s="10"/>
      <c r="C521" s="27"/>
      <c r="D521" s="8"/>
      <c r="E521" s="8"/>
      <c r="F521" s="8"/>
      <c r="G521" s="8"/>
      <c r="H521" s="8"/>
      <c r="I521" s="8"/>
      <c r="J521" s="17"/>
      <c r="K521" s="157"/>
      <c r="L521" s="157"/>
      <c r="M521" s="141"/>
      <c r="N521" s="141"/>
      <c r="O521" s="141"/>
    </row>
    <row r="522" spans="1:15" ht="25.5">
      <c r="A522" s="10" t="s">
        <v>865</v>
      </c>
      <c r="B522" s="10" t="s">
        <v>866</v>
      </c>
      <c r="C522" s="27" t="s">
        <v>867</v>
      </c>
      <c r="D522" s="8"/>
      <c r="E522" s="8"/>
      <c r="F522" s="8"/>
      <c r="G522" s="8"/>
      <c r="H522" s="8"/>
      <c r="I522" s="8"/>
      <c r="J522" s="17"/>
      <c r="K522" s="157"/>
      <c r="L522" s="157"/>
      <c r="M522" s="141"/>
      <c r="N522" s="141"/>
      <c r="O522" s="141"/>
    </row>
    <row r="523" spans="1:15" ht="63" customHeight="1">
      <c r="A523" s="10"/>
      <c r="B523" s="10"/>
      <c r="C523" s="27" t="s">
        <v>868</v>
      </c>
      <c r="D523" s="8" t="s">
        <v>743</v>
      </c>
      <c r="E523" s="8"/>
      <c r="F523" s="8"/>
      <c r="G523" s="8"/>
      <c r="H523" s="8"/>
      <c r="I523" s="8"/>
      <c r="J523" s="17"/>
      <c r="K523" s="157"/>
      <c r="L523" s="157"/>
      <c r="M523" s="141"/>
      <c r="N523" s="141"/>
      <c r="O523" s="141"/>
    </row>
    <row r="524" spans="1:15" ht="14.25">
      <c r="A524" s="10"/>
      <c r="B524" s="10"/>
      <c r="C524" s="27"/>
      <c r="D524" s="8"/>
      <c r="E524" s="8"/>
      <c r="F524" s="8"/>
      <c r="G524" s="8"/>
      <c r="H524" s="8"/>
      <c r="I524" s="8"/>
      <c r="J524" s="17"/>
      <c r="K524" s="157"/>
      <c r="L524" s="157"/>
      <c r="M524" s="141"/>
      <c r="N524" s="141"/>
      <c r="O524" s="141"/>
    </row>
    <row r="525" spans="1:15" ht="14.25">
      <c r="A525" s="10" t="s">
        <v>471</v>
      </c>
      <c r="B525" s="10"/>
      <c r="C525" s="27"/>
      <c r="D525" s="8"/>
      <c r="E525" s="8"/>
      <c r="F525" s="8"/>
      <c r="G525" s="8"/>
      <c r="H525" s="8"/>
      <c r="I525" s="8"/>
      <c r="J525" s="14"/>
      <c r="K525" s="157"/>
      <c r="L525" s="157"/>
      <c r="M525" s="141"/>
      <c r="N525" s="141"/>
      <c r="O525" s="141"/>
    </row>
    <row r="526" spans="1:15" ht="63.75">
      <c r="A526" s="10" t="s">
        <v>265</v>
      </c>
      <c r="B526" s="10" t="s">
        <v>302</v>
      </c>
      <c r="C526" s="27" t="s">
        <v>303</v>
      </c>
      <c r="D526" s="8"/>
      <c r="E526" s="8"/>
      <c r="F526" s="8"/>
      <c r="G526" s="8"/>
      <c r="H526" s="8"/>
      <c r="I526" s="8"/>
      <c r="J526" s="71"/>
      <c r="K526" s="157"/>
      <c r="L526" s="157"/>
      <c r="M526" s="141"/>
      <c r="N526" s="141"/>
      <c r="O526" s="141"/>
    </row>
    <row r="527" spans="1:15" ht="14.25">
      <c r="A527" s="10"/>
      <c r="B527" s="10" t="s">
        <v>304</v>
      </c>
      <c r="C527" s="27" t="s">
        <v>305</v>
      </c>
      <c r="D527" s="8"/>
      <c r="E527" s="8"/>
      <c r="F527" s="8"/>
      <c r="G527" s="8"/>
      <c r="H527" s="8"/>
      <c r="I527" s="8"/>
      <c r="J527" s="71"/>
      <c r="K527" s="157"/>
      <c r="L527" s="157"/>
      <c r="M527" s="141"/>
      <c r="N527" s="141"/>
      <c r="O527" s="141"/>
    </row>
    <row r="528" spans="1:15" ht="14.25">
      <c r="A528" s="10"/>
      <c r="B528" s="10" t="s">
        <v>306</v>
      </c>
      <c r="C528" s="27" t="s">
        <v>307</v>
      </c>
      <c r="D528" s="8" t="s">
        <v>171</v>
      </c>
      <c r="E528" s="8">
        <v>1</v>
      </c>
      <c r="F528" s="8">
        <v>1</v>
      </c>
      <c r="G528" s="8">
        <v>1</v>
      </c>
      <c r="H528" s="8"/>
      <c r="I528" s="8"/>
      <c r="J528" s="23">
        <f>E528*F528*G528</f>
        <v>1</v>
      </c>
      <c r="K528" s="157"/>
      <c r="L528" s="157"/>
      <c r="M528" s="141"/>
      <c r="N528" s="141"/>
      <c r="O528" s="141"/>
    </row>
    <row r="529" spans="1:15" ht="14.25">
      <c r="A529" s="10"/>
      <c r="B529" s="10"/>
      <c r="C529" s="27"/>
      <c r="D529" s="8"/>
      <c r="E529" s="8"/>
      <c r="F529" s="8"/>
      <c r="G529" s="8"/>
      <c r="H529" s="8"/>
      <c r="I529" s="8"/>
      <c r="J529" s="23"/>
      <c r="K529" s="157"/>
      <c r="L529" s="157"/>
      <c r="M529" s="141"/>
      <c r="N529" s="141"/>
      <c r="O529" s="141"/>
    </row>
    <row r="530" spans="1:15" ht="14.25">
      <c r="A530" s="10"/>
      <c r="B530" s="10"/>
      <c r="C530" s="9"/>
      <c r="D530" s="8"/>
      <c r="E530" s="8"/>
      <c r="F530" s="8"/>
      <c r="G530" s="8"/>
      <c r="H530" s="8"/>
      <c r="I530" s="8"/>
      <c r="J530" s="8"/>
      <c r="K530" s="141"/>
      <c r="L530" s="141"/>
      <c r="M530" s="141"/>
      <c r="N530" s="141"/>
      <c r="O530" s="141"/>
    </row>
    <row r="531" spans="1:15" ht="25.5">
      <c r="A531" s="10" t="s">
        <v>269</v>
      </c>
      <c r="B531" s="10" t="s">
        <v>869</v>
      </c>
      <c r="C531" s="27" t="s">
        <v>318</v>
      </c>
      <c r="D531" s="18" t="s">
        <v>171</v>
      </c>
      <c r="E531" s="18">
        <v>1</v>
      </c>
      <c r="F531" s="18">
        <v>1</v>
      </c>
      <c r="G531" s="18">
        <v>11</v>
      </c>
      <c r="H531" s="18"/>
      <c r="I531" s="18"/>
      <c r="J531" s="17">
        <f>E531*F531*G531</f>
        <v>11</v>
      </c>
      <c r="K531" s="141"/>
      <c r="L531" s="141"/>
      <c r="M531" s="141"/>
      <c r="N531" s="141"/>
      <c r="O531" s="141"/>
    </row>
    <row r="532" spans="1:15" ht="14.25">
      <c r="A532" s="10"/>
      <c r="B532" s="10"/>
      <c r="C532" s="27"/>
      <c r="D532" s="18"/>
      <c r="E532" s="18"/>
      <c r="F532" s="18"/>
      <c r="G532" s="18"/>
      <c r="H532" s="18"/>
      <c r="I532" s="18"/>
      <c r="J532" s="17"/>
      <c r="K532" s="141"/>
      <c r="L532" s="141"/>
      <c r="M532" s="141"/>
      <c r="N532" s="141"/>
      <c r="O532" s="141"/>
    </row>
    <row r="533" spans="1:15" ht="14.25">
      <c r="A533" s="10"/>
      <c r="B533" s="10"/>
      <c r="C533" s="27"/>
      <c r="D533" s="8"/>
      <c r="E533" s="8"/>
      <c r="F533" s="8"/>
      <c r="G533" s="8"/>
      <c r="H533" s="8"/>
      <c r="I533" s="8"/>
      <c r="J533" s="17"/>
      <c r="K533" s="157"/>
      <c r="L533" s="157"/>
      <c r="M533" s="141"/>
      <c r="N533" s="141"/>
      <c r="O533" s="141"/>
    </row>
    <row r="534" spans="1:15" ht="51">
      <c r="A534" s="10" t="s">
        <v>271</v>
      </c>
      <c r="B534" s="10" t="s">
        <v>321</v>
      </c>
      <c r="C534" s="67" t="s">
        <v>738</v>
      </c>
      <c r="D534" s="8" t="s">
        <v>171</v>
      </c>
      <c r="E534" s="8">
        <v>1</v>
      </c>
      <c r="F534" s="8">
        <v>5</v>
      </c>
      <c r="G534" s="8">
        <v>1</v>
      </c>
      <c r="H534" s="8"/>
      <c r="I534" s="8"/>
      <c r="J534" s="17">
        <f>E534*F534*G534</f>
        <v>5</v>
      </c>
      <c r="K534" s="157"/>
      <c r="L534" s="157"/>
      <c r="M534" s="141"/>
      <c r="N534" s="141"/>
      <c r="O534" s="141"/>
    </row>
    <row r="535" spans="1:15" ht="14.25">
      <c r="A535" s="10"/>
      <c r="B535" s="10"/>
      <c r="C535" s="67"/>
      <c r="D535" s="8"/>
      <c r="E535" s="8"/>
      <c r="F535" s="8"/>
      <c r="G535" s="8"/>
      <c r="H535" s="8"/>
      <c r="I535" s="8"/>
      <c r="J535" s="17"/>
      <c r="K535" s="157"/>
      <c r="L535" s="157"/>
      <c r="M535" s="141"/>
      <c r="N535" s="141"/>
      <c r="O535" s="141"/>
    </row>
    <row r="536" spans="1:15" ht="63.75">
      <c r="A536" s="10" t="s">
        <v>275</v>
      </c>
      <c r="B536" s="68">
        <v>17.72</v>
      </c>
      <c r="C536" s="27" t="s">
        <v>739</v>
      </c>
      <c r="D536" s="18" t="s">
        <v>171</v>
      </c>
      <c r="E536" s="18">
        <v>1</v>
      </c>
      <c r="F536" s="18">
        <v>5</v>
      </c>
      <c r="G536" s="18">
        <v>1</v>
      </c>
      <c r="H536" s="18"/>
      <c r="I536" s="18"/>
      <c r="J536" s="17">
        <f>E536*F536*G536</f>
        <v>5</v>
      </c>
      <c r="K536" s="157"/>
      <c r="L536" s="157"/>
      <c r="M536" s="141"/>
      <c r="N536" s="141"/>
      <c r="O536" s="141"/>
    </row>
    <row r="537" spans="1:15" ht="14.25">
      <c r="A537" s="10"/>
      <c r="B537" s="10"/>
      <c r="C537" s="27"/>
      <c r="D537" s="8"/>
      <c r="E537" s="8"/>
      <c r="F537" s="8"/>
      <c r="G537" s="8"/>
      <c r="H537" s="8"/>
      <c r="I537" s="8"/>
      <c r="J537" s="17"/>
      <c r="K537" s="157"/>
      <c r="L537" s="157"/>
      <c r="M537" s="141"/>
      <c r="N537" s="141"/>
      <c r="O537" s="141"/>
    </row>
    <row r="538" spans="1:15" ht="51">
      <c r="A538" s="68">
        <v>72</v>
      </c>
      <c r="B538" s="10" t="s">
        <v>325</v>
      </c>
      <c r="C538" s="27" t="s">
        <v>326</v>
      </c>
      <c r="D538" s="8"/>
      <c r="E538" s="8"/>
      <c r="F538" s="8"/>
      <c r="G538" s="8"/>
      <c r="H538" s="8"/>
      <c r="I538" s="8"/>
      <c r="J538" s="23"/>
      <c r="K538" s="157"/>
      <c r="L538" s="157"/>
      <c r="M538" s="141"/>
      <c r="N538" s="141"/>
      <c r="O538" s="141"/>
    </row>
    <row r="539" spans="1:15" ht="38.25">
      <c r="A539" s="10"/>
      <c r="B539" s="10" t="s">
        <v>327</v>
      </c>
      <c r="C539" s="27" t="s">
        <v>328</v>
      </c>
      <c r="D539" s="18" t="s">
        <v>171</v>
      </c>
      <c r="E539" s="18">
        <v>5</v>
      </c>
      <c r="F539" s="18">
        <v>1</v>
      </c>
      <c r="G539" s="18">
        <v>1</v>
      </c>
      <c r="H539" s="18"/>
      <c r="I539" s="18"/>
      <c r="J539" s="23">
        <f>E539*F539*G539</f>
        <v>5</v>
      </c>
      <c r="K539" s="157"/>
      <c r="L539" s="157"/>
      <c r="M539" s="141"/>
      <c r="N539" s="141"/>
      <c r="O539" s="141"/>
    </row>
    <row r="540" spans="1:15" ht="14.25">
      <c r="A540" s="10"/>
      <c r="B540" s="10"/>
      <c r="C540" s="27"/>
      <c r="D540" s="18"/>
      <c r="E540" s="18"/>
      <c r="F540" s="18"/>
      <c r="G540" s="18"/>
      <c r="H540" s="18"/>
      <c r="I540" s="18"/>
      <c r="J540" s="23"/>
      <c r="K540" s="157"/>
      <c r="L540" s="157"/>
      <c r="M540" s="141"/>
      <c r="N540" s="141"/>
      <c r="O540" s="141"/>
    </row>
    <row r="541" spans="1:15" ht="38.25">
      <c r="A541" s="10" t="s">
        <v>284</v>
      </c>
      <c r="B541" s="10" t="s">
        <v>330</v>
      </c>
      <c r="C541" s="27" t="s">
        <v>331</v>
      </c>
      <c r="D541" s="18" t="s">
        <v>171</v>
      </c>
      <c r="E541" s="18">
        <v>0</v>
      </c>
      <c r="F541" s="18">
        <v>1</v>
      </c>
      <c r="G541" s="18">
        <v>1</v>
      </c>
      <c r="H541" s="18"/>
      <c r="I541" s="18"/>
      <c r="J541" s="23">
        <f>E541*F541*G541</f>
        <v>0</v>
      </c>
      <c r="K541" s="157"/>
      <c r="L541" s="157"/>
      <c r="M541" s="141"/>
      <c r="N541" s="141"/>
      <c r="O541" s="141"/>
    </row>
    <row r="542" spans="1:15" ht="89.25">
      <c r="A542" s="10" t="s">
        <v>286</v>
      </c>
      <c r="B542" s="10" t="s">
        <v>333</v>
      </c>
      <c r="C542" s="67" t="s">
        <v>334</v>
      </c>
      <c r="D542" s="18" t="s">
        <v>171</v>
      </c>
      <c r="E542" s="8">
        <v>1</v>
      </c>
      <c r="F542" s="8">
        <v>4</v>
      </c>
      <c r="G542" s="8">
        <v>1</v>
      </c>
      <c r="H542" s="8"/>
      <c r="I542" s="8"/>
      <c r="J542" s="23">
        <f>E542*F542*G542</f>
        <v>4</v>
      </c>
      <c r="K542" s="157"/>
      <c r="L542" s="157"/>
      <c r="M542" s="141"/>
      <c r="N542" s="141"/>
      <c r="O542" s="141"/>
    </row>
    <row r="543" spans="1:15" ht="14.25">
      <c r="A543" s="10"/>
      <c r="B543" s="10"/>
      <c r="C543" s="27"/>
      <c r="D543" s="18"/>
      <c r="E543" s="18"/>
      <c r="F543" s="18"/>
      <c r="G543" s="18"/>
      <c r="H543" s="18"/>
      <c r="I543" s="18"/>
      <c r="J543" s="23"/>
      <c r="K543" s="157"/>
      <c r="L543" s="157"/>
      <c r="M543" s="141"/>
      <c r="N543" s="141"/>
      <c r="O543" s="141"/>
    </row>
    <row r="544" spans="1:15" ht="14.25">
      <c r="A544" s="10" t="s">
        <v>287</v>
      </c>
      <c r="B544" s="10" t="s">
        <v>336</v>
      </c>
      <c r="C544" s="27" t="s">
        <v>337</v>
      </c>
      <c r="D544" s="8"/>
      <c r="E544" s="8"/>
      <c r="F544" s="8"/>
      <c r="G544" s="8"/>
      <c r="H544" s="8"/>
      <c r="I544" s="8"/>
      <c r="J544" s="17"/>
      <c r="K544" s="157"/>
      <c r="L544" s="157"/>
      <c r="M544" s="141"/>
      <c r="N544" s="141"/>
      <c r="O544" s="141"/>
    </row>
    <row r="545" spans="1:15" ht="14.25">
      <c r="A545" s="10" t="s">
        <v>683</v>
      </c>
      <c r="B545" s="10" t="s">
        <v>338</v>
      </c>
      <c r="C545" s="27" t="s">
        <v>339</v>
      </c>
      <c r="D545" s="8" t="s">
        <v>171</v>
      </c>
      <c r="E545" s="8">
        <v>4</v>
      </c>
      <c r="F545" s="8">
        <v>1</v>
      </c>
      <c r="G545" s="8">
        <v>1</v>
      </c>
      <c r="H545" s="8"/>
      <c r="I545" s="8"/>
      <c r="J545" s="17">
        <f>E545*F545*G545</f>
        <v>4</v>
      </c>
      <c r="K545" s="157"/>
      <c r="L545" s="157"/>
      <c r="M545" s="141"/>
      <c r="N545" s="141"/>
      <c r="O545" s="141"/>
    </row>
    <row r="546" spans="1:15" ht="14.25">
      <c r="A546" s="10"/>
      <c r="B546" s="10"/>
      <c r="C546" s="27"/>
      <c r="D546" s="8"/>
      <c r="E546" s="8"/>
      <c r="F546" s="8"/>
      <c r="G546" s="8"/>
      <c r="H546" s="8"/>
      <c r="I546" s="8"/>
      <c r="J546" s="17"/>
      <c r="K546" s="157"/>
      <c r="L546" s="157"/>
      <c r="M546" s="141"/>
      <c r="N546" s="141"/>
      <c r="O546" s="141"/>
    </row>
    <row r="547" spans="1:15" ht="25.5">
      <c r="A547" s="10" t="s">
        <v>288</v>
      </c>
      <c r="B547" s="10" t="s">
        <v>341</v>
      </c>
      <c r="C547" s="27" t="s">
        <v>342</v>
      </c>
      <c r="D547" s="70"/>
      <c r="E547" s="70"/>
      <c r="F547" s="70"/>
      <c r="G547" s="70"/>
      <c r="H547" s="70"/>
      <c r="I547" s="70"/>
      <c r="J547" s="69"/>
      <c r="K547" s="157"/>
      <c r="L547" s="157"/>
      <c r="M547" s="141"/>
      <c r="N547" s="141"/>
      <c r="O547" s="141"/>
    </row>
    <row r="548" spans="1:15" ht="25.5">
      <c r="A548" s="16"/>
      <c r="B548" s="10" t="s">
        <v>343</v>
      </c>
      <c r="C548" s="27" t="s">
        <v>344</v>
      </c>
      <c r="D548" s="18" t="s">
        <v>171</v>
      </c>
      <c r="E548" s="18">
        <v>4</v>
      </c>
      <c r="F548" s="18">
        <v>3</v>
      </c>
      <c r="G548" s="18">
        <v>1</v>
      </c>
      <c r="H548" s="18"/>
      <c r="I548" s="18"/>
      <c r="J548" s="17">
        <f>E548*F548*G548</f>
        <v>12</v>
      </c>
      <c r="K548" s="157"/>
      <c r="L548" s="157"/>
      <c r="M548" s="141"/>
      <c r="N548" s="141"/>
      <c r="O548" s="141"/>
    </row>
    <row r="549" spans="1:15" ht="14.25">
      <c r="A549" s="10"/>
      <c r="B549" s="10"/>
      <c r="C549" s="9"/>
      <c r="D549" s="8"/>
      <c r="E549" s="8"/>
      <c r="F549" s="8"/>
      <c r="G549" s="8"/>
      <c r="H549" s="8"/>
      <c r="I549" s="8"/>
      <c r="J549" s="64"/>
      <c r="K549" s="157"/>
      <c r="L549" s="157"/>
      <c r="M549" s="141"/>
      <c r="N549" s="141"/>
      <c r="O549" s="141"/>
    </row>
    <row r="550" spans="1:15" ht="14.25">
      <c r="A550" s="10"/>
      <c r="B550" s="10"/>
      <c r="C550" s="9"/>
      <c r="D550" s="8"/>
      <c r="E550" s="8"/>
      <c r="F550" s="8"/>
      <c r="G550" s="8"/>
      <c r="H550" s="8"/>
      <c r="I550" s="8"/>
      <c r="J550" s="64"/>
      <c r="K550" s="157"/>
      <c r="L550" s="157"/>
      <c r="M550" s="141"/>
      <c r="N550" s="141"/>
      <c r="O550" s="141"/>
    </row>
    <row r="551" spans="1:15" ht="140.44999999999999" customHeight="1">
      <c r="A551" s="10" t="s">
        <v>293</v>
      </c>
      <c r="B551" s="10" t="s">
        <v>347</v>
      </c>
      <c r="C551" s="9" t="s">
        <v>740</v>
      </c>
      <c r="D551" s="8"/>
      <c r="E551" s="8"/>
      <c r="F551" s="8"/>
      <c r="G551" s="8"/>
      <c r="H551" s="8"/>
      <c r="I551" s="8"/>
      <c r="J551" s="64"/>
      <c r="K551" s="157"/>
      <c r="L551" s="157"/>
      <c r="M551" s="141"/>
      <c r="N551" s="141"/>
      <c r="O551" s="141"/>
    </row>
    <row r="552" spans="1:15" ht="14.25">
      <c r="A552" s="10"/>
      <c r="B552" s="10" t="s">
        <v>349</v>
      </c>
      <c r="C552" s="9" t="s">
        <v>350</v>
      </c>
      <c r="D552" s="8" t="s">
        <v>741</v>
      </c>
      <c r="E552" s="8"/>
      <c r="F552" s="8"/>
      <c r="G552" s="8"/>
      <c r="H552" s="8"/>
      <c r="I552" s="8"/>
      <c r="J552" s="64">
        <v>50</v>
      </c>
      <c r="K552" s="157"/>
      <c r="L552" s="157"/>
      <c r="M552" s="141"/>
      <c r="N552" s="141"/>
      <c r="O552" s="141"/>
    </row>
    <row r="553" spans="1:15" ht="14.25">
      <c r="A553" s="10"/>
      <c r="B553" s="10" t="s">
        <v>352</v>
      </c>
      <c r="C553" s="9" t="s">
        <v>353</v>
      </c>
      <c r="D553" s="8" t="s">
        <v>741</v>
      </c>
      <c r="E553" s="8"/>
      <c r="F553" s="8"/>
      <c r="G553" s="8"/>
      <c r="H553" s="8"/>
      <c r="I553" s="8"/>
      <c r="J553" s="64">
        <v>30</v>
      </c>
      <c r="K553" s="157"/>
      <c r="L553" s="157"/>
      <c r="M553" s="141"/>
      <c r="N553" s="141"/>
      <c r="O553" s="141"/>
    </row>
    <row r="554" spans="1:15" ht="14.25">
      <c r="A554" s="10"/>
      <c r="B554" s="10" t="s">
        <v>355</v>
      </c>
      <c r="C554" s="9" t="s">
        <v>356</v>
      </c>
      <c r="D554" s="8" t="s">
        <v>741</v>
      </c>
      <c r="E554" s="8"/>
      <c r="F554" s="8"/>
      <c r="G554" s="8"/>
      <c r="H554" s="8"/>
      <c r="I554" s="8"/>
      <c r="J554" s="64">
        <v>10</v>
      </c>
      <c r="K554" s="157"/>
      <c r="L554" s="157"/>
      <c r="M554" s="141"/>
      <c r="N554" s="141"/>
      <c r="O554" s="141"/>
    </row>
    <row r="555" spans="1:15" ht="14.25">
      <c r="A555" s="10"/>
      <c r="B555" s="10"/>
      <c r="C555" s="9"/>
      <c r="D555" s="8"/>
      <c r="E555" s="8"/>
      <c r="F555" s="8"/>
      <c r="G555" s="8"/>
      <c r="H555" s="8"/>
      <c r="I555" s="8"/>
      <c r="J555" s="64"/>
      <c r="K555" s="157"/>
      <c r="L555" s="157"/>
      <c r="M555" s="141"/>
      <c r="N555" s="141"/>
      <c r="O555" s="141"/>
    </row>
    <row r="556" spans="1:15" ht="127.5">
      <c r="A556" s="10" t="s">
        <v>296</v>
      </c>
      <c r="B556" s="10" t="s">
        <v>358</v>
      </c>
      <c r="C556" s="27" t="s">
        <v>742</v>
      </c>
      <c r="D556" s="8"/>
      <c r="E556" s="8"/>
      <c r="F556" s="8"/>
      <c r="G556" s="8"/>
      <c r="H556" s="8"/>
      <c r="I556" s="8"/>
      <c r="J556" s="64"/>
      <c r="K556" s="157"/>
      <c r="L556" s="157"/>
      <c r="M556" s="141"/>
      <c r="N556" s="141"/>
      <c r="O556" s="141"/>
    </row>
    <row r="557" spans="1:15" ht="14.25">
      <c r="A557" s="10" t="s">
        <v>84</v>
      </c>
      <c r="B557" s="10" t="s">
        <v>359</v>
      </c>
      <c r="C557" s="35" t="s">
        <v>360</v>
      </c>
      <c r="D557" s="8" t="s">
        <v>741</v>
      </c>
      <c r="E557" s="8"/>
      <c r="F557" s="8"/>
      <c r="G557" s="8"/>
      <c r="H557" s="8"/>
      <c r="I557" s="8"/>
      <c r="J557" s="64">
        <v>100</v>
      </c>
      <c r="K557" s="157"/>
      <c r="L557" s="157"/>
      <c r="M557" s="141"/>
      <c r="N557" s="141"/>
      <c r="O557" s="141"/>
    </row>
    <row r="558" spans="1:15" ht="14.25">
      <c r="A558" s="10"/>
      <c r="B558" s="10"/>
      <c r="C558" s="35"/>
      <c r="D558" s="8"/>
      <c r="E558" s="8"/>
      <c r="F558" s="8"/>
      <c r="G558" s="8"/>
      <c r="H558" s="8"/>
      <c r="I558" s="8"/>
      <c r="J558" s="23"/>
      <c r="K558" s="157"/>
      <c r="L558" s="157"/>
      <c r="M558" s="141"/>
      <c r="N558" s="141"/>
      <c r="O558" s="141"/>
    </row>
    <row r="559" spans="1:15" ht="14.25">
      <c r="A559" s="10" t="s">
        <v>87</v>
      </c>
      <c r="B559" s="10" t="s">
        <v>361</v>
      </c>
      <c r="C559" s="35" t="s">
        <v>350</v>
      </c>
      <c r="D559" s="8" t="s">
        <v>741</v>
      </c>
      <c r="E559" s="8"/>
      <c r="F559" s="8"/>
      <c r="G559" s="8"/>
      <c r="H559" s="8"/>
      <c r="I559" s="8"/>
      <c r="J559" s="23">
        <v>50</v>
      </c>
      <c r="K559" s="157"/>
      <c r="L559" s="157"/>
      <c r="M559" s="141"/>
      <c r="N559" s="141"/>
      <c r="O559" s="141"/>
    </row>
    <row r="560" spans="1:15" ht="14.25">
      <c r="A560" s="10"/>
      <c r="B560" s="10"/>
      <c r="C560" s="27"/>
      <c r="D560" s="8"/>
      <c r="E560" s="8"/>
      <c r="F560" s="8"/>
      <c r="G560" s="8"/>
      <c r="H560" s="8"/>
      <c r="I560" s="8"/>
      <c r="J560" s="23"/>
      <c r="K560" s="157"/>
      <c r="L560" s="157"/>
      <c r="M560" s="141"/>
      <c r="N560" s="141"/>
      <c r="O560" s="141"/>
    </row>
    <row r="561" spans="1:15" ht="25.5">
      <c r="A561" s="10" t="s">
        <v>301</v>
      </c>
      <c r="B561" s="10" t="s">
        <v>363</v>
      </c>
      <c r="C561" s="27" t="s">
        <v>364</v>
      </c>
      <c r="D561" s="8"/>
      <c r="E561" s="8"/>
      <c r="F561" s="8"/>
      <c r="G561" s="8"/>
      <c r="H561" s="8"/>
      <c r="I561" s="8"/>
      <c r="J561" s="23"/>
      <c r="K561" s="157"/>
      <c r="L561" s="157"/>
      <c r="M561" s="141"/>
      <c r="N561" s="141"/>
      <c r="O561" s="141"/>
    </row>
    <row r="562" spans="1:15" ht="14.25">
      <c r="A562" s="10" t="s">
        <v>84</v>
      </c>
      <c r="B562" s="10" t="s">
        <v>365</v>
      </c>
      <c r="C562" s="27" t="s">
        <v>366</v>
      </c>
      <c r="D562" s="8" t="s">
        <v>743</v>
      </c>
      <c r="E562" s="8"/>
      <c r="F562" s="8"/>
      <c r="G562" s="8"/>
      <c r="H562" s="8"/>
      <c r="I562" s="8"/>
      <c r="J562" s="23">
        <v>4</v>
      </c>
      <c r="K562" s="157"/>
      <c r="L562" s="157"/>
      <c r="M562" s="141"/>
      <c r="N562" s="141"/>
      <c r="O562" s="141"/>
    </row>
    <row r="563" spans="1:15" ht="14.25">
      <c r="A563" s="10" t="s">
        <v>87</v>
      </c>
      <c r="B563" s="10" t="s">
        <v>367</v>
      </c>
      <c r="C563" s="27" t="s">
        <v>368</v>
      </c>
      <c r="D563" s="8" t="s">
        <v>743</v>
      </c>
      <c r="E563" s="8"/>
      <c r="F563" s="8"/>
      <c r="G563" s="8"/>
      <c r="H563" s="8"/>
      <c r="I563" s="8"/>
      <c r="J563" s="64">
        <v>4</v>
      </c>
      <c r="K563" s="157"/>
      <c r="L563" s="157"/>
      <c r="M563" s="141"/>
      <c r="N563" s="141"/>
      <c r="O563" s="141"/>
    </row>
    <row r="564" spans="1:15" ht="14.25">
      <c r="A564" s="10"/>
      <c r="B564" s="10"/>
      <c r="C564" s="27"/>
      <c r="D564" s="8"/>
      <c r="E564" s="8"/>
      <c r="F564" s="8"/>
      <c r="G564" s="8"/>
      <c r="H564" s="8"/>
      <c r="I564" s="8"/>
      <c r="J564" s="23"/>
      <c r="K564" s="157"/>
      <c r="L564" s="157"/>
      <c r="M564" s="141"/>
      <c r="N564" s="141"/>
      <c r="O564" s="141"/>
    </row>
    <row r="565" spans="1:15" ht="25.5">
      <c r="A565" s="10" t="s">
        <v>308</v>
      </c>
      <c r="B565" s="10" t="s">
        <v>370</v>
      </c>
      <c r="C565" s="27" t="s">
        <v>371</v>
      </c>
      <c r="D565" s="8"/>
      <c r="E565" s="8"/>
      <c r="F565" s="8"/>
      <c r="G565" s="8"/>
      <c r="H565" s="8"/>
      <c r="I565" s="8"/>
      <c r="J565" s="64"/>
      <c r="K565" s="157"/>
      <c r="L565" s="157"/>
      <c r="M565" s="141"/>
      <c r="N565" s="141"/>
      <c r="O565" s="141"/>
    </row>
    <row r="566" spans="1:15" ht="14.25">
      <c r="A566" s="10"/>
      <c r="B566" s="10" t="s">
        <v>372</v>
      </c>
      <c r="C566" s="27" t="s">
        <v>366</v>
      </c>
      <c r="D566" s="8" t="s">
        <v>171</v>
      </c>
      <c r="E566" s="8">
        <v>2</v>
      </c>
      <c r="F566" s="8">
        <v>1</v>
      </c>
      <c r="G566" s="8">
        <v>1</v>
      </c>
      <c r="H566" s="8"/>
      <c r="I566" s="8"/>
      <c r="J566" s="23">
        <f>E566*F566*G566</f>
        <v>2</v>
      </c>
      <c r="K566" s="157"/>
      <c r="L566" s="157"/>
      <c r="M566" s="141"/>
      <c r="N566" s="141"/>
      <c r="O566" s="141"/>
    </row>
    <row r="567" spans="1:15" ht="14.25">
      <c r="A567" s="10"/>
      <c r="B567" s="10"/>
      <c r="C567" s="27"/>
      <c r="D567" s="8"/>
      <c r="E567" s="8"/>
      <c r="F567" s="8"/>
      <c r="G567" s="8"/>
      <c r="H567" s="8"/>
      <c r="I567" s="8"/>
      <c r="J567" s="23"/>
      <c r="K567" s="157"/>
      <c r="L567" s="157"/>
      <c r="M567" s="141"/>
      <c r="N567" s="141"/>
      <c r="O567" s="141"/>
    </row>
    <row r="568" spans="1:15" ht="25.5">
      <c r="A568" s="10" t="s">
        <v>309</v>
      </c>
      <c r="B568" s="10" t="s">
        <v>374</v>
      </c>
      <c r="C568" s="27" t="s">
        <v>744</v>
      </c>
      <c r="D568" s="8"/>
      <c r="E568" s="8"/>
      <c r="F568" s="8"/>
      <c r="G568" s="8"/>
      <c r="H568" s="8"/>
      <c r="I568" s="8"/>
      <c r="J568" s="64"/>
      <c r="K568" s="157"/>
      <c r="L568" s="157"/>
      <c r="M568" s="141"/>
      <c r="N568" s="141"/>
      <c r="O568" s="141"/>
    </row>
    <row r="569" spans="1:15" ht="14.25">
      <c r="A569" s="10"/>
      <c r="B569" s="10" t="s">
        <v>375</v>
      </c>
      <c r="C569" s="27" t="s">
        <v>376</v>
      </c>
      <c r="D569" s="8"/>
      <c r="E569" s="8"/>
      <c r="F569" s="8"/>
      <c r="G569" s="8"/>
      <c r="H569" s="8"/>
      <c r="I569" s="8"/>
      <c r="J569" s="64"/>
      <c r="K569" s="157"/>
      <c r="L569" s="157"/>
      <c r="M569" s="141"/>
      <c r="N569" s="141"/>
      <c r="O569" s="141"/>
    </row>
    <row r="570" spans="1:15" ht="14.25">
      <c r="A570" s="10" t="s">
        <v>640</v>
      </c>
      <c r="B570" s="10" t="s">
        <v>377</v>
      </c>
      <c r="C570" s="27" t="s">
        <v>378</v>
      </c>
      <c r="D570" s="8" t="s">
        <v>171</v>
      </c>
      <c r="E570" s="8">
        <v>1</v>
      </c>
      <c r="F570" s="8">
        <v>1</v>
      </c>
      <c r="G570" s="8">
        <v>1</v>
      </c>
      <c r="H570" s="8"/>
      <c r="I570" s="8"/>
      <c r="J570" s="23">
        <f>E570*F570*G570</f>
        <v>1</v>
      </c>
      <c r="K570" s="157"/>
      <c r="L570" s="157"/>
      <c r="M570" s="141"/>
      <c r="N570" s="141"/>
      <c r="O570" s="141"/>
    </row>
    <row r="571" spans="1:15" ht="14.25">
      <c r="A571" s="10"/>
      <c r="B571" s="10" t="s">
        <v>379</v>
      </c>
      <c r="C571" s="27" t="s">
        <v>380</v>
      </c>
      <c r="D571" s="8" t="s">
        <v>171</v>
      </c>
      <c r="E571" s="8">
        <v>1</v>
      </c>
      <c r="F571" s="8">
        <v>1</v>
      </c>
      <c r="G571" s="8">
        <v>1</v>
      </c>
      <c r="H571" s="8"/>
      <c r="I571" s="8"/>
      <c r="J571" s="23">
        <f>E571*F571*G571</f>
        <v>1</v>
      </c>
      <c r="K571" s="157"/>
      <c r="L571" s="157"/>
      <c r="M571" s="141"/>
      <c r="N571" s="141"/>
      <c r="O571" s="141"/>
    </row>
    <row r="572" spans="1:15" ht="14.25">
      <c r="A572" s="10"/>
      <c r="B572" s="10"/>
      <c r="C572" s="27"/>
      <c r="D572" s="8"/>
      <c r="E572" s="8"/>
      <c r="F572" s="8"/>
      <c r="G572" s="8"/>
      <c r="H572" s="8"/>
      <c r="I572" s="8"/>
      <c r="J572" s="23"/>
      <c r="K572" s="157"/>
      <c r="L572" s="157"/>
      <c r="M572" s="141"/>
      <c r="N572" s="141"/>
      <c r="O572" s="141"/>
    </row>
    <row r="573" spans="1:15" ht="25.5">
      <c r="A573" s="10" t="s">
        <v>745</v>
      </c>
      <c r="B573" s="10" t="s">
        <v>381</v>
      </c>
      <c r="C573" s="27" t="s">
        <v>382</v>
      </c>
      <c r="D573" s="8"/>
      <c r="E573" s="8"/>
      <c r="F573" s="8"/>
      <c r="G573" s="8"/>
      <c r="H573" s="8"/>
      <c r="I573" s="8"/>
      <c r="J573" s="23"/>
      <c r="K573" s="157"/>
      <c r="L573" s="157"/>
      <c r="M573" s="141"/>
      <c r="N573" s="141"/>
      <c r="O573" s="141"/>
    </row>
    <row r="574" spans="1:15" ht="14.25">
      <c r="A574" s="10" t="s">
        <v>683</v>
      </c>
      <c r="B574" s="10" t="s">
        <v>383</v>
      </c>
      <c r="C574" s="27" t="s">
        <v>384</v>
      </c>
      <c r="D574" s="8"/>
      <c r="E574" s="8"/>
      <c r="F574" s="8"/>
      <c r="G574" s="8"/>
      <c r="H574" s="8"/>
      <c r="I574" s="8"/>
      <c r="J574" s="23"/>
      <c r="K574" s="157"/>
      <c r="L574" s="157"/>
      <c r="M574" s="141"/>
      <c r="N574" s="141"/>
      <c r="O574" s="141"/>
    </row>
    <row r="575" spans="1:15" ht="14.25">
      <c r="A575" s="10"/>
      <c r="B575" s="10" t="s">
        <v>385</v>
      </c>
      <c r="C575" s="27" t="s">
        <v>386</v>
      </c>
      <c r="D575" s="8" t="s">
        <v>171</v>
      </c>
      <c r="E575" s="8">
        <v>4</v>
      </c>
      <c r="F575" s="8">
        <v>2</v>
      </c>
      <c r="G575" s="8">
        <v>1</v>
      </c>
      <c r="H575" s="8"/>
      <c r="I575" s="8"/>
      <c r="J575" s="23">
        <f>E575*F575*G575</f>
        <v>8</v>
      </c>
      <c r="K575" s="157"/>
      <c r="L575" s="157"/>
      <c r="M575" s="141"/>
      <c r="N575" s="141"/>
      <c r="O575" s="141"/>
    </row>
    <row r="576" spans="1:15" ht="14.25">
      <c r="A576" s="10"/>
      <c r="B576" s="10"/>
      <c r="C576" s="27"/>
      <c r="D576" s="8"/>
      <c r="E576" s="8"/>
      <c r="F576" s="8"/>
      <c r="G576" s="8"/>
      <c r="H576" s="8"/>
      <c r="I576" s="8"/>
      <c r="J576" s="23"/>
      <c r="K576" s="157"/>
      <c r="L576" s="157"/>
      <c r="M576" s="141"/>
      <c r="N576" s="141"/>
      <c r="O576" s="141"/>
    </row>
    <row r="577" spans="1:15" ht="25.5">
      <c r="A577" s="10" t="s">
        <v>313</v>
      </c>
      <c r="B577" s="10" t="s">
        <v>387</v>
      </c>
      <c r="C577" s="27" t="s">
        <v>746</v>
      </c>
      <c r="D577" s="8"/>
      <c r="E577" s="8"/>
      <c r="F577" s="8"/>
      <c r="G577" s="8"/>
      <c r="H577" s="8"/>
      <c r="I577" s="8"/>
      <c r="J577" s="23"/>
      <c r="K577" s="157"/>
      <c r="L577" s="157"/>
      <c r="M577" s="141"/>
      <c r="N577" s="141"/>
      <c r="O577" s="141"/>
    </row>
    <row r="578" spans="1:15" ht="14.25">
      <c r="A578" s="10" t="s">
        <v>683</v>
      </c>
      <c r="B578" s="10" t="s">
        <v>388</v>
      </c>
      <c r="C578" s="27" t="s">
        <v>747</v>
      </c>
      <c r="D578" s="8" t="s">
        <v>171</v>
      </c>
      <c r="E578" s="8">
        <v>1</v>
      </c>
      <c r="F578" s="8">
        <v>5</v>
      </c>
      <c r="G578" s="8">
        <v>1</v>
      </c>
      <c r="H578" s="8"/>
      <c r="I578" s="8"/>
      <c r="J578" s="23">
        <f>E578*F578*G578</f>
        <v>5</v>
      </c>
      <c r="K578" s="157"/>
      <c r="L578" s="157"/>
      <c r="M578" s="141"/>
      <c r="N578" s="141"/>
      <c r="O578" s="141"/>
    </row>
    <row r="579" spans="1:15" ht="14.25">
      <c r="A579" s="10"/>
      <c r="B579" s="10"/>
      <c r="C579" s="9"/>
      <c r="D579" s="8"/>
      <c r="E579" s="8"/>
      <c r="F579" s="8"/>
      <c r="G579" s="8"/>
      <c r="H579" s="8"/>
      <c r="I579" s="8"/>
      <c r="J579" s="23"/>
      <c r="K579" s="157"/>
      <c r="L579" s="157"/>
      <c r="M579" s="141"/>
      <c r="N579" s="141"/>
      <c r="O579" s="141"/>
    </row>
    <row r="580" spans="1:15" ht="147.75" customHeight="1">
      <c r="A580" s="10" t="s">
        <v>315</v>
      </c>
      <c r="B580" s="10" t="s">
        <v>389</v>
      </c>
      <c r="C580" s="27" t="s">
        <v>390</v>
      </c>
      <c r="D580" s="8"/>
      <c r="E580" s="8"/>
      <c r="F580" s="8"/>
      <c r="G580" s="8"/>
      <c r="H580" s="8"/>
      <c r="I580" s="8"/>
      <c r="J580" s="23"/>
      <c r="K580" s="157"/>
      <c r="L580" s="157"/>
      <c r="M580" s="141"/>
      <c r="N580" s="141"/>
      <c r="O580" s="141"/>
    </row>
    <row r="581" spans="1:15" ht="25.5">
      <c r="A581" s="10" t="s">
        <v>683</v>
      </c>
      <c r="B581" s="10" t="s">
        <v>391</v>
      </c>
      <c r="C581" s="27" t="s">
        <v>392</v>
      </c>
      <c r="D581" s="8" t="s">
        <v>171</v>
      </c>
      <c r="E581" s="8">
        <v>1</v>
      </c>
      <c r="F581" s="8">
        <v>7</v>
      </c>
      <c r="G581" s="8">
        <v>1</v>
      </c>
      <c r="H581" s="8"/>
      <c r="I581" s="8"/>
      <c r="J581" s="17">
        <f>E581*F581*G581</f>
        <v>7</v>
      </c>
      <c r="K581" s="157"/>
      <c r="L581" s="157"/>
      <c r="M581" s="141"/>
      <c r="N581" s="141"/>
      <c r="O581" s="141"/>
    </row>
    <row r="582" spans="1:15" ht="14.25">
      <c r="A582" s="10"/>
      <c r="B582" s="10"/>
      <c r="C582" s="27"/>
      <c r="D582" s="8"/>
      <c r="E582" s="8"/>
      <c r="F582" s="8"/>
      <c r="G582" s="8"/>
      <c r="H582" s="8"/>
      <c r="I582" s="8"/>
      <c r="J582" s="23"/>
      <c r="K582" s="157"/>
      <c r="L582" s="157"/>
      <c r="M582" s="141"/>
      <c r="N582" s="141"/>
      <c r="O582" s="141"/>
    </row>
    <row r="583" spans="1:15" ht="14.25">
      <c r="A583" s="10"/>
      <c r="B583" s="10"/>
      <c r="C583" s="27"/>
      <c r="D583" s="8"/>
      <c r="E583" s="8"/>
      <c r="F583" s="8"/>
      <c r="G583" s="8"/>
      <c r="H583" s="8"/>
      <c r="I583" s="8"/>
      <c r="J583" s="23"/>
      <c r="K583" s="157"/>
      <c r="L583" s="157"/>
      <c r="M583" s="141"/>
      <c r="N583" s="141"/>
      <c r="O583" s="141"/>
    </row>
    <row r="584" spans="1:15" ht="63.75">
      <c r="A584" s="10" t="s">
        <v>316</v>
      </c>
      <c r="B584" s="10" t="s">
        <v>393</v>
      </c>
      <c r="C584" s="27" t="s">
        <v>748</v>
      </c>
      <c r="D584" s="18" t="s">
        <v>394</v>
      </c>
      <c r="E584" s="18">
        <v>1</v>
      </c>
      <c r="F584" s="18">
        <v>1</v>
      </c>
      <c r="G584" s="18">
        <v>5000</v>
      </c>
      <c r="H584" s="18"/>
      <c r="I584" s="18"/>
      <c r="J584" s="17">
        <f>E584*F584*G584</f>
        <v>5000</v>
      </c>
      <c r="K584" s="157"/>
      <c r="L584" s="157"/>
      <c r="M584" s="141"/>
      <c r="N584" s="141"/>
      <c r="O584" s="141"/>
    </row>
    <row r="585" spans="1:15" ht="14.25">
      <c r="A585" s="10"/>
      <c r="B585" s="10"/>
      <c r="C585" s="9"/>
      <c r="D585" s="8"/>
      <c r="E585" s="8"/>
      <c r="F585" s="8"/>
      <c r="G585" s="8"/>
      <c r="H585" s="8"/>
      <c r="I585" s="8"/>
      <c r="J585" s="23"/>
      <c r="K585" s="157"/>
      <c r="L585" s="157"/>
      <c r="M585" s="141"/>
      <c r="N585" s="141"/>
      <c r="O585" s="141"/>
    </row>
    <row r="586" spans="1:15" ht="25.5">
      <c r="A586" s="10" t="s">
        <v>320</v>
      </c>
      <c r="B586" s="10" t="s">
        <v>749</v>
      </c>
      <c r="C586" s="27" t="s">
        <v>750</v>
      </c>
      <c r="D586" s="8"/>
      <c r="E586" s="8"/>
      <c r="F586" s="8"/>
      <c r="G586" s="8"/>
      <c r="H586" s="8"/>
      <c r="I586" s="8"/>
      <c r="J586" s="23"/>
      <c r="K586" s="157"/>
      <c r="L586" s="157"/>
      <c r="M586" s="141"/>
      <c r="N586" s="141"/>
      <c r="O586" s="141"/>
    </row>
    <row r="587" spans="1:15" ht="14.25">
      <c r="A587" s="10"/>
      <c r="B587" s="10" t="s">
        <v>870</v>
      </c>
      <c r="C587" s="27" t="s">
        <v>386</v>
      </c>
      <c r="D587" s="8" t="s">
        <v>171</v>
      </c>
      <c r="E587" s="8">
        <v>1</v>
      </c>
      <c r="F587" s="18">
        <v>1</v>
      </c>
      <c r="G587" s="18">
        <v>4</v>
      </c>
      <c r="H587" s="18"/>
      <c r="I587" s="18"/>
      <c r="J587" s="17">
        <f>E587*F587*G587</f>
        <v>4</v>
      </c>
      <c r="K587" s="157"/>
      <c r="L587" s="157"/>
      <c r="M587" s="141"/>
      <c r="N587" s="141"/>
      <c r="O587" s="141"/>
    </row>
    <row r="588" spans="1:15" ht="14.25">
      <c r="A588" s="10"/>
      <c r="B588" s="10"/>
      <c r="C588" s="27"/>
      <c r="D588" s="8"/>
      <c r="E588" s="8"/>
      <c r="F588" s="18"/>
      <c r="G588" s="18"/>
      <c r="H588" s="18"/>
      <c r="I588" s="18"/>
      <c r="J588" s="17"/>
      <c r="K588" s="157"/>
      <c r="L588" s="157"/>
      <c r="M588" s="141"/>
      <c r="N588" s="141"/>
      <c r="O588" s="141"/>
    </row>
    <row r="589" spans="1:15" ht="25.5">
      <c r="A589" s="10" t="s">
        <v>323</v>
      </c>
      <c r="B589" s="10" t="s">
        <v>752</v>
      </c>
      <c r="C589" s="27" t="s">
        <v>753</v>
      </c>
      <c r="D589" s="8"/>
      <c r="E589" s="8"/>
      <c r="F589" s="8"/>
      <c r="G589" s="8"/>
      <c r="H589" s="8"/>
      <c r="I589" s="8"/>
      <c r="J589" s="23"/>
      <c r="K589" s="157"/>
      <c r="L589" s="157"/>
      <c r="M589" s="141"/>
      <c r="N589" s="141"/>
      <c r="O589" s="141"/>
    </row>
    <row r="590" spans="1:15" ht="14.25">
      <c r="A590" s="10"/>
      <c r="B590" s="10" t="s">
        <v>754</v>
      </c>
      <c r="C590" s="27" t="s">
        <v>386</v>
      </c>
      <c r="D590" s="8" t="s">
        <v>171</v>
      </c>
      <c r="E590" s="8">
        <v>1</v>
      </c>
      <c r="F590" s="18">
        <v>5</v>
      </c>
      <c r="G590" s="18">
        <v>1</v>
      </c>
      <c r="H590" s="18"/>
      <c r="I590" s="18"/>
      <c r="J590" s="17">
        <f>E590*F590*G590</f>
        <v>5</v>
      </c>
      <c r="K590" s="157"/>
      <c r="L590" s="157"/>
      <c r="M590" s="141"/>
      <c r="N590" s="141"/>
      <c r="O590" s="141"/>
    </row>
    <row r="591" spans="1:15" ht="14.25">
      <c r="A591" s="10"/>
      <c r="B591" s="10"/>
      <c r="C591" s="9"/>
      <c r="D591" s="8"/>
      <c r="E591" s="8"/>
      <c r="F591" s="8"/>
      <c r="G591" s="8"/>
      <c r="H591" s="8"/>
      <c r="I591" s="8"/>
      <c r="J591" s="23"/>
      <c r="K591" s="157"/>
      <c r="L591" s="157"/>
      <c r="M591" s="141"/>
      <c r="N591" s="141"/>
      <c r="O591" s="141"/>
    </row>
    <row r="592" spans="1:15" ht="27" customHeight="1">
      <c r="A592" s="10" t="s">
        <v>324</v>
      </c>
      <c r="B592" s="10" t="s">
        <v>755</v>
      </c>
      <c r="C592" s="9" t="s">
        <v>756</v>
      </c>
      <c r="D592" s="8"/>
      <c r="E592" s="8"/>
      <c r="F592" s="8"/>
      <c r="G592" s="8"/>
      <c r="H592" s="8"/>
      <c r="I592" s="8"/>
      <c r="J592" s="23"/>
      <c r="K592" s="157"/>
      <c r="L592" s="157"/>
      <c r="M592" s="141"/>
      <c r="N592" s="141"/>
      <c r="O592" s="141"/>
    </row>
    <row r="593" spans="1:15" ht="33.6" customHeight="1">
      <c r="A593" s="10"/>
      <c r="B593" s="10" t="s">
        <v>757</v>
      </c>
      <c r="C593" s="9" t="s">
        <v>758</v>
      </c>
      <c r="D593" s="8" t="s">
        <v>743</v>
      </c>
      <c r="E593" s="8"/>
      <c r="F593" s="8"/>
      <c r="G593" s="8"/>
      <c r="H593" s="8"/>
      <c r="I593" s="8"/>
      <c r="J593" s="23">
        <v>4</v>
      </c>
      <c r="K593" s="157"/>
      <c r="L593" s="157"/>
      <c r="M593" s="141"/>
      <c r="N593" s="141"/>
      <c r="O593" s="141"/>
    </row>
    <row r="594" spans="1:15" ht="14.25">
      <c r="A594" s="10"/>
      <c r="B594" s="10"/>
      <c r="C594" s="9"/>
      <c r="D594" s="8"/>
      <c r="E594" s="8"/>
      <c r="F594" s="8"/>
      <c r="G594" s="8"/>
      <c r="H594" s="8"/>
      <c r="I594" s="8"/>
      <c r="J594" s="23"/>
      <c r="K594" s="157"/>
      <c r="L594" s="157"/>
      <c r="M594" s="141"/>
      <c r="N594" s="141"/>
      <c r="O594" s="141"/>
    </row>
    <row r="595" spans="1:15" ht="14.25">
      <c r="A595" s="10"/>
      <c r="B595" s="10"/>
      <c r="C595" s="9"/>
      <c r="D595" s="8"/>
      <c r="E595" s="8"/>
      <c r="F595" s="18"/>
      <c r="G595" s="18"/>
      <c r="H595" s="18"/>
      <c r="I595" s="65"/>
      <c r="J595" s="17"/>
      <c r="K595" s="157"/>
      <c r="L595" s="157"/>
      <c r="M595" s="141"/>
      <c r="N595" s="141"/>
      <c r="O595" s="141"/>
    </row>
    <row r="596" spans="1:15" ht="25.5">
      <c r="A596" s="10" t="s">
        <v>329</v>
      </c>
      <c r="B596" s="10" t="s">
        <v>399</v>
      </c>
      <c r="C596" s="27" t="s">
        <v>400</v>
      </c>
      <c r="D596" s="18"/>
      <c r="E596" s="8"/>
      <c r="F596" s="18"/>
      <c r="G596" s="18"/>
      <c r="H596" s="18"/>
      <c r="I596" s="65"/>
      <c r="J596" s="17"/>
      <c r="K596" s="157"/>
      <c r="L596" s="157"/>
      <c r="M596" s="141"/>
      <c r="N596" s="141"/>
      <c r="O596" s="141"/>
    </row>
    <row r="597" spans="1:15" ht="14.25">
      <c r="A597" s="10"/>
      <c r="B597" s="10" t="s">
        <v>401</v>
      </c>
      <c r="C597" s="27" t="s">
        <v>402</v>
      </c>
      <c r="D597" s="18"/>
      <c r="E597" s="8"/>
      <c r="F597" s="18"/>
      <c r="G597" s="18"/>
      <c r="H597" s="18"/>
      <c r="I597" s="65"/>
      <c r="J597" s="17"/>
      <c r="K597" s="157"/>
      <c r="L597" s="157"/>
      <c r="M597" s="141"/>
      <c r="N597" s="141"/>
      <c r="O597" s="141"/>
    </row>
    <row r="598" spans="1:15" ht="25.5">
      <c r="A598" s="10"/>
      <c r="B598" s="10" t="s">
        <v>403</v>
      </c>
      <c r="C598" s="27" t="s">
        <v>404</v>
      </c>
      <c r="D598" s="18" t="s">
        <v>171</v>
      </c>
      <c r="E598" s="8"/>
      <c r="F598" s="18"/>
      <c r="G598" s="18"/>
      <c r="H598" s="18"/>
      <c r="I598" s="65"/>
      <c r="J598" s="17"/>
      <c r="K598" s="157"/>
      <c r="L598" s="157"/>
      <c r="M598" s="141"/>
      <c r="N598" s="141"/>
      <c r="O598" s="141"/>
    </row>
    <row r="599" spans="1:15" ht="14.25">
      <c r="A599" s="10"/>
      <c r="B599" s="10"/>
      <c r="C599" s="26" t="s">
        <v>759</v>
      </c>
      <c r="D599" s="8" t="s">
        <v>171</v>
      </c>
      <c r="E599" s="8"/>
      <c r="F599" s="8"/>
      <c r="G599" s="8"/>
      <c r="H599" s="8"/>
      <c r="I599" s="8"/>
      <c r="J599" s="23">
        <v>6</v>
      </c>
      <c r="K599" s="157"/>
      <c r="L599" s="157"/>
      <c r="M599" s="141"/>
      <c r="N599" s="141"/>
      <c r="O599" s="141"/>
    </row>
    <row r="600" spans="1:15" ht="14.25">
      <c r="A600" s="10"/>
      <c r="B600" s="10"/>
      <c r="C600" s="26" t="s">
        <v>760</v>
      </c>
      <c r="D600" s="8" t="s">
        <v>171</v>
      </c>
      <c r="E600" s="8"/>
      <c r="F600" s="8"/>
      <c r="G600" s="8"/>
      <c r="H600" s="8"/>
      <c r="I600" s="8"/>
      <c r="J600" s="23">
        <v>1</v>
      </c>
      <c r="K600" s="157"/>
      <c r="L600" s="157"/>
      <c r="M600" s="141"/>
      <c r="N600" s="141"/>
      <c r="O600" s="141"/>
    </row>
    <row r="601" spans="1:15" ht="14.25">
      <c r="A601" s="10"/>
      <c r="B601" s="10"/>
      <c r="C601" s="26" t="s">
        <v>761</v>
      </c>
      <c r="D601" s="8" t="s">
        <v>171</v>
      </c>
      <c r="E601" s="8"/>
      <c r="F601" s="8"/>
      <c r="G601" s="8"/>
      <c r="H601" s="8"/>
      <c r="I601" s="8"/>
      <c r="J601" s="23">
        <v>1</v>
      </c>
      <c r="K601" s="157"/>
      <c r="L601" s="157"/>
      <c r="M601" s="141"/>
      <c r="N601" s="141"/>
      <c r="O601" s="141"/>
    </row>
    <row r="602" spans="1:15" ht="14.25">
      <c r="A602" s="10" t="s">
        <v>471</v>
      </c>
      <c r="B602" s="10"/>
      <c r="C602" s="27"/>
      <c r="D602" s="8"/>
      <c r="E602" s="8"/>
      <c r="F602" s="8"/>
      <c r="G602" s="8"/>
      <c r="H602" s="8"/>
      <c r="I602" s="8" t="s">
        <v>491</v>
      </c>
      <c r="J602" s="23">
        <f>SUM(J599:J601)</f>
        <v>8</v>
      </c>
      <c r="K602" s="157"/>
      <c r="L602" s="157"/>
      <c r="M602" s="141"/>
      <c r="N602" s="141"/>
      <c r="O602" s="141"/>
    </row>
    <row r="603" spans="1:15" ht="14.25">
      <c r="A603" s="10" t="s">
        <v>471</v>
      </c>
      <c r="B603" s="10"/>
      <c r="C603" s="9"/>
      <c r="D603" s="8"/>
      <c r="E603" s="8"/>
      <c r="F603" s="18"/>
      <c r="G603" s="18"/>
      <c r="H603" s="18"/>
      <c r="I603" s="65"/>
      <c r="J603" s="17"/>
      <c r="K603" s="157"/>
      <c r="L603" s="157"/>
      <c r="M603" s="141"/>
      <c r="N603" s="141"/>
      <c r="O603" s="141"/>
    </row>
    <row r="604" spans="1:15" ht="51">
      <c r="A604" s="10" t="s">
        <v>332</v>
      </c>
      <c r="B604" s="10" t="s">
        <v>405</v>
      </c>
      <c r="C604" s="27" t="s">
        <v>406</v>
      </c>
      <c r="D604" s="18" t="s">
        <v>171</v>
      </c>
      <c r="E604" s="18"/>
      <c r="F604" s="18"/>
      <c r="G604" s="18"/>
      <c r="H604" s="18"/>
      <c r="I604" s="18"/>
      <c r="J604" s="17">
        <v>5</v>
      </c>
      <c r="K604" s="157"/>
      <c r="L604" s="157"/>
      <c r="M604" s="141"/>
      <c r="N604" s="141"/>
      <c r="O604" s="141"/>
    </row>
    <row r="605" spans="1:15" ht="14.25">
      <c r="A605" s="10"/>
      <c r="B605" s="10"/>
      <c r="C605" s="27"/>
      <c r="D605" s="18"/>
      <c r="E605" s="18"/>
      <c r="F605" s="18"/>
      <c r="G605" s="18"/>
      <c r="H605" s="18"/>
      <c r="I605" s="18"/>
      <c r="J605" s="17"/>
      <c r="K605" s="157"/>
      <c r="L605" s="157"/>
      <c r="M605" s="141"/>
      <c r="N605" s="141"/>
      <c r="O605" s="141"/>
    </row>
    <row r="606" spans="1:15" ht="14.25">
      <c r="A606" s="10"/>
      <c r="B606" s="10"/>
      <c r="C606" s="27"/>
      <c r="D606" s="8"/>
      <c r="E606" s="8"/>
      <c r="F606" s="8"/>
      <c r="G606" s="8"/>
      <c r="H606" s="8"/>
      <c r="I606" s="8"/>
      <c r="J606" s="64"/>
      <c r="K606" s="157"/>
      <c r="L606" s="157"/>
      <c r="M606" s="141"/>
      <c r="N606" s="141"/>
      <c r="O606" s="141"/>
    </row>
    <row r="607" spans="1:15" ht="76.5">
      <c r="A607" s="10" t="s">
        <v>335</v>
      </c>
      <c r="B607" s="10" t="s">
        <v>407</v>
      </c>
      <c r="C607" s="27" t="s">
        <v>408</v>
      </c>
      <c r="D607" s="8"/>
      <c r="E607" s="8"/>
      <c r="F607" s="8"/>
      <c r="G607" s="8"/>
      <c r="H607" s="8"/>
      <c r="I607" s="8"/>
      <c r="J607" s="64"/>
      <c r="K607" s="157"/>
      <c r="L607" s="157"/>
      <c r="M607" s="141"/>
      <c r="N607" s="141"/>
      <c r="O607" s="141"/>
    </row>
    <row r="608" spans="1:15" ht="14.25">
      <c r="A608" s="10" t="s">
        <v>683</v>
      </c>
      <c r="B608" s="10" t="s">
        <v>409</v>
      </c>
      <c r="C608" s="27" t="s">
        <v>410</v>
      </c>
      <c r="D608" s="8"/>
      <c r="E608" s="8"/>
      <c r="F608" s="8"/>
      <c r="G608" s="8"/>
      <c r="H608" s="8"/>
      <c r="I608" s="8"/>
      <c r="J608" s="64"/>
      <c r="K608" s="157"/>
      <c r="L608" s="157"/>
      <c r="M608" s="141"/>
      <c r="N608" s="141"/>
      <c r="O608" s="141"/>
    </row>
    <row r="609" spans="1:15" ht="25.5">
      <c r="A609" s="10"/>
      <c r="B609" s="10" t="s">
        <v>762</v>
      </c>
      <c r="C609" s="27" t="s">
        <v>392</v>
      </c>
      <c r="D609" s="18" t="s">
        <v>171</v>
      </c>
      <c r="E609" s="18">
        <v>1</v>
      </c>
      <c r="F609" s="18">
        <v>1</v>
      </c>
      <c r="G609" s="18">
        <v>5</v>
      </c>
      <c r="H609" s="18"/>
      <c r="I609" s="18"/>
      <c r="J609" s="17">
        <f>G609*F609*E609</f>
        <v>5</v>
      </c>
      <c r="K609" s="157"/>
      <c r="L609" s="157"/>
      <c r="M609" s="141"/>
      <c r="N609" s="141"/>
      <c r="O609" s="141"/>
    </row>
    <row r="610" spans="1:15" ht="14.25">
      <c r="A610" s="10"/>
      <c r="B610" s="10"/>
      <c r="C610" s="27"/>
      <c r="D610" s="8"/>
      <c r="E610" s="8"/>
      <c r="F610" s="8"/>
      <c r="G610" s="8"/>
      <c r="H610" s="8"/>
      <c r="I610" s="8"/>
      <c r="J610" s="64"/>
      <c r="K610" s="157"/>
      <c r="L610" s="157"/>
      <c r="M610" s="141"/>
      <c r="N610" s="141"/>
      <c r="O610" s="141"/>
    </row>
    <row r="611" spans="1:15" ht="151.5" customHeight="1">
      <c r="A611" s="10" t="s">
        <v>340</v>
      </c>
      <c r="B611" s="10" t="s">
        <v>411</v>
      </c>
      <c r="C611" s="27" t="s">
        <v>763</v>
      </c>
      <c r="D611" s="8"/>
      <c r="E611" s="8"/>
      <c r="F611" s="8"/>
      <c r="G611" s="8"/>
      <c r="H611" s="8"/>
      <c r="I611" s="8"/>
      <c r="J611" s="64"/>
      <c r="K611" s="157"/>
      <c r="L611" s="157"/>
      <c r="M611" s="141"/>
      <c r="N611" s="141"/>
      <c r="O611" s="141"/>
    </row>
    <row r="612" spans="1:15" ht="63.75">
      <c r="A612" s="10"/>
      <c r="B612" s="10" t="s">
        <v>412</v>
      </c>
      <c r="C612" s="27" t="s">
        <v>413</v>
      </c>
      <c r="D612" s="8"/>
      <c r="E612" s="8"/>
      <c r="F612" s="8"/>
      <c r="G612" s="8"/>
      <c r="H612" s="8"/>
      <c r="I612" s="8"/>
      <c r="J612" s="64"/>
      <c r="K612" s="157"/>
      <c r="L612" s="157"/>
      <c r="M612" s="141"/>
      <c r="N612" s="141"/>
      <c r="O612" s="141"/>
    </row>
    <row r="613" spans="1:15" ht="25.5">
      <c r="A613" s="10"/>
      <c r="B613" s="10" t="s">
        <v>764</v>
      </c>
      <c r="C613" s="27" t="s">
        <v>392</v>
      </c>
      <c r="D613" s="18" t="s">
        <v>171</v>
      </c>
      <c r="E613" s="18"/>
      <c r="F613" s="18">
        <v>1</v>
      </c>
      <c r="G613" s="18">
        <v>5</v>
      </c>
      <c r="H613" s="18"/>
      <c r="I613" s="18"/>
      <c r="J613" s="17">
        <f>F613*G613</f>
        <v>5</v>
      </c>
      <c r="K613" s="157"/>
      <c r="L613" s="157"/>
      <c r="M613" s="141"/>
      <c r="N613" s="141"/>
      <c r="O613" s="141"/>
    </row>
    <row r="614" spans="1:15" ht="14.25">
      <c r="A614" s="10"/>
      <c r="B614" s="10"/>
      <c r="C614" s="27"/>
      <c r="D614" s="8"/>
      <c r="E614" s="8"/>
      <c r="F614" s="8"/>
      <c r="G614" s="8"/>
      <c r="H614" s="8"/>
      <c r="I614" s="8"/>
      <c r="J614" s="23"/>
      <c r="K614" s="157"/>
      <c r="L614" s="157"/>
      <c r="M614" s="141"/>
      <c r="N614" s="141"/>
      <c r="O614" s="141"/>
    </row>
    <row r="615" spans="1:15" ht="14.25">
      <c r="A615" s="10" t="s">
        <v>345</v>
      </c>
      <c r="B615" s="10" t="s">
        <v>414</v>
      </c>
      <c r="C615" s="27" t="s">
        <v>415</v>
      </c>
      <c r="D615" s="8"/>
      <c r="E615" s="8"/>
      <c r="F615" s="8"/>
      <c r="G615" s="8"/>
      <c r="H615" s="8"/>
      <c r="I615" s="8"/>
      <c r="J615" s="23"/>
      <c r="K615" s="157"/>
      <c r="L615" s="157"/>
      <c r="M615" s="141"/>
      <c r="N615" s="141"/>
      <c r="O615" s="141"/>
    </row>
    <row r="616" spans="1:15" ht="14.25">
      <c r="A616" s="10" t="s">
        <v>683</v>
      </c>
      <c r="B616" s="10" t="s">
        <v>417</v>
      </c>
      <c r="C616" s="27" t="s">
        <v>418</v>
      </c>
      <c r="D616" s="8"/>
      <c r="E616" s="8"/>
      <c r="F616" s="8"/>
      <c r="G616" s="8"/>
      <c r="H616" s="8"/>
      <c r="I616" s="8"/>
      <c r="J616" s="23"/>
      <c r="K616" s="157"/>
      <c r="L616" s="157"/>
      <c r="M616" s="141"/>
      <c r="N616" s="141"/>
      <c r="O616" s="141"/>
    </row>
    <row r="617" spans="1:15" ht="25.5">
      <c r="A617" s="10"/>
      <c r="B617" s="10" t="s">
        <v>419</v>
      </c>
      <c r="C617" s="27" t="s">
        <v>392</v>
      </c>
      <c r="D617" s="8" t="s">
        <v>416</v>
      </c>
      <c r="E617" s="8"/>
      <c r="F617" s="18">
        <v>9</v>
      </c>
      <c r="G617" s="18">
        <v>0.5</v>
      </c>
      <c r="H617" s="18"/>
      <c r="I617" s="18"/>
      <c r="J617" s="17">
        <f>F617*G617</f>
        <v>4.5</v>
      </c>
      <c r="K617" s="157"/>
      <c r="L617" s="157"/>
      <c r="M617" s="141"/>
      <c r="N617" s="141"/>
      <c r="O617" s="141"/>
    </row>
    <row r="618" spans="1:15" ht="14.25">
      <c r="A618" s="10"/>
      <c r="B618" s="10"/>
      <c r="C618" s="9"/>
      <c r="D618" s="8"/>
      <c r="E618" s="8"/>
      <c r="F618" s="8"/>
      <c r="G618" s="8"/>
      <c r="H618" s="8"/>
      <c r="I618" s="8"/>
      <c r="J618" s="23"/>
      <c r="K618" s="157"/>
      <c r="L618" s="157"/>
      <c r="M618" s="141"/>
      <c r="N618" s="141"/>
      <c r="O618" s="141"/>
    </row>
    <row r="619" spans="1:15" ht="210.6" customHeight="1">
      <c r="A619" s="10" t="s">
        <v>346</v>
      </c>
      <c r="B619" s="10" t="s">
        <v>420</v>
      </c>
      <c r="C619" s="27" t="s">
        <v>765</v>
      </c>
      <c r="D619" s="8"/>
      <c r="E619" s="8"/>
      <c r="F619" s="8"/>
      <c r="G619" s="8"/>
      <c r="H619" s="8"/>
      <c r="I619" s="8"/>
      <c r="J619" s="62"/>
      <c r="K619" s="157"/>
      <c r="L619" s="157"/>
      <c r="M619" s="141"/>
      <c r="N619" s="141"/>
      <c r="O619" s="141"/>
    </row>
    <row r="620" spans="1:15" ht="14.25">
      <c r="A620" s="10" t="s">
        <v>84</v>
      </c>
      <c r="B620" s="10" t="s">
        <v>766</v>
      </c>
      <c r="C620" s="27" t="s">
        <v>767</v>
      </c>
      <c r="D620" s="8" t="s">
        <v>471</v>
      </c>
      <c r="E620" s="8"/>
      <c r="F620" s="8"/>
      <c r="G620" s="14"/>
      <c r="H620" s="63"/>
      <c r="I620" s="8"/>
      <c r="J620" s="32"/>
      <c r="K620" s="157"/>
      <c r="L620" s="157"/>
      <c r="M620" s="141"/>
      <c r="N620" s="141"/>
      <c r="O620" s="141"/>
    </row>
    <row r="621" spans="1:15" ht="31.5" customHeight="1">
      <c r="A621" s="10" t="s">
        <v>135</v>
      </c>
      <c r="B621" s="10"/>
      <c r="C621" s="27"/>
      <c r="D621" s="8"/>
      <c r="E621" s="8"/>
      <c r="F621" s="8"/>
      <c r="G621" s="14"/>
      <c r="H621" s="63"/>
      <c r="I621" s="8"/>
      <c r="J621" s="32"/>
      <c r="K621" s="157"/>
      <c r="L621" s="157"/>
      <c r="M621" s="141"/>
      <c r="N621" s="141"/>
      <c r="O621" s="141"/>
    </row>
    <row r="622" spans="1:15" ht="25.5">
      <c r="A622" s="10"/>
      <c r="B622" s="10"/>
      <c r="C622" s="26" t="s">
        <v>768</v>
      </c>
      <c r="D622" s="8" t="s">
        <v>769</v>
      </c>
      <c r="E622" s="8"/>
      <c r="F622" s="8">
        <v>1</v>
      </c>
      <c r="G622" s="14">
        <f>J641</f>
        <v>49.14</v>
      </c>
      <c r="H622" s="63" t="s">
        <v>770</v>
      </c>
      <c r="I622" s="8"/>
      <c r="J622" s="32">
        <f>G622*F622*8</f>
        <v>393.12</v>
      </c>
      <c r="K622" s="157"/>
      <c r="L622" s="157"/>
      <c r="M622" s="141"/>
      <c r="N622" s="141"/>
      <c r="O622" s="141"/>
    </row>
    <row r="623" spans="1:15" ht="14.25">
      <c r="A623" s="10"/>
      <c r="B623" s="10"/>
      <c r="C623" s="26"/>
      <c r="D623" s="8"/>
      <c r="E623" s="8"/>
      <c r="F623" s="8"/>
      <c r="G623" s="14"/>
      <c r="H623" s="63"/>
      <c r="I623" s="8"/>
      <c r="J623" s="32"/>
      <c r="K623" s="157"/>
      <c r="L623" s="157"/>
      <c r="M623" s="141"/>
      <c r="N623" s="141"/>
      <c r="O623" s="141"/>
    </row>
    <row r="624" spans="1:15" ht="14.25">
      <c r="A624" s="10"/>
      <c r="B624" s="10"/>
      <c r="C624" s="26"/>
      <c r="D624" s="8"/>
      <c r="E624" s="8"/>
      <c r="F624" s="8"/>
      <c r="G624" s="14"/>
      <c r="H624" s="63"/>
      <c r="I624" s="8" t="s">
        <v>491</v>
      </c>
      <c r="J624" s="32">
        <f>SUM(J622:J623)</f>
        <v>393.12</v>
      </c>
      <c r="K624" s="157"/>
      <c r="L624" s="157"/>
      <c r="M624" s="141"/>
      <c r="N624" s="141"/>
      <c r="O624" s="141"/>
    </row>
    <row r="625" spans="1:15" ht="14.25">
      <c r="A625" s="10"/>
      <c r="B625" s="10"/>
      <c r="C625" s="9"/>
      <c r="D625" s="8"/>
      <c r="E625" s="8"/>
      <c r="F625" s="8"/>
      <c r="G625" s="8"/>
      <c r="H625" s="8"/>
      <c r="I625" s="24" t="s">
        <v>492</v>
      </c>
      <c r="J625" s="23">
        <f>J624</f>
        <v>393.12</v>
      </c>
      <c r="K625" s="157"/>
      <c r="L625" s="157"/>
      <c r="M625" s="141"/>
      <c r="N625" s="141"/>
      <c r="O625" s="141"/>
    </row>
    <row r="626" spans="1:15" ht="67.5" customHeight="1">
      <c r="A626" s="10" t="s">
        <v>87</v>
      </c>
      <c r="B626" s="10" t="s">
        <v>424</v>
      </c>
      <c r="C626" s="27" t="s">
        <v>425</v>
      </c>
      <c r="D626" s="8"/>
      <c r="E626" s="8"/>
      <c r="F626" s="8"/>
      <c r="G626" s="8"/>
      <c r="H626" s="8"/>
      <c r="I626" s="8"/>
      <c r="J626" s="62"/>
      <c r="K626" s="157"/>
      <c r="L626" s="157"/>
      <c r="M626" s="141"/>
      <c r="N626" s="141"/>
      <c r="O626" s="141"/>
    </row>
    <row r="627" spans="1:15" ht="25.5">
      <c r="A627" s="10" t="s">
        <v>135</v>
      </c>
      <c r="B627" s="10" t="s">
        <v>426</v>
      </c>
      <c r="C627" s="27" t="s">
        <v>423</v>
      </c>
      <c r="D627" s="8" t="s">
        <v>771</v>
      </c>
      <c r="E627" s="8"/>
      <c r="F627" s="8" t="s">
        <v>471</v>
      </c>
      <c r="G627" s="14">
        <f>J640</f>
        <v>49.14</v>
      </c>
      <c r="H627" s="63"/>
      <c r="I627" s="8"/>
      <c r="J627" s="32"/>
      <c r="K627" s="157"/>
      <c r="L627" s="157"/>
      <c r="M627" s="141"/>
      <c r="N627" s="141"/>
      <c r="O627" s="141"/>
    </row>
    <row r="628" spans="1:15" ht="14.25">
      <c r="A628" s="10"/>
      <c r="B628" s="10"/>
      <c r="C628" s="26" t="s">
        <v>871</v>
      </c>
      <c r="D628" s="8" t="s">
        <v>518</v>
      </c>
      <c r="E628" s="8">
        <v>1</v>
      </c>
      <c r="F628" s="8">
        <v>15</v>
      </c>
      <c r="G628" s="8">
        <v>1.8</v>
      </c>
      <c r="H628" s="8">
        <v>1</v>
      </c>
      <c r="I628" s="8"/>
      <c r="J628" s="14">
        <f>H628*G628*F628*E628</f>
        <v>27</v>
      </c>
      <c r="K628" s="157"/>
      <c r="L628" s="157"/>
      <c r="M628" s="141"/>
      <c r="N628" s="141"/>
      <c r="O628" s="141"/>
    </row>
    <row r="629" spans="1:15" ht="14.25">
      <c r="A629" s="10"/>
      <c r="B629" s="10"/>
      <c r="C629" s="26" t="s">
        <v>872</v>
      </c>
      <c r="D629" s="8" t="s">
        <v>518</v>
      </c>
      <c r="E629" s="8">
        <v>5</v>
      </c>
      <c r="F629" s="8">
        <v>0.6</v>
      </c>
      <c r="G629" s="8">
        <v>0.45</v>
      </c>
      <c r="H629" s="8">
        <v>1</v>
      </c>
      <c r="I629" s="8"/>
      <c r="J629" s="14">
        <f>H629*G629*F629*E629</f>
        <v>1.35</v>
      </c>
      <c r="K629" s="157"/>
      <c r="L629" s="157"/>
      <c r="M629" s="141"/>
      <c r="N629" s="141"/>
      <c r="O629" s="141"/>
    </row>
    <row r="630" spans="1:15" ht="14.25">
      <c r="A630" s="10"/>
      <c r="B630" s="10"/>
      <c r="C630" s="26" t="s">
        <v>873</v>
      </c>
      <c r="D630" s="8" t="s">
        <v>518</v>
      </c>
      <c r="E630" s="8">
        <v>11</v>
      </c>
      <c r="F630" s="8">
        <v>0.9</v>
      </c>
      <c r="G630" s="8">
        <v>2.1</v>
      </c>
      <c r="H630" s="8">
        <v>1</v>
      </c>
      <c r="I630" s="8"/>
      <c r="J630" s="14">
        <f>H630*G630*F630*E630</f>
        <v>20.790000000000003</v>
      </c>
      <c r="K630" s="157"/>
      <c r="L630" s="157"/>
      <c r="M630" s="141"/>
      <c r="N630" s="141"/>
      <c r="O630" s="141"/>
    </row>
    <row r="631" spans="1:15" ht="14.25">
      <c r="A631" s="10"/>
      <c r="B631" s="10"/>
      <c r="C631" s="27"/>
      <c r="D631" s="8"/>
      <c r="E631" s="8"/>
      <c r="F631" s="8"/>
      <c r="G631" s="14"/>
      <c r="H631" s="63"/>
      <c r="I631" s="8"/>
      <c r="J631" s="32"/>
      <c r="K631" s="157"/>
      <c r="L631" s="157"/>
      <c r="M631" s="141"/>
      <c r="N631" s="141"/>
      <c r="O631" s="141"/>
    </row>
    <row r="632" spans="1:15" ht="14.25">
      <c r="A632" s="10"/>
      <c r="B632" s="10"/>
      <c r="C632" s="9"/>
      <c r="D632" s="8"/>
      <c r="E632" s="8"/>
      <c r="F632" s="8"/>
      <c r="G632" s="8"/>
      <c r="H632" s="8"/>
      <c r="I632" s="24" t="s">
        <v>492</v>
      </c>
      <c r="J632" s="23">
        <f>SUM(J628:J631)</f>
        <v>49.14</v>
      </c>
      <c r="K632" s="157"/>
      <c r="L632" s="157"/>
      <c r="M632" s="141"/>
      <c r="N632" s="141"/>
      <c r="O632" s="141"/>
    </row>
    <row r="633" spans="1:15" ht="76.5">
      <c r="A633" s="10" t="s">
        <v>346</v>
      </c>
      <c r="B633" s="10" t="s">
        <v>427</v>
      </c>
      <c r="C633" s="27" t="s">
        <v>772</v>
      </c>
      <c r="D633" s="8"/>
      <c r="E633" s="8"/>
      <c r="F633" s="8"/>
      <c r="G633" s="8"/>
      <c r="H633" s="8"/>
      <c r="I633" s="8"/>
      <c r="J633" s="62"/>
      <c r="K633" s="157"/>
      <c r="L633" s="157"/>
      <c r="M633" s="141"/>
      <c r="N633" s="141"/>
      <c r="O633" s="141"/>
    </row>
    <row r="634" spans="1:15" ht="25.5">
      <c r="A634" s="10" t="s">
        <v>87</v>
      </c>
      <c r="B634" s="10" t="s">
        <v>429</v>
      </c>
      <c r="C634" s="27" t="s">
        <v>874</v>
      </c>
      <c r="D634" s="8" t="s">
        <v>518</v>
      </c>
      <c r="E634" s="8"/>
      <c r="F634" s="8"/>
      <c r="G634" s="8"/>
      <c r="H634" s="8"/>
      <c r="I634" s="8"/>
      <c r="J634" s="62"/>
      <c r="K634" s="157"/>
      <c r="L634" s="157"/>
      <c r="M634" s="141"/>
      <c r="N634" s="141"/>
      <c r="O634" s="141"/>
    </row>
    <row r="635" spans="1:15" ht="14.25">
      <c r="A635" s="10"/>
      <c r="B635" s="10"/>
      <c r="C635" s="26"/>
      <c r="D635" s="8"/>
      <c r="E635" s="8" t="s">
        <v>875</v>
      </c>
      <c r="F635" s="8" t="s">
        <v>876</v>
      </c>
      <c r="G635" s="8" t="s">
        <v>877</v>
      </c>
      <c r="H635" s="8"/>
      <c r="I635" s="8"/>
      <c r="J635" s="14"/>
      <c r="K635" s="157"/>
      <c r="L635" s="157">
        <v>0.45</v>
      </c>
      <c r="M635" s="141" t="e">
        <f>E635*F635*G635*L635</f>
        <v>#VALUE!</v>
      </c>
      <c r="N635" s="141"/>
      <c r="O635" s="141"/>
    </row>
    <row r="636" spans="1:15" ht="14.25">
      <c r="A636" s="10"/>
      <c r="B636" s="10"/>
      <c r="C636" s="26" t="s">
        <v>871</v>
      </c>
      <c r="D636" s="8" t="s">
        <v>518</v>
      </c>
      <c r="E636" s="8">
        <v>1</v>
      </c>
      <c r="F636" s="8">
        <v>15</v>
      </c>
      <c r="G636" s="8">
        <v>1.8</v>
      </c>
      <c r="H636" s="8"/>
      <c r="I636" s="8">
        <v>1</v>
      </c>
      <c r="J636" s="14">
        <f>I636*G636*F636*E636</f>
        <v>27</v>
      </c>
      <c r="K636" s="157"/>
      <c r="L636" s="157">
        <v>0.45</v>
      </c>
      <c r="M636" s="141">
        <f>E636*F636*G636*L636</f>
        <v>12.15</v>
      </c>
      <c r="N636" s="141"/>
      <c r="O636" s="141"/>
    </row>
    <row r="637" spans="1:15" ht="14.25">
      <c r="A637" s="10"/>
      <c r="B637" s="10"/>
      <c r="C637" s="26" t="s">
        <v>872</v>
      </c>
      <c r="D637" s="8" t="s">
        <v>518</v>
      </c>
      <c r="E637" s="8">
        <v>5</v>
      </c>
      <c r="F637" s="8">
        <v>0.6</v>
      </c>
      <c r="G637" s="8">
        <v>0.45</v>
      </c>
      <c r="H637" s="8"/>
      <c r="I637" s="8">
        <v>1</v>
      </c>
      <c r="J637" s="14">
        <f>I637*G637*F637*E637</f>
        <v>1.35</v>
      </c>
      <c r="K637" s="157"/>
      <c r="L637" s="157"/>
      <c r="M637" s="141"/>
      <c r="N637" s="141"/>
      <c r="O637" s="141"/>
    </row>
    <row r="638" spans="1:15" ht="14.25">
      <c r="A638" s="10"/>
      <c r="B638" s="10"/>
      <c r="C638" s="26" t="s">
        <v>873</v>
      </c>
      <c r="D638" s="8" t="s">
        <v>518</v>
      </c>
      <c r="E638" s="8">
        <v>11</v>
      </c>
      <c r="F638" s="8">
        <v>0.9</v>
      </c>
      <c r="G638" s="8">
        <v>2.1</v>
      </c>
      <c r="H638" s="8"/>
      <c r="I638" s="8">
        <v>1</v>
      </c>
      <c r="J638" s="14">
        <f>I638*G638*F638*E638</f>
        <v>20.790000000000003</v>
      </c>
      <c r="K638" s="157"/>
      <c r="L638" s="157">
        <v>0.45</v>
      </c>
      <c r="M638" s="141">
        <f>E638*F638*G638*L638</f>
        <v>9.355500000000001</v>
      </c>
      <c r="N638" s="141"/>
      <c r="O638" s="141"/>
    </row>
    <row r="639" spans="1:15" ht="14.25">
      <c r="A639" s="10"/>
      <c r="B639" s="10"/>
      <c r="C639" s="26"/>
      <c r="D639" s="8"/>
      <c r="E639" s="8"/>
      <c r="F639" s="8"/>
      <c r="G639" s="8"/>
      <c r="H639" s="8"/>
      <c r="I639" s="8"/>
      <c r="J639" s="14"/>
      <c r="K639" s="157"/>
      <c r="L639" s="157">
        <v>0.45</v>
      </c>
      <c r="M639" s="141">
        <f>E639*F639*G639*L639</f>
        <v>0</v>
      </c>
      <c r="N639" s="141"/>
      <c r="O639" s="141"/>
    </row>
    <row r="640" spans="1:15" ht="14.25">
      <c r="A640" s="10"/>
      <c r="B640" s="10"/>
      <c r="C640" s="9"/>
      <c r="D640" s="8"/>
      <c r="E640" s="8"/>
      <c r="F640" s="8"/>
      <c r="G640" s="8"/>
      <c r="H640" s="8"/>
      <c r="I640" s="23" t="s">
        <v>491</v>
      </c>
      <c r="J640" s="32">
        <f>SUM(J635:J639)</f>
        <v>49.14</v>
      </c>
      <c r="K640" s="157"/>
      <c r="L640" s="157"/>
      <c r="M640" s="141"/>
      <c r="N640" s="141"/>
      <c r="O640" s="141"/>
    </row>
    <row r="641" spans="1:15" ht="14.25">
      <c r="A641" s="10"/>
      <c r="B641" s="10"/>
      <c r="C641" s="9"/>
      <c r="D641" s="8"/>
      <c r="E641" s="8"/>
      <c r="F641" s="8"/>
      <c r="G641" s="8"/>
      <c r="H641" s="8"/>
      <c r="I641" s="23" t="s">
        <v>492</v>
      </c>
      <c r="J641" s="32">
        <f>J640</f>
        <v>49.14</v>
      </c>
      <c r="K641" s="157"/>
      <c r="L641" s="157"/>
      <c r="M641" s="141"/>
      <c r="N641" s="141"/>
      <c r="O641" s="141"/>
    </row>
    <row r="642" spans="1:15" ht="14.25">
      <c r="A642" s="10"/>
      <c r="B642" s="10"/>
      <c r="C642" s="9"/>
      <c r="D642" s="8"/>
      <c r="E642" s="8"/>
      <c r="F642" s="8"/>
      <c r="G642" s="8"/>
      <c r="H642" s="8"/>
      <c r="I642" s="8"/>
      <c r="J642" s="62"/>
      <c r="K642" s="157"/>
      <c r="L642" s="157"/>
      <c r="M642" s="141"/>
      <c r="N642" s="141"/>
      <c r="O642" s="141"/>
    </row>
    <row r="643" spans="1:15" ht="63.75">
      <c r="A643" s="10" t="s">
        <v>357</v>
      </c>
      <c r="B643" s="10" t="s">
        <v>430</v>
      </c>
      <c r="C643" s="27" t="s">
        <v>431</v>
      </c>
      <c r="D643" s="8"/>
      <c r="E643" s="8"/>
      <c r="F643" s="8"/>
      <c r="G643" s="8"/>
      <c r="H643" s="8"/>
      <c r="I643" s="8"/>
      <c r="J643" s="62"/>
      <c r="K643" s="157"/>
      <c r="L643" s="157"/>
      <c r="M643" s="141"/>
      <c r="N643" s="141"/>
      <c r="O643" s="141"/>
    </row>
    <row r="644" spans="1:15" ht="14.25">
      <c r="A644" s="10"/>
      <c r="B644" s="10" t="s">
        <v>432</v>
      </c>
      <c r="C644" s="27" t="s">
        <v>433</v>
      </c>
      <c r="D644" s="8" t="s">
        <v>650</v>
      </c>
      <c r="E644" s="8"/>
      <c r="F644" s="8"/>
      <c r="G644" s="8"/>
      <c r="H644" s="8"/>
      <c r="I644" s="8"/>
      <c r="J644" s="62"/>
      <c r="K644" s="157"/>
      <c r="L644" s="157"/>
      <c r="M644" s="141"/>
      <c r="N644" s="141"/>
      <c r="O644" s="141"/>
    </row>
    <row r="645" spans="1:15" ht="14.25">
      <c r="A645" s="10"/>
      <c r="B645" s="10"/>
      <c r="C645" s="26"/>
      <c r="D645" s="8"/>
      <c r="E645" s="8" t="s">
        <v>875</v>
      </c>
      <c r="F645" s="8" t="s">
        <v>876</v>
      </c>
      <c r="G645" s="8" t="s">
        <v>877</v>
      </c>
      <c r="H645" s="8"/>
      <c r="I645" s="8"/>
      <c r="J645" s="14"/>
      <c r="K645" s="157"/>
      <c r="L645" s="157"/>
      <c r="M645" s="141"/>
      <c r="N645" s="141"/>
      <c r="O645" s="141"/>
    </row>
    <row r="646" spans="1:15" ht="14.25">
      <c r="A646" s="10"/>
      <c r="B646" s="10"/>
      <c r="C646" s="26" t="s">
        <v>871</v>
      </c>
      <c r="D646" s="8"/>
      <c r="E646" s="8">
        <v>1</v>
      </c>
      <c r="F646" s="8">
        <v>15</v>
      </c>
      <c r="G646" s="8">
        <v>1.8</v>
      </c>
      <c r="H646" s="8">
        <f>1.5+1.5+1.8+1.8</f>
        <v>6.6</v>
      </c>
      <c r="I646" s="8">
        <v>1</v>
      </c>
      <c r="J646" s="14">
        <f>I646*H646*E646</f>
        <v>6.6</v>
      </c>
      <c r="K646" s="157"/>
      <c r="L646" s="157"/>
      <c r="M646" s="141"/>
      <c r="N646" s="141"/>
      <c r="O646" s="141"/>
    </row>
    <row r="647" spans="1:15" ht="14.25">
      <c r="A647" s="10"/>
      <c r="B647" s="10"/>
      <c r="C647" s="26" t="s">
        <v>872</v>
      </c>
      <c r="D647" s="8"/>
      <c r="E647" s="8">
        <v>6</v>
      </c>
      <c r="F647" s="8">
        <v>0.6</v>
      </c>
      <c r="G647" s="8">
        <v>0.45</v>
      </c>
      <c r="H647" s="8">
        <f>0.6+0.6+0.45+0.45</f>
        <v>2.1</v>
      </c>
      <c r="I647" s="8">
        <v>1</v>
      </c>
      <c r="J647" s="14">
        <f>I647*H647*E647</f>
        <v>12.600000000000001</v>
      </c>
      <c r="K647" s="157"/>
      <c r="L647" s="157"/>
      <c r="M647" s="141"/>
      <c r="N647" s="141"/>
      <c r="O647" s="141"/>
    </row>
    <row r="648" spans="1:15" ht="14.25">
      <c r="A648" s="10"/>
      <c r="B648" s="10"/>
      <c r="C648" s="26" t="s">
        <v>873</v>
      </c>
      <c r="D648" s="8"/>
      <c r="E648" s="8">
        <v>11</v>
      </c>
      <c r="F648" s="8">
        <v>0.9</v>
      </c>
      <c r="G648" s="8">
        <v>2.1</v>
      </c>
      <c r="H648" s="8">
        <f>2.1+2.1+0.9</f>
        <v>5.1000000000000005</v>
      </c>
      <c r="I648" s="8">
        <v>1</v>
      </c>
      <c r="J648" s="14">
        <f>I648*H648*E648</f>
        <v>56.100000000000009</v>
      </c>
      <c r="K648" s="157"/>
      <c r="L648" s="157"/>
      <c r="M648" s="141"/>
      <c r="N648" s="141"/>
      <c r="O648" s="141"/>
    </row>
    <row r="649" spans="1:15" ht="14.25">
      <c r="A649" s="10"/>
      <c r="B649" s="10"/>
      <c r="C649" s="9"/>
      <c r="D649" s="8"/>
      <c r="E649" s="8"/>
      <c r="F649" s="8"/>
      <c r="G649" s="8"/>
      <c r="H649" s="8"/>
      <c r="I649" s="23" t="s">
        <v>491</v>
      </c>
      <c r="J649" s="32">
        <f>SUM(J645:J648)</f>
        <v>75.300000000000011</v>
      </c>
      <c r="K649" s="157"/>
      <c r="L649" s="157"/>
      <c r="M649" s="141"/>
      <c r="N649" s="141"/>
      <c r="O649" s="141"/>
    </row>
    <row r="650" spans="1:15" ht="14.25">
      <c r="A650" s="37" t="s">
        <v>471</v>
      </c>
      <c r="B650" s="37"/>
      <c r="C650" s="58"/>
      <c r="D650" s="50"/>
      <c r="E650" s="50"/>
      <c r="F650" s="50"/>
      <c r="G650" s="50"/>
      <c r="H650" s="50"/>
      <c r="I650" s="57" t="s">
        <v>492</v>
      </c>
      <c r="J650" s="56">
        <f>J649</f>
        <v>75.300000000000011</v>
      </c>
      <c r="K650" s="157"/>
      <c r="L650" s="157"/>
      <c r="M650" s="141"/>
      <c r="N650" s="141"/>
      <c r="O650" s="141"/>
    </row>
    <row r="651" spans="1:15" ht="14.25">
      <c r="A651" s="37"/>
      <c r="B651" s="37"/>
      <c r="C651" s="58"/>
      <c r="D651" s="50"/>
      <c r="E651" s="50"/>
      <c r="F651" s="50"/>
      <c r="G651" s="50"/>
      <c r="H651" s="50"/>
      <c r="I651" s="57"/>
      <c r="J651" s="56"/>
      <c r="K651" s="157"/>
      <c r="L651" s="157"/>
      <c r="M651" s="141"/>
      <c r="N651" s="141"/>
      <c r="O651" s="141"/>
    </row>
    <row r="652" spans="1:15" ht="38.25">
      <c r="A652" s="37" t="s">
        <v>362</v>
      </c>
      <c r="B652" s="61" t="s">
        <v>434</v>
      </c>
      <c r="C652" s="60" t="s">
        <v>435</v>
      </c>
      <c r="D652" s="59"/>
      <c r="E652" s="50"/>
      <c r="F652" s="50"/>
      <c r="G652" s="50"/>
      <c r="H652" s="50"/>
      <c r="I652" s="57"/>
      <c r="J652" s="56"/>
      <c r="K652" s="157"/>
      <c r="L652" s="157"/>
      <c r="M652" s="141"/>
      <c r="N652" s="141"/>
      <c r="O652" s="141"/>
    </row>
    <row r="653" spans="1:15" ht="25.5">
      <c r="A653" s="37"/>
      <c r="B653" s="61" t="s">
        <v>436</v>
      </c>
      <c r="C653" s="60" t="s">
        <v>437</v>
      </c>
      <c r="D653" s="59" t="s">
        <v>171</v>
      </c>
      <c r="E653" s="50"/>
      <c r="F653" s="50"/>
      <c r="G653" s="50"/>
      <c r="H653" s="50"/>
      <c r="I653" s="57"/>
      <c r="J653" s="56"/>
      <c r="K653" s="157"/>
      <c r="L653" s="157"/>
      <c r="M653" s="141"/>
      <c r="N653" s="141"/>
      <c r="O653" s="141"/>
    </row>
    <row r="654" spans="1:15" ht="14.25">
      <c r="A654" s="37"/>
      <c r="B654" s="37"/>
      <c r="C654" s="58"/>
      <c r="D654" s="50"/>
      <c r="E654" s="50"/>
      <c r="F654" s="50"/>
      <c r="G654" s="50"/>
      <c r="H654" s="50"/>
      <c r="I654" s="23" t="s">
        <v>491</v>
      </c>
      <c r="J654" s="56">
        <v>80</v>
      </c>
      <c r="K654" s="157"/>
      <c r="L654" s="157"/>
      <c r="M654" s="141"/>
      <c r="N654" s="141"/>
      <c r="O654" s="141"/>
    </row>
    <row r="655" spans="1:15" ht="14.25">
      <c r="A655" s="37"/>
      <c r="B655" s="37"/>
      <c r="C655" s="58"/>
      <c r="D655" s="50"/>
      <c r="E655" s="50"/>
      <c r="F655" s="50"/>
      <c r="G655" s="50"/>
      <c r="H655" s="50"/>
      <c r="I655" s="57" t="s">
        <v>492</v>
      </c>
      <c r="J655" s="56"/>
      <c r="K655" s="157"/>
      <c r="L655" s="157"/>
      <c r="M655" s="141"/>
      <c r="N655" s="141"/>
      <c r="O655" s="141"/>
    </row>
    <row r="656" spans="1:15" ht="14.25">
      <c r="A656" s="37"/>
      <c r="B656" s="37"/>
      <c r="C656" s="58"/>
      <c r="D656" s="50"/>
      <c r="E656" s="50"/>
      <c r="F656" s="50"/>
      <c r="G656" s="50"/>
      <c r="H656" s="50"/>
      <c r="I656" s="57"/>
      <c r="J656" s="56"/>
      <c r="K656" s="157"/>
      <c r="L656" s="157"/>
      <c r="M656" s="141"/>
      <c r="N656" s="141"/>
      <c r="O656" s="141"/>
    </row>
    <row r="657" spans="1:15" ht="38.25">
      <c r="A657" s="37" t="s">
        <v>369</v>
      </c>
      <c r="B657" s="52">
        <v>22.5</v>
      </c>
      <c r="C657" s="55" t="s">
        <v>779</v>
      </c>
      <c r="D657" s="50"/>
      <c r="E657" s="50"/>
      <c r="F657" s="50"/>
      <c r="G657" s="50"/>
      <c r="H657" s="50"/>
      <c r="I657" s="50"/>
      <c r="J657" s="49"/>
      <c r="K657" s="157"/>
      <c r="L657" s="157"/>
      <c r="M657" s="141"/>
      <c r="N657" s="141"/>
      <c r="O657" s="141"/>
    </row>
    <row r="658" spans="1:15" ht="51">
      <c r="A658" s="39"/>
      <c r="B658" s="47" t="s">
        <v>471</v>
      </c>
      <c r="C658" s="54" t="s">
        <v>780</v>
      </c>
      <c r="D658" s="45"/>
      <c r="E658" s="45"/>
      <c r="F658" s="45"/>
      <c r="G658" s="45"/>
      <c r="H658" s="45"/>
      <c r="I658" s="45"/>
      <c r="J658" s="44"/>
      <c r="K658" s="157"/>
      <c r="L658" s="157"/>
      <c r="M658" s="141"/>
      <c r="N658" s="141"/>
      <c r="O658" s="141"/>
    </row>
    <row r="659" spans="1:15" ht="51">
      <c r="A659" s="39"/>
      <c r="B659" s="47" t="s">
        <v>471</v>
      </c>
      <c r="C659" s="54" t="s">
        <v>781</v>
      </c>
      <c r="D659" s="45"/>
      <c r="E659" s="45"/>
      <c r="F659" s="45"/>
      <c r="G659" s="45"/>
      <c r="H659" s="45"/>
      <c r="I659" s="45"/>
      <c r="J659" s="44"/>
      <c r="K659" s="157"/>
      <c r="L659" s="157"/>
      <c r="M659" s="141"/>
      <c r="N659" s="141"/>
      <c r="O659" s="141"/>
    </row>
    <row r="660" spans="1:15" ht="25.5">
      <c r="A660" s="39"/>
      <c r="B660" s="47"/>
      <c r="C660" s="54" t="s">
        <v>782</v>
      </c>
      <c r="D660" s="45"/>
      <c r="E660" s="45"/>
      <c r="F660" s="45"/>
      <c r="G660" s="45"/>
      <c r="H660" s="45"/>
      <c r="I660" s="45"/>
      <c r="J660" s="44"/>
      <c r="K660" s="157"/>
      <c r="L660" s="157"/>
      <c r="M660" s="141"/>
      <c r="N660" s="141"/>
      <c r="O660" s="141"/>
    </row>
    <row r="661" spans="1:15" ht="38.25">
      <c r="A661" s="38"/>
      <c r="B661" s="43"/>
      <c r="C661" s="53" t="s">
        <v>783</v>
      </c>
      <c r="D661" s="41"/>
      <c r="E661" s="41"/>
      <c r="F661" s="41"/>
      <c r="G661" s="41"/>
      <c r="H661" s="41"/>
      <c r="I661" s="41"/>
      <c r="J661" s="40"/>
      <c r="K661" s="157"/>
      <c r="L661" s="157"/>
      <c r="M661" s="141"/>
      <c r="N661" s="141"/>
      <c r="O661" s="141"/>
    </row>
    <row r="662" spans="1:15" ht="14.25">
      <c r="A662" s="10"/>
      <c r="B662" s="10"/>
      <c r="C662" s="26" t="s">
        <v>878</v>
      </c>
      <c r="D662" s="8"/>
      <c r="E662" s="8"/>
      <c r="F662" s="8"/>
      <c r="G662" s="8"/>
      <c r="H662" s="8"/>
      <c r="I662" s="8"/>
      <c r="J662" s="14">
        <v>18.75</v>
      </c>
      <c r="K662" s="157"/>
      <c r="L662" s="157"/>
      <c r="M662" s="141"/>
      <c r="N662" s="141"/>
      <c r="O662" s="141"/>
    </row>
    <row r="663" spans="1:15" ht="14.25">
      <c r="A663" s="10"/>
      <c r="B663" s="10"/>
      <c r="C663" s="26"/>
      <c r="D663" s="8"/>
      <c r="E663" s="8">
        <v>5</v>
      </c>
      <c r="F663" s="8">
        <v>1.2</v>
      </c>
      <c r="G663" s="8">
        <v>2.1</v>
      </c>
      <c r="H663" s="8"/>
      <c r="I663" s="8"/>
      <c r="J663" s="14">
        <f>G663*F663*E663</f>
        <v>12.6</v>
      </c>
      <c r="K663" s="157"/>
      <c r="L663" s="157"/>
      <c r="M663" s="141"/>
      <c r="N663" s="141"/>
      <c r="O663" s="141"/>
    </row>
    <row r="664" spans="1:15" ht="14.25">
      <c r="A664" s="10"/>
      <c r="B664" s="10"/>
      <c r="C664" s="9"/>
      <c r="D664" s="8"/>
      <c r="E664" s="8"/>
      <c r="F664" s="8"/>
      <c r="G664" s="8"/>
      <c r="H664" s="8"/>
      <c r="I664" s="23" t="s">
        <v>491</v>
      </c>
      <c r="J664" s="32">
        <f>SUM(J662:J663)</f>
        <v>31.35</v>
      </c>
      <c r="K664" s="157"/>
      <c r="L664" s="157"/>
      <c r="M664" s="141"/>
      <c r="N664" s="141"/>
      <c r="O664" s="141"/>
    </row>
    <row r="665" spans="1:15" ht="14.25">
      <c r="A665" s="10"/>
      <c r="B665" s="10"/>
      <c r="C665" s="9"/>
      <c r="D665" s="8"/>
      <c r="E665" s="8"/>
      <c r="F665" s="8"/>
      <c r="G665" s="8"/>
      <c r="H665" s="8"/>
      <c r="I665" s="24" t="s">
        <v>492</v>
      </c>
      <c r="J665" s="23">
        <f>J664</f>
        <v>31.35</v>
      </c>
      <c r="K665" s="157"/>
      <c r="L665" s="157"/>
      <c r="M665" s="141"/>
      <c r="N665" s="141"/>
      <c r="O665" s="141"/>
    </row>
    <row r="666" spans="1:15" ht="51">
      <c r="A666" s="10" t="s">
        <v>373</v>
      </c>
      <c r="B666" s="52">
        <v>22.7</v>
      </c>
      <c r="C666" s="51" t="s">
        <v>788</v>
      </c>
      <c r="D666" s="50"/>
      <c r="E666" s="50"/>
      <c r="F666" s="50"/>
      <c r="G666" s="50"/>
      <c r="H666" s="50"/>
      <c r="I666" s="50"/>
      <c r="J666" s="49"/>
      <c r="K666" s="157"/>
      <c r="L666" s="157"/>
      <c r="M666" s="141"/>
      <c r="N666" s="141"/>
      <c r="O666" s="141"/>
    </row>
    <row r="667" spans="1:15" ht="76.5">
      <c r="A667" s="10"/>
      <c r="B667" s="47"/>
      <c r="C667" s="48" t="s">
        <v>789</v>
      </c>
      <c r="D667" s="45"/>
      <c r="E667" s="45"/>
      <c r="F667" s="45"/>
      <c r="G667" s="45"/>
      <c r="H667" s="45"/>
      <c r="I667" s="45"/>
      <c r="J667" s="44"/>
      <c r="K667" s="157"/>
      <c r="L667" s="157"/>
      <c r="M667" s="141"/>
      <c r="N667" s="141"/>
      <c r="O667" s="141"/>
    </row>
    <row r="668" spans="1:15" ht="140.25">
      <c r="A668" s="10"/>
      <c r="B668" s="47"/>
      <c r="C668" s="48" t="s">
        <v>438</v>
      </c>
      <c r="D668" s="45"/>
      <c r="E668" s="45"/>
      <c r="F668" s="45"/>
      <c r="G668" s="45"/>
      <c r="H668" s="45"/>
      <c r="I668" s="45"/>
      <c r="J668" s="44"/>
      <c r="K668" s="157"/>
      <c r="L668" s="157"/>
      <c r="M668" s="141"/>
      <c r="N668" s="141"/>
      <c r="O668" s="141"/>
    </row>
    <row r="669" spans="1:15" ht="51">
      <c r="A669" s="10"/>
      <c r="B669" s="47"/>
      <c r="C669" s="46" t="s">
        <v>790</v>
      </c>
      <c r="D669" s="45"/>
      <c r="E669" s="45"/>
      <c r="F669" s="45"/>
      <c r="G669" s="45"/>
      <c r="H669" s="45"/>
      <c r="I669" s="45"/>
      <c r="J669" s="44"/>
      <c r="K669" s="157"/>
      <c r="L669" s="157"/>
      <c r="M669" s="141"/>
      <c r="N669" s="141"/>
      <c r="O669" s="141"/>
    </row>
    <row r="670" spans="1:15" ht="76.5">
      <c r="A670" s="10"/>
      <c r="B670" s="47"/>
      <c r="C670" s="46" t="s">
        <v>791</v>
      </c>
      <c r="D670" s="45"/>
      <c r="E670" s="45"/>
      <c r="F670" s="45"/>
      <c r="G670" s="45"/>
      <c r="H670" s="45"/>
      <c r="I670" s="45"/>
      <c r="J670" s="44"/>
      <c r="K670" s="157"/>
      <c r="L670" s="157"/>
      <c r="M670" s="141"/>
      <c r="N670" s="141"/>
      <c r="O670" s="141"/>
    </row>
    <row r="671" spans="1:15" ht="51">
      <c r="A671" s="37" t="s">
        <v>471</v>
      </c>
      <c r="B671" s="43"/>
      <c r="C671" s="42" t="s">
        <v>439</v>
      </c>
      <c r="D671" s="41"/>
      <c r="E671" s="41"/>
      <c r="F671" s="41"/>
      <c r="G671" s="41"/>
      <c r="H671" s="41"/>
      <c r="I671" s="41"/>
      <c r="J671" s="40"/>
      <c r="K671" s="157"/>
      <c r="L671" s="157"/>
      <c r="M671" s="141"/>
      <c r="N671" s="141"/>
      <c r="O671" s="141"/>
    </row>
    <row r="672" spans="1:15" ht="25.5">
      <c r="A672" s="39"/>
      <c r="B672" s="10" t="s">
        <v>440</v>
      </c>
      <c r="C672" s="9" t="s">
        <v>441</v>
      </c>
      <c r="D672" s="8" t="s">
        <v>525</v>
      </c>
      <c r="E672" s="8"/>
      <c r="F672" s="8" t="s">
        <v>471</v>
      </c>
      <c r="G672" s="8" t="s">
        <v>471</v>
      </c>
      <c r="H672" s="8" t="s">
        <v>471</v>
      </c>
      <c r="I672" s="8"/>
      <c r="J672" s="14" t="s">
        <v>471</v>
      </c>
      <c r="K672" s="157"/>
      <c r="L672" s="157"/>
      <c r="M672" s="141"/>
      <c r="N672" s="141"/>
      <c r="O672" s="141"/>
    </row>
    <row r="673" spans="1:15" ht="14.25">
      <c r="A673" s="39"/>
      <c r="B673" s="10"/>
      <c r="C673" s="26" t="s">
        <v>792</v>
      </c>
      <c r="D673" s="8" t="s">
        <v>525</v>
      </c>
      <c r="E673" s="8"/>
      <c r="F673" s="8"/>
      <c r="G673" s="8"/>
      <c r="H673" s="8"/>
      <c r="I673" s="8"/>
      <c r="J673" s="14">
        <v>210</v>
      </c>
      <c r="K673" s="157"/>
      <c r="L673" s="157"/>
      <c r="M673" s="141"/>
      <c r="N673" s="141"/>
      <c r="O673" s="141"/>
    </row>
    <row r="674" spans="1:15" ht="14.25">
      <c r="A674" s="10"/>
      <c r="B674" s="10"/>
      <c r="C674" s="9"/>
      <c r="D674" s="8"/>
      <c r="E674" s="8"/>
      <c r="F674" s="8"/>
      <c r="G674" s="8" t="s">
        <v>471</v>
      </c>
      <c r="H674" s="8" t="s">
        <v>471</v>
      </c>
      <c r="I674" s="23" t="s">
        <v>491</v>
      </c>
      <c r="J674" s="32">
        <f>SUM(J673:J673)</f>
        <v>210</v>
      </c>
      <c r="K674" s="157"/>
      <c r="L674" s="157"/>
      <c r="M674" s="141"/>
      <c r="N674" s="141"/>
      <c r="O674" s="141"/>
    </row>
    <row r="675" spans="1:15" ht="14.25">
      <c r="A675" s="10"/>
      <c r="B675" s="10"/>
      <c r="C675" s="9"/>
      <c r="D675" s="8"/>
      <c r="E675" s="8"/>
      <c r="F675" s="8"/>
      <c r="G675" s="8"/>
      <c r="H675" s="8"/>
      <c r="I675" s="24" t="s">
        <v>492</v>
      </c>
      <c r="J675" s="23">
        <f>J674</f>
        <v>210</v>
      </c>
      <c r="K675" s="157"/>
      <c r="L675" s="157"/>
      <c r="M675" s="141"/>
      <c r="N675" s="141"/>
      <c r="O675" s="141"/>
    </row>
    <row r="676" spans="1:15" ht="14.25">
      <c r="A676" s="36"/>
      <c r="B676" s="10"/>
      <c r="C676" s="24"/>
      <c r="D676" s="24"/>
      <c r="E676" s="24"/>
      <c r="F676" s="24"/>
      <c r="G676" s="24"/>
      <c r="H676" s="24"/>
      <c r="I676" s="24"/>
      <c r="J676" s="24"/>
      <c r="K676" s="141"/>
      <c r="L676" s="141"/>
      <c r="M676" s="141"/>
      <c r="N676" s="141"/>
      <c r="O676" s="141"/>
    </row>
    <row r="677" spans="1:15" ht="26.45" customHeight="1">
      <c r="A677" s="145"/>
      <c r="B677" s="146"/>
      <c r="C677" s="588" t="s">
        <v>793</v>
      </c>
      <c r="D677" s="589"/>
      <c r="E677" s="589"/>
      <c r="F677" s="589"/>
      <c r="G677" s="589"/>
      <c r="H677" s="589"/>
      <c r="I677" s="590"/>
      <c r="J677" s="147"/>
      <c r="K677" s="141"/>
      <c r="L677" s="141"/>
      <c r="M677" s="141"/>
      <c r="N677" s="141"/>
      <c r="O677" s="141"/>
    </row>
    <row r="678" spans="1:15" ht="25.5">
      <c r="A678" s="36" t="s">
        <v>479</v>
      </c>
      <c r="B678" s="33" t="s">
        <v>794</v>
      </c>
      <c r="C678" s="24" t="s">
        <v>481</v>
      </c>
      <c r="D678" s="24" t="s">
        <v>482</v>
      </c>
      <c r="E678" s="24"/>
      <c r="F678" s="24" t="s">
        <v>483</v>
      </c>
      <c r="G678" s="24" t="s">
        <v>484</v>
      </c>
      <c r="H678" s="24" t="s">
        <v>485</v>
      </c>
      <c r="I678" s="24" t="s">
        <v>486</v>
      </c>
      <c r="J678" s="24" t="s">
        <v>795</v>
      </c>
      <c r="K678" s="141"/>
      <c r="L678" s="141"/>
      <c r="M678" s="141"/>
      <c r="N678" s="141"/>
      <c r="O678" s="141"/>
    </row>
    <row r="679" spans="1:15" ht="158.44999999999999" customHeight="1">
      <c r="A679" s="10" t="s">
        <v>30</v>
      </c>
      <c r="B679" s="10" t="s">
        <v>796</v>
      </c>
      <c r="C679" s="9" t="s">
        <v>797</v>
      </c>
      <c r="D679" s="31"/>
      <c r="E679" s="31"/>
      <c r="F679" s="31"/>
      <c r="G679" s="31"/>
      <c r="H679" s="31"/>
      <c r="I679" s="31"/>
      <c r="J679" s="34"/>
    </row>
    <row r="680" spans="1:15" ht="25.5">
      <c r="A680" s="10"/>
      <c r="B680" s="33" t="s">
        <v>683</v>
      </c>
      <c r="C680" s="27" t="s">
        <v>798</v>
      </c>
      <c r="D680" s="8" t="s">
        <v>525</v>
      </c>
      <c r="E680" s="8"/>
      <c r="F680" s="31"/>
      <c r="G680" s="31"/>
      <c r="H680" s="31"/>
      <c r="I680" s="31"/>
      <c r="J680" s="23">
        <v>211</v>
      </c>
    </row>
    <row r="681" spans="1:15">
      <c r="A681" s="10"/>
      <c r="B681" s="33"/>
      <c r="C681" s="26" t="s">
        <v>799</v>
      </c>
      <c r="D681" s="8" t="s">
        <v>525</v>
      </c>
      <c r="E681" s="8"/>
      <c r="F681" s="8"/>
      <c r="G681" s="8"/>
      <c r="H681" s="8"/>
      <c r="I681" s="8"/>
      <c r="J681" s="14">
        <f>J675</f>
        <v>210</v>
      </c>
    </row>
    <row r="682" spans="1:15">
      <c r="A682" s="10"/>
      <c r="B682" s="33"/>
      <c r="C682" s="26"/>
      <c r="D682" s="8"/>
      <c r="E682" s="8"/>
      <c r="F682" s="8"/>
      <c r="G682" s="8"/>
      <c r="H682" s="8"/>
      <c r="I682" s="8"/>
      <c r="J682" s="14"/>
    </row>
    <row r="683" spans="1:15" ht="14.25">
      <c r="A683" s="10"/>
      <c r="B683" s="33"/>
      <c r="C683" s="9"/>
      <c r="D683" s="8"/>
      <c r="E683" s="8"/>
      <c r="F683" s="8"/>
      <c r="G683" s="8"/>
      <c r="H683" s="8"/>
      <c r="I683" s="23" t="s">
        <v>491</v>
      </c>
      <c r="J683" s="32">
        <f>J681+J680</f>
        <v>421</v>
      </c>
      <c r="K683" s="174"/>
      <c r="L683" s="141"/>
      <c r="M683" s="141"/>
      <c r="N683" s="141"/>
      <c r="O683" s="141"/>
    </row>
    <row r="684" spans="1:15" ht="14.25">
      <c r="A684" s="10" t="s">
        <v>471</v>
      </c>
      <c r="B684" s="10" t="s">
        <v>471</v>
      </c>
      <c r="C684" s="27"/>
      <c r="D684" s="8"/>
      <c r="E684" s="8"/>
      <c r="F684" s="31"/>
      <c r="G684" s="31"/>
      <c r="H684" s="31"/>
      <c r="I684" s="31" t="s">
        <v>492</v>
      </c>
      <c r="J684" s="23">
        <f>J683</f>
        <v>421</v>
      </c>
      <c r="K684" s="174"/>
      <c r="L684" s="141"/>
      <c r="M684" s="141"/>
      <c r="N684" s="141"/>
      <c r="O684" s="141"/>
    </row>
    <row r="685" spans="1:15" ht="52.9" customHeight="1">
      <c r="A685" s="10" t="s">
        <v>36</v>
      </c>
      <c r="B685" s="10" t="s">
        <v>800</v>
      </c>
      <c r="C685" s="9" t="s">
        <v>801</v>
      </c>
      <c r="D685" s="18" t="s">
        <v>171</v>
      </c>
      <c r="E685" s="8"/>
      <c r="F685" s="8" t="s">
        <v>471</v>
      </c>
      <c r="G685" s="8" t="s">
        <v>471</v>
      </c>
      <c r="H685" s="8"/>
      <c r="I685" s="8"/>
      <c r="J685" s="30" t="s">
        <v>471</v>
      </c>
      <c r="K685" s="141"/>
      <c r="L685" s="141"/>
      <c r="M685" s="141"/>
      <c r="N685" s="141"/>
      <c r="O685" s="141"/>
    </row>
    <row r="686" spans="1:15" ht="14.25">
      <c r="A686" s="10"/>
      <c r="B686" s="10"/>
      <c r="C686" s="9"/>
      <c r="D686" s="8"/>
      <c r="E686" s="8"/>
      <c r="F686" s="8"/>
      <c r="G686" s="8"/>
      <c r="H686" s="8"/>
      <c r="I686" s="8" t="s">
        <v>803</v>
      </c>
      <c r="J686" s="23">
        <v>10</v>
      </c>
      <c r="K686" s="141"/>
      <c r="L686" s="141"/>
      <c r="M686" s="141"/>
      <c r="N686" s="141"/>
      <c r="O686" s="141"/>
    </row>
    <row r="687" spans="1:15" ht="14.25">
      <c r="A687" s="10"/>
      <c r="B687" s="10"/>
      <c r="C687" s="9"/>
      <c r="D687" s="8"/>
      <c r="E687" s="8"/>
      <c r="F687" s="8"/>
      <c r="G687" s="8"/>
      <c r="H687" s="8"/>
      <c r="I687" s="8"/>
      <c r="J687" s="23"/>
      <c r="K687" s="141"/>
      <c r="L687" s="141"/>
      <c r="M687" s="141"/>
      <c r="N687" s="141"/>
      <c r="O687" s="141"/>
    </row>
    <row r="688" spans="1:15" ht="127.5">
      <c r="A688" s="10" t="s">
        <v>40</v>
      </c>
      <c r="B688" s="10" t="s">
        <v>804</v>
      </c>
      <c r="C688" s="27" t="s">
        <v>805</v>
      </c>
      <c r="D688" s="18" t="s">
        <v>584</v>
      </c>
      <c r="E688" s="20"/>
      <c r="F688" s="18"/>
      <c r="G688" s="18"/>
      <c r="H688" s="18"/>
      <c r="I688" s="18"/>
      <c r="J688" s="17"/>
      <c r="K688" s="141"/>
      <c r="L688" s="141"/>
      <c r="M688" s="141"/>
      <c r="N688" s="141"/>
      <c r="O688" s="141"/>
    </row>
    <row r="689" spans="1:15" ht="14.25">
      <c r="A689" s="10"/>
      <c r="B689" s="10"/>
      <c r="C689" s="26" t="s">
        <v>878</v>
      </c>
      <c r="D689" s="8"/>
      <c r="E689" s="8"/>
      <c r="F689" s="8"/>
      <c r="G689" s="8"/>
      <c r="H689" s="8"/>
      <c r="I689" s="8"/>
      <c r="J689" s="14">
        <v>18.75</v>
      </c>
      <c r="K689" s="141"/>
      <c r="L689" s="141"/>
      <c r="M689" s="141"/>
      <c r="N689" s="141"/>
      <c r="O689" s="141"/>
    </row>
    <row r="690" spans="1:15" ht="14.25">
      <c r="A690" s="10"/>
      <c r="B690" s="10"/>
      <c r="C690" s="26"/>
      <c r="D690" s="8"/>
      <c r="E690" s="8">
        <v>5</v>
      </c>
      <c r="F690" s="8">
        <v>1.2</v>
      </c>
      <c r="G690" s="8">
        <v>2.1</v>
      </c>
      <c r="H690" s="8"/>
      <c r="I690" s="8"/>
      <c r="J690" s="14">
        <f>G690*F690*E690</f>
        <v>12.6</v>
      </c>
      <c r="K690" s="141"/>
      <c r="L690" s="141"/>
      <c r="M690" s="141"/>
      <c r="N690" s="141"/>
      <c r="O690" s="141"/>
    </row>
    <row r="691" spans="1:15" ht="14.25">
      <c r="A691" s="10" t="s">
        <v>471</v>
      </c>
      <c r="B691" s="29" t="s">
        <v>471</v>
      </c>
      <c r="C691" s="15"/>
      <c r="D691" s="8"/>
      <c r="E691" s="8"/>
      <c r="F691" s="8"/>
      <c r="G691" s="8"/>
      <c r="H691" s="8"/>
      <c r="I691" s="24" t="s">
        <v>492</v>
      </c>
      <c r="J691" s="23">
        <f>J690+J689</f>
        <v>31.35</v>
      </c>
      <c r="K691" s="141"/>
      <c r="L691" s="141"/>
      <c r="M691" s="141"/>
      <c r="N691" s="141"/>
      <c r="O691" s="141"/>
    </row>
    <row r="692" spans="1:15" ht="165.75">
      <c r="A692" s="10" t="s">
        <v>43</v>
      </c>
      <c r="B692" s="10" t="s">
        <v>806</v>
      </c>
      <c r="C692" s="27" t="s">
        <v>807</v>
      </c>
      <c r="D692" s="19"/>
      <c r="E692" s="19"/>
      <c r="F692" s="8"/>
      <c r="G692" s="8"/>
      <c r="H692" s="8"/>
      <c r="I692" s="8"/>
      <c r="J692" s="14"/>
      <c r="K692" s="175"/>
      <c r="L692" s="141"/>
      <c r="M692" s="141"/>
      <c r="N692" s="141"/>
      <c r="O692" s="141"/>
    </row>
    <row r="693" spans="1:15" ht="14.25">
      <c r="A693" s="10" t="s">
        <v>808</v>
      </c>
      <c r="B693" s="10" t="s">
        <v>84</v>
      </c>
      <c r="C693" s="9" t="s">
        <v>809</v>
      </c>
      <c r="D693" s="19" t="s">
        <v>111</v>
      </c>
      <c r="E693" s="19"/>
      <c r="F693" s="8"/>
      <c r="G693" s="8"/>
      <c r="H693" s="8"/>
      <c r="I693" s="8"/>
      <c r="J693" s="17"/>
      <c r="K693" s="175"/>
      <c r="L693" s="141"/>
      <c r="M693" s="141"/>
      <c r="N693" s="141"/>
      <c r="O693" s="141"/>
    </row>
    <row r="694" spans="1:15" ht="14.25">
      <c r="A694" s="10"/>
      <c r="B694" s="10"/>
      <c r="C694" s="9" t="s">
        <v>810</v>
      </c>
      <c r="D694" s="19"/>
      <c r="E694" s="19"/>
      <c r="F694" s="8"/>
      <c r="G694" s="8"/>
      <c r="H694" s="8"/>
      <c r="I694" s="8"/>
      <c r="J694" s="17">
        <v>20</v>
      </c>
      <c r="K694" s="175"/>
      <c r="L694" s="141"/>
      <c r="M694" s="141"/>
      <c r="N694" s="141"/>
      <c r="O694" s="141"/>
    </row>
    <row r="695" spans="1:15" ht="14.25">
      <c r="A695" s="10"/>
      <c r="B695" s="10"/>
      <c r="C695" s="9" t="s">
        <v>811</v>
      </c>
      <c r="D695" s="19"/>
      <c r="E695" s="19"/>
      <c r="F695" s="8"/>
      <c r="G695" s="8"/>
      <c r="H695" s="8"/>
      <c r="I695" s="8"/>
      <c r="J695" s="17">
        <v>10</v>
      </c>
      <c r="K695" s="175"/>
      <c r="L695" s="141"/>
      <c r="M695" s="141"/>
      <c r="N695" s="141"/>
      <c r="O695" s="141"/>
    </row>
    <row r="696" spans="1:15" ht="14.25">
      <c r="A696" s="10"/>
      <c r="B696" s="10"/>
      <c r="C696" s="9"/>
      <c r="D696" s="19"/>
      <c r="E696" s="19"/>
      <c r="F696" s="8"/>
      <c r="G696" s="8"/>
      <c r="H696" s="8"/>
      <c r="I696" s="8" t="s">
        <v>491</v>
      </c>
      <c r="J696" s="17">
        <f>SUM(J694:J695)</f>
        <v>30</v>
      </c>
      <c r="K696" s="175"/>
      <c r="L696" s="141"/>
      <c r="M696" s="141"/>
      <c r="N696" s="141"/>
      <c r="O696" s="141"/>
    </row>
    <row r="697" spans="1:15" ht="14.25">
      <c r="A697" s="10"/>
      <c r="B697" s="10"/>
      <c r="C697" s="9"/>
      <c r="D697" s="19"/>
      <c r="E697" s="19"/>
      <c r="F697" s="8"/>
      <c r="G697" s="8"/>
      <c r="H697" s="8"/>
      <c r="I697" s="8"/>
      <c r="J697" s="17"/>
      <c r="K697" s="175"/>
      <c r="L697" s="141"/>
      <c r="M697" s="141"/>
      <c r="N697" s="141"/>
      <c r="O697" s="141"/>
    </row>
    <row r="698" spans="1:15" ht="14.25">
      <c r="A698" s="10" t="s">
        <v>812</v>
      </c>
      <c r="B698" s="10" t="s">
        <v>87</v>
      </c>
      <c r="C698" s="9" t="s">
        <v>813</v>
      </c>
      <c r="D698" s="19"/>
      <c r="E698" s="19"/>
      <c r="F698" s="8"/>
      <c r="G698" s="8"/>
      <c r="H698" s="8"/>
      <c r="I698" s="8"/>
      <c r="J698" s="17"/>
      <c r="K698" s="175"/>
      <c r="L698" s="141"/>
      <c r="M698" s="141"/>
      <c r="N698" s="141"/>
      <c r="O698" s="141"/>
    </row>
    <row r="699" spans="1:15" ht="14.25">
      <c r="A699" s="10"/>
      <c r="B699" s="10"/>
      <c r="C699" s="9" t="s">
        <v>810</v>
      </c>
      <c r="D699" s="19" t="s">
        <v>111</v>
      </c>
      <c r="E699" s="19"/>
      <c r="F699" s="8"/>
      <c r="G699" s="8"/>
      <c r="H699" s="8"/>
      <c r="I699" s="8"/>
      <c r="J699" s="22">
        <v>20</v>
      </c>
      <c r="K699" s="175"/>
      <c r="L699" s="141"/>
      <c r="M699" s="141"/>
      <c r="N699" s="141"/>
      <c r="O699" s="141"/>
    </row>
    <row r="700" spans="1:15" ht="14.25">
      <c r="A700" s="10"/>
      <c r="B700" s="10"/>
      <c r="C700" s="9" t="s">
        <v>811</v>
      </c>
      <c r="D700" s="19" t="s">
        <v>111</v>
      </c>
      <c r="E700" s="19"/>
      <c r="F700" s="8"/>
      <c r="G700" s="8"/>
      <c r="H700" s="8"/>
      <c r="I700" s="8"/>
      <c r="J700" s="22">
        <v>10</v>
      </c>
      <c r="K700" s="175"/>
      <c r="L700" s="141"/>
      <c r="M700" s="141"/>
      <c r="N700" s="141"/>
      <c r="O700" s="141"/>
    </row>
    <row r="701" spans="1:15" ht="14.25">
      <c r="A701" s="10"/>
      <c r="B701" s="10"/>
      <c r="C701" s="9"/>
      <c r="D701" s="19"/>
      <c r="E701" s="19"/>
      <c r="F701" s="8"/>
      <c r="G701" s="8"/>
      <c r="H701" s="8"/>
      <c r="I701" s="8"/>
      <c r="J701" s="22"/>
      <c r="K701" s="175"/>
      <c r="L701" s="141"/>
      <c r="M701" s="141"/>
      <c r="N701" s="141"/>
      <c r="O701" s="141"/>
    </row>
    <row r="702" spans="1:15" ht="14.25">
      <c r="A702" s="10"/>
      <c r="B702" s="10"/>
      <c r="C702" s="9"/>
      <c r="D702" s="19"/>
      <c r="E702" s="19"/>
      <c r="F702" s="8"/>
      <c r="G702" s="8"/>
      <c r="H702" s="8"/>
      <c r="I702" s="8"/>
      <c r="J702" s="22"/>
      <c r="K702" s="175"/>
      <c r="L702" s="141"/>
      <c r="M702" s="141"/>
      <c r="N702" s="141"/>
      <c r="O702" s="141"/>
    </row>
    <row r="703" spans="1:15" ht="14.25">
      <c r="A703" s="10"/>
      <c r="B703" s="10"/>
      <c r="C703" s="9"/>
      <c r="D703" s="19"/>
      <c r="E703" s="19"/>
      <c r="F703" s="8"/>
      <c r="G703" s="8"/>
      <c r="H703" s="8"/>
      <c r="I703" s="8" t="s">
        <v>491</v>
      </c>
      <c r="J703" s="17">
        <f>SUM(J699:J702)</f>
        <v>30</v>
      </c>
      <c r="K703" s="175"/>
      <c r="L703" s="141"/>
      <c r="M703" s="141"/>
      <c r="N703" s="141"/>
      <c r="O703" s="141"/>
    </row>
    <row r="704" spans="1:15" ht="14.25">
      <c r="A704" s="10"/>
      <c r="B704" s="10"/>
      <c r="C704" s="9"/>
      <c r="D704" s="19"/>
      <c r="E704" s="19"/>
      <c r="F704" s="8"/>
      <c r="G704" s="8"/>
      <c r="H704" s="8"/>
      <c r="I704" s="8"/>
      <c r="J704" s="17"/>
      <c r="K704" s="175"/>
      <c r="L704" s="141"/>
      <c r="M704" s="141"/>
      <c r="N704" s="141"/>
      <c r="O704" s="141"/>
    </row>
    <row r="705" spans="1:15" ht="14.25">
      <c r="A705" s="10" t="s">
        <v>816</v>
      </c>
      <c r="B705" s="10" t="s">
        <v>89</v>
      </c>
      <c r="C705" s="9" t="s">
        <v>817</v>
      </c>
      <c r="D705" s="19"/>
      <c r="E705" s="19"/>
      <c r="F705" s="18"/>
      <c r="G705" s="18"/>
      <c r="H705" s="18"/>
      <c r="I705" s="18"/>
      <c r="J705" s="17"/>
      <c r="K705" s="175"/>
      <c r="L705" s="141"/>
      <c r="M705" s="141"/>
      <c r="N705" s="141"/>
      <c r="O705" s="141"/>
    </row>
    <row r="706" spans="1:15" ht="14.25">
      <c r="A706" s="10"/>
      <c r="B706" s="10"/>
      <c r="C706" s="9"/>
      <c r="D706" s="19" t="s">
        <v>111</v>
      </c>
      <c r="E706" s="19"/>
      <c r="F706" s="8"/>
      <c r="G706" s="8"/>
      <c r="H706" s="8"/>
      <c r="I706" s="8"/>
      <c r="J706" s="22">
        <v>50</v>
      </c>
      <c r="K706" s="175"/>
      <c r="L706" s="141"/>
      <c r="M706" s="141"/>
      <c r="N706" s="141"/>
      <c r="O706" s="141"/>
    </row>
    <row r="707" spans="1:15" ht="14.25">
      <c r="A707" s="10"/>
      <c r="B707" s="10"/>
      <c r="C707" s="9"/>
      <c r="D707" s="19" t="s">
        <v>111</v>
      </c>
      <c r="E707" s="19"/>
      <c r="F707" s="8"/>
      <c r="G707" s="8"/>
      <c r="H707" s="8"/>
      <c r="I707" s="8"/>
      <c r="J707" s="22"/>
      <c r="K707" s="175"/>
      <c r="L707" s="141"/>
      <c r="M707" s="141"/>
      <c r="N707" s="141"/>
      <c r="O707" s="141"/>
    </row>
    <row r="708" spans="1:15" ht="14.25">
      <c r="A708" s="10"/>
      <c r="B708" s="10"/>
      <c r="C708" s="9"/>
      <c r="D708" s="19"/>
      <c r="E708" s="19"/>
      <c r="F708" s="8"/>
      <c r="G708" s="8"/>
      <c r="H708" s="8"/>
      <c r="I708" s="8"/>
      <c r="J708" s="22"/>
      <c r="K708" s="175"/>
      <c r="L708" s="141"/>
      <c r="M708" s="141"/>
      <c r="N708" s="141"/>
      <c r="O708" s="141"/>
    </row>
    <row r="709" spans="1:15" ht="14.25">
      <c r="A709" s="10"/>
      <c r="B709" s="10"/>
      <c r="C709" s="9"/>
      <c r="D709" s="19"/>
      <c r="E709" s="19"/>
      <c r="F709" s="8"/>
      <c r="G709" s="8"/>
      <c r="H709" s="8"/>
      <c r="I709" s="8" t="s">
        <v>491</v>
      </c>
      <c r="J709" s="17">
        <f>SUM(J706:J707)</f>
        <v>50</v>
      </c>
      <c r="K709" s="175"/>
      <c r="L709" s="141"/>
      <c r="M709" s="141"/>
      <c r="N709" s="141"/>
      <c r="O709" s="141"/>
    </row>
    <row r="710" spans="1:15" ht="14.25">
      <c r="A710" s="10"/>
      <c r="B710" s="10"/>
      <c r="C710" s="9"/>
      <c r="D710" s="19"/>
      <c r="E710" s="19"/>
      <c r="F710" s="8"/>
      <c r="G710" s="8"/>
      <c r="H710" s="8"/>
      <c r="I710" s="8"/>
      <c r="J710" s="17"/>
      <c r="K710" s="175"/>
      <c r="L710" s="141"/>
      <c r="M710" s="141"/>
      <c r="N710" s="141"/>
      <c r="O710" s="141"/>
    </row>
    <row r="711" spans="1:15" ht="14.25">
      <c r="A711" s="10"/>
      <c r="B711" s="10"/>
      <c r="C711" s="9"/>
      <c r="D711" s="19"/>
      <c r="E711" s="19"/>
      <c r="F711" s="8"/>
      <c r="G711" s="8"/>
      <c r="H711" s="8"/>
      <c r="I711" s="8"/>
      <c r="J711" s="17"/>
      <c r="K711" s="175"/>
      <c r="L711" s="141"/>
      <c r="M711" s="141"/>
      <c r="N711" s="141"/>
      <c r="O711" s="141"/>
    </row>
    <row r="712" spans="1:15" ht="102">
      <c r="A712" s="10" t="s">
        <v>48</v>
      </c>
      <c r="B712" s="10" t="s">
        <v>818</v>
      </c>
      <c r="C712" s="9" t="s">
        <v>819</v>
      </c>
      <c r="D712" s="19"/>
      <c r="E712" s="19"/>
      <c r="F712" s="18"/>
      <c r="G712" s="18"/>
      <c r="H712" s="8"/>
      <c r="I712" s="8"/>
      <c r="J712" s="17"/>
      <c r="K712" s="175"/>
      <c r="L712" s="141"/>
      <c r="M712" s="141"/>
      <c r="N712" s="141"/>
      <c r="O712" s="141"/>
    </row>
    <row r="713" spans="1:15" ht="14.25">
      <c r="A713" s="10"/>
      <c r="B713" s="10"/>
      <c r="C713" s="26" t="s">
        <v>820</v>
      </c>
      <c r="D713" s="19" t="s">
        <v>171</v>
      </c>
      <c r="E713" s="19">
        <v>12</v>
      </c>
      <c r="F713" s="18"/>
      <c r="G713" s="18"/>
      <c r="H713" s="8"/>
      <c r="I713" s="8"/>
      <c r="J713" s="22">
        <f>E713</f>
        <v>12</v>
      </c>
      <c r="K713" s="175"/>
      <c r="L713" s="141"/>
      <c r="M713" s="141"/>
      <c r="N713" s="141"/>
      <c r="O713" s="141"/>
    </row>
    <row r="714" spans="1:15" ht="14.25">
      <c r="A714" s="10"/>
      <c r="B714" s="10"/>
      <c r="C714" s="26" t="s">
        <v>821</v>
      </c>
      <c r="D714" s="19" t="s">
        <v>171</v>
      </c>
      <c r="E714" s="19">
        <v>1</v>
      </c>
      <c r="F714" s="18">
        <v>1</v>
      </c>
      <c r="G714" s="18">
        <v>1</v>
      </c>
      <c r="H714" s="8"/>
      <c r="I714" s="8"/>
      <c r="J714" s="22">
        <f>E714*F714*G714</f>
        <v>1</v>
      </c>
      <c r="K714" s="175"/>
      <c r="L714" s="141"/>
      <c r="M714" s="141"/>
      <c r="N714" s="141"/>
      <c r="O714" s="141"/>
    </row>
    <row r="715" spans="1:15" ht="14.25">
      <c r="A715" s="10"/>
      <c r="B715" s="10"/>
      <c r="C715" s="9"/>
      <c r="D715" s="19"/>
      <c r="E715" s="19"/>
      <c r="F715" s="18"/>
      <c r="G715" s="18"/>
      <c r="H715" s="8"/>
      <c r="I715" s="8" t="s">
        <v>491</v>
      </c>
      <c r="J715" s="17">
        <f>SUM(J713:J714)</f>
        <v>13</v>
      </c>
      <c r="K715" s="175"/>
      <c r="L715" s="141"/>
      <c r="M715" s="141"/>
      <c r="N715" s="141"/>
      <c r="O715" s="141"/>
    </row>
    <row r="716" spans="1:15" ht="14.25">
      <c r="A716" s="10"/>
      <c r="B716" s="10"/>
      <c r="C716" s="9"/>
      <c r="D716" s="19"/>
      <c r="E716" s="19"/>
      <c r="F716" s="18"/>
      <c r="G716" s="18"/>
      <c r="H716" s="8"/>
      <c r="I716" s="8"/>
      <c r="J716" s="17"/>
      <c r="K716" s="175"/>
      <c r="L716" s="141"/>
      <c r="M716" s="141"/>
      <c r="N716" s="141"/>
      <c r="O716" s="141"/>
    </row>
    <row r="717" spans="1:15" ht="51">
      <c r="A717" s="10" t="s">
        <v>51</v>
      </c>
      <c r="B717" s="10" t="s">
        <v>822</v>
      </c>
      <c r="C717" s="9" t="s">
        <v>823</v>
      </c>
      <c r="D717" s="8"/>
      <c r="E717" s="8"/>
      <c r="F717" s="8"/>
      <c r="G717" s="8"/>
      <c r="H717" s="8"/>
      <c r="I717" s="8"/>
      <c r="J717" s="14"/>
      <c r="K717" s="175"/>
      <c r="L717" s="141"/>
      <c r="M717" s="141"/>
      <c r="N717" s="141"/>
      <c r="O717" s="141"/>
    </row>
    <row r="718" spans="1:15" ht="25.5">
      <c r="A718" s="10"/>
      <c r="B718" s="10"/>
      <c r="C718" s="9" t="s">
        <v>824</v>
      </c>
      <c r="D718" s="8" t="s">
        <v>525</v>
      </c>
      <c r="E718" s="8">
        <v>15</v>
      </c>
      <c r="F718" s="8">
        <v>1.5</v>
      </c>
      <c r="G718" s="8">
        <v>1.8</v>
      </c>
      <c r="H718" s="8">
        <v>1</v>
      </c>
      <c r="I718" s="8">
        <v>1.2</v>
      </c>
      <c r="J718" s="23">
        <f>E718*F718*G718*H718*I718</f>
        <v>48.6</v>
      </c>
      <c r="K718" s="175"/>
      <c r="L718" s="141"/>
      <c r="M718" s="141"/>
      <c r="N718" s="141"/>
      <c r="O718" s="141"/>
    </row>
    <row r="719" spans="1:15" ht="14.25">
      <c r="A719" s="10"/>
      <c r="B719" s="16"/>
      <c r="C719" s="15"/>
      <c r="D719" s="8"/>
      <c r="E719" s="8"/>
      <c r="F719" s="8"/>
      <c r="G719" s="8"/>
      <c r="H719" s="8"/>
      <c r="I719" s="24" t="s">
        <v>492</v>
      </c>
      <c r="J719" s="23">
        <f>J718</f>
        <v>48.6</v>
      </c>
      <c r="K719" s="175"/>
      <c r="L719" s="141"/>
      <c r="M719" s="141"/>
      <c r="N719" s="141"/>
      <c r="O719" s="141"/>
    </row>
    <row r="720" spans="1:15" ht="14.25">
      <c r="A720" s="10"/>
      <c r="B720" s="10"/>
      <c r="C720" s="9"/>
      <c r="D720" s="19"/>
      <c r="E720" s="19"/>
      <c r="F720" s="18"/>
      <c r="G720" s="18"/>
      <c r="H720" s="8"/>
      <c r="I720" s="8"/>
      <c r="J720" s="17"/>
      <c r="K720" s="175"/>
      <c r="L720" s="141"/>
      <c r="M720" s="141"/>
      <c r="N720" s="141"/>
      <c r="O720" s="141"/>
    </row>
    <row r="721" spans="1:15" ht="51">
      <c r="A721" s="10" t="s">
        <v>55</v>
      </c>
      <c r="B721" s="10" t="s">
        <v>825</v>
      </c>
      <c r="C721" s="27" t="s">
        <v>826</v>
      </c>
      <c r="D721" s="18"/>
      <c r="E721" s="18"/>
      <c r="F721" s="22"/>
      <c r="G721" s="22"/>
      <c r="H721" s="142"/>
      <c r="I721" s="142"/>
      <c r="J721" s="22"/>
      <c r="K721" s="175"/>
      <c r="L721" s="141"/>
      <c r="M721" s="141"/>
      <c r="N721" s="141"/>
      <c r="O721" s="141"/>
    </row>
    <row r="722" spans="1:15" ht="14.25">
      <c r="A722" s="10"/>
      <c r="B722" s="10"/>
      <c r="C722" s="27"/>
      <c r="D722" s="18"/>
      <c r="E722" s="18"/>
      <c r="F722" s="22"/>
      <c r="G722" s="22"/>
      <c r="H722" s="142"/>
      <c r="I722" s="142"/>
      <c r="J722" s="22"/>
      <c r="K722" s="175"/>
      <c r="L722" s="141"/>
      <c r="M722" s="141"/>
      <c r="N722" s="141"/>
      <c r="O722" s="141"/>
    </row>
    <row r="723" spans="1:15" ht="25.5">
      <c r="A723" s="10" t="s">
        <v>827</v>
      </c>
      <c r="B723" s="10" t="s">
        <v>84</v>
      </c>
      <c r="C723" s="27" t="s">
        <v>828</v>
      </c>
      <c r="D723" s="19" t="s">
        <v>471</v>
      </c>
      <c r="E723" s="19"/>
      <c r="F723" s="18"/>
      <c r="G723" s="18"/>
      <c r="H723" s="8"/>
      <c r="I723" s="8"/>
      <c r="J723" s="17"/>
      <c r="K723" s="175"/>
      <c r="L723" s="141"/>
      <c r="M723" s="141"/>
      <c r="N723" s="141"/>
      <c r="O723" s="141"/>
    </row>
    <row r="724" spans="1:15" ht="14.25">
      <c r="A724" s="10"/>
      <c r="B724" s="10"/>
      <c r="C724" s="26" t="s">
        <v>829</v>
      </c>
      <c r="D724" s="19" t="s">
        <v>171</v>
      </c>
      <c r="E724" s="19"/>
      <c r="F724" s="18"/>
      <c r="G724" s="18"/>
      <c r="H724" s="8"/>
      <c r="I724" s="8"/>
      <c r="J724" s="17">
        <v>4</v>
      </c>
      <c r="K724" s="175"/>
      <c r="L724" s="141"/>
      <c r="M724" s="141"/>
      <c r="N724" s="141"/>
      <c r="O724" s="141"/>
    </row>
    <row r="725" spans="1:15" ht="14.25">
      <c r="A725" s="10"/>
      <c r="B725" s="10"/>
      <c r="C725" s="27"/>
      <c r="D725" s="19"/>
      <c r="E725" s="19"/>
      <c r="F725" s="18"/>
      <c r="G725" s="18"/>
      <c r="H725" s="8"/>
      <c r="I725" s="8"/>
      <c r="J725" s="17"/>
      <c r="K725" s="175"/>
      <c r="L725" s="141"/>
      <c r="M725" s="141"/>
      <c r="N725" s="141"/>
      <c r="O725" s="141"/>
    </row>
    <row r="726" spans="1:15" ht="25.5">
      <c r="A726" s="10" t="s">
        <v>830</v>
      </c>
      <c r="B726" s="10" t="s">
        <v>87</v>
      </c>
      <c r="C726" s="27" t="s">
        <v>831</v>
      </c>
      <c r="D726" s="19"/>
      <c r="E726" s="19"/>
      <c r="F726" s="18"/>
      <c r="G726" s="18"/>
      <c r="H726" s="8"/>
      <c r="I726" s="8"/>
      <c r="J726" s="17"/>
      <c r="K726" s="175"/>
      <c r="L726" s="141"/>
      <c r="M726" s="141"/>
      <c r="N726" s="141"/>
      <c r="O726" s="141"/>
    </row>
    <row r="727" spans="1:15" ht="14.25">
      <c r="A727" s="10"/>
      <c r="B727" s="10"/>
      <c r="C727" s="26" t="s">
        <v>829</v>
      </c>
      <c r="D727" s="19" t="s">
        <v>171</v>
      </c>
      <c r="E727" s="19"/>
      <c r="F727" s="18"/>
      <c r="G727" s="18"/>
      <c r="H727" s="8"/>
      <c r="I727" s="8"/>
      <c r="J727" s="17">
        <v>4</v>
      </c>
      <c r="K727" s="175"/>
      <c r="L727" s="141"/>
      <c r="M727" s="141"/>
      <c r="N727" s="141"/>
      <c r="O727" s="141"/>
    </row>
    <row r="728" spans="1:15" ht="14.25">
      <c r="A728" s="10"/>
      <c r="B728" s="10"/>
      <c r="C728" s="27"/>
      <c r="D728" s="19"/>
      <c r="E728" s="19"/>
      <c r="F728" s="18"/>
      <c r="G728" s="18"/>
      <c r="H728" s="8"/>
      <c r="I728" s="8"/>
      <c r="J728" s="17"/>
      <c r="K728" s="175"/>
      <c r="L728" s="141"/>
      <c r="M728" s="141"/>
      <c r="N728" s="141"/>
      <c r="O728" s="141"/>
    </row>
    <row r="729" spans="1:15" ht="32.25" customHeight="1">
      <c r="A729" s="10" t="s">
        <v>879</v>
      </c>
      <c r="B729" s="21" t="s">
        <v>89</v>
      </c>
      <c r="C729" s="176" t="s">
        <v>880</v>
      </c>
      <c r="D729" s="19" t="s">
        <v>171</v>
      </c>
      <c r="E729" s="20"/>
      <c r="F729" s="18"/>
      <c r="G729" s="18"/>
      <c r="H729" s="8"/>
      <c r="I729" s="8"/>
      <c r="J729" s="17">
        <v>4</v>
      </c>
      <c r="K729" s="175"/>
      <c r="L729" s="141"/>
      <c r="M729" s="141"/>
      <c r="N729" s="141"/>
      <c r="O729" s="141"/>
    </row>
    <row r="730" spans="1:15" ht="14.25">
      <c r="A730" s="10"/>
      <c r="B730" s="10"/>
      <c r="C730" s="27"/>
      <c r="D730" s="19"/>
      <c r="E730" s="19"/>
      <c r="F730" s="18"/>
      <c r="G730" s="18"/>
      <c r="H730" s="8"/>
      <c r="I730" s="8"/>
      <c r="J730" s="17"/>
      <c r="K730" s="175"/>
      <c r="L730" s="141"/>
      <c r="M730" s="141"/>
      <c r="N730" s="141"/>
      <c r="O730" s="141"/>
    </row>
    <row r="731" spans="1:15" ht="14.25">
      <c r="A731" s="10"/>
      <c r="B731" s="16"/>
      <c r="C731" s="15"/>
      <c r="D731" s="8"/>
      <c r="E731" s="8"/>
      <c r="F731" s="8"/>
      <c r="G731" s="8"/>
      <c r="H731" s="8"/>
      <c r="I731" s="8"/>
      <c r="J731" s="14"/>
      <c r="K731" s="175"/>
      <c r="L731" s="141"/>
      <c r="M731" s="141"/>
      <c r="N731" s="141"/>
      <c r="O731" s="141"/>
    </row>
    <row r="732" spans="1:15" ht="99.75">
      <c r="A732" s="10"/>
      <c r="B732" s="16"/>
      <c r="C732" s="27" t="s">
        <v>458</v>
      </c>
      <c r="D732" s="27"/>
      <c r="E732" s="8"/>
      <c r="F732" s="8"/>
      <c r="G732" s="8"/>
      <c r="H732" s="8"/>
      <c r="I732" s="8"/>
      <c r="J732" s="14"/>
      <c r="K732" s="175"/>
      <c r="L732" s="141"/>
      <c r="M732" s="141"/>
      <c r="N732" s="141"/>
      <c r="O732" s="141"/>
    </row>
    <row r="733" spans="1:15" ht="14.25">
      <c r="A733" s="10"/>
      <c r="B733" s="16"/>
      <c r="C733" s="27" t="s">
        <v>832</v>
      </c>
      <c r="D733" s="27" t="s">
        <v>650</v>
      </c>
      <c r="E733" s="8"/>
      <c r="F733" s="8"/>
      <c r="G733" s="8"/>
      <c r="H733" s="8"/>
      <c r="I733" s="8"/>
      <c r="J733" s="14">
        <v>90</v>
      </c>
      <c r="K733" s="175"/>
      <c r="L733" s="141"/>
      <c r="M733" s="141"/>
      <c r="N733" s="141"/>
      <c r="O733" s="141"/>
    </row>
    <row r="734" spans="1:15" ht="14.25">
      <c r="A734" s="10"/>
      <c r="B734" s="16"/>
      <c r="C734" s="27"/>
      <c r="D734" s="27"/>
      <c r="E734" s="8"/>
      <c r="F734" s="8"/>
      <c r="G734" s="8"/>
      <c r="H734" s="8"/>
      <c r="I734" s="8"/>
      <c r="J734" s="14"/>
      <c r="K734" s="175"/>
      <c r="L734" s="141"/>
      <c r="M734" s="141"/>
      <c r="N734" s="141"/>
      <c r="O734" s="141"/>
    </row>
    <row r="735" spans="1:15" ht="99.75">
      <c r="A735" s="10"/>
      <c r="B735" s="16"/>
      <c r="C735" s="27" t="s">
        <v>459</v>
      </c>
      <c r="D735" s="27" t="s">
        <v>171</v>
      </c>
      <c r="E735" s="8"/>
      <c r="F735" s="8"/>
      <c r="G735" s="8"/>
      <c r="H735" s="8"/>
      <c r="I735" s="8"/>
      <c r="J735" s="14">
        <v>4</v>
      </c>
      <c r="K735" s="175"/>
      <c r="L735" s="141"/>
      <c r="M735" s="141"/>
      <c r="N735" s="141"/>
      <c r="O735" s="141"/>
    </row>
    <row r="736" spans="1:15" ht="14.25">
      <c r="A736" s="10"/>
      <c r="B736" s="16"/>
      <c r="C736" s="27"/>
      <c r="D736" s="27"/>
      <c r="E736" s="8"/>
      <c r="F736" s="8"/>
      <c r="G736" s="8"/>
      <c r="H736" s="8"/>
      <c r="I736" s="8"/>
      <c r="J736" s="14"/>
      <c r="K736" s="175"/>
      <c r="L736" s="141"/>
      <c r="M736" s="141"/>
      <c r="N736" s="141"/>
      <c r="O736" s="141"/>
    </row>
    <row r="737" spans="1:15" ht="90">
      <c r="A737" s="10"/>
      <c r="B737" s="16"/>
      <c r="C737" s="27" t="s">
        <v>460</v>
      </c>
      <c r="D737" s="27" t="s">
        <v>171</v>
      </c>
      <c r="E737" s="8"/>
      <c r="F737" s="8"/>
      <c r="G737" s="8"/>
      <c r="H737" s="8"/>
      <c r="I737" s="8"/>
      <c r="J737" s="14">
        <v>4</v>
      </c>
      <c r="K737" s="175"/>
      <c r="L737" s="141"/>
      <c r="M737" s="141"/>
      <c r="N737" s="141"/>
      <c r="O737" s="141"/>
    </row>
    <row r="738" spans="1:15" ht="14.25">
      <c r="A738" s="10"/>
      <c r="B738" s="16"/>
      <c r="C738" s="27"/>
      <c r="D738" s="27"/>
      <c r="E738" s="8"/>
      <c r="F738" s="8"/>
      <c r="G738" s="8"/>
      <c r="H738" s="8"/>
      <c r="I738" s="8"/>
      <c r="J738" s="14"/>
      <c r="K738" s="175"/>
      <c r="L738" s="141"/>
      <c r="M738" s="141"/>
      <c r="N738" s="141"/>
      <c r="O738" s="141"/>
    </row>
    <row r="739" spans="1:15" ht="120">
      <c r="A739" s="10"/>
      <c r="B739" s="16"/>
      <c r="C739" s="27" t="s">
        <v>461</v>
      </c>
      <c r="D739" s="27" t="s">
        <v>171</v>
      </c>
      <c r="E739" s="8"/>
      <c r="F739" s="8"/>
      <c r="G739" s="8"/>
      <c r="H739" s="8"/>
      <c r="I739" s="8"/>
      <c r="J739" s="14">
        <v>4</v>
      </c>
      <c r="K739" s="175"/>
      <c r="L739" s="141"/>
      <c r="M739" s="141"/>
      <c r="N739" s="141"/>
      <c r="O739" s="141"/>
    </row>
    <row r="740" spans="1:15" ht="14.25">
      <c r="A740" s="10"/>
      <c r="B740" s="16"/>
      <c r="C740" s="27"/>
      <c r="D740" s="27"/>
      <c r="E740" s="8"/>
      <c r="F740" s="8"/>
      <c r="G740" s="8"/>
      <c r="H740" s="8"/>
      <c r="I740" s="8"/>
      <c r="J740" s="14"/>
      <c r="K740" s="175"/>
      <c r="L740" s="141"/>
      <c r="M740" s="141"/>
      <c r="N740" s="141"/>
      <c r="O740" s="141"/>
    </row>
    <row r="741" spans="1:15" ht="150">
      <c r="A741" s="10"/>
      <c r="B741" s="16"/>
      <c r="C741" s="27" t="s">
        <v>462</v>
      </c>
      <c r="D741" s="27" t="s">
        <v>171</v>
      </c>
      <c r="E741" s="8"/>
      <c r="F741" s="8"/>
      <c r="G741" s="8"/>
      <c r="H741" s="8"/>
      <c r="I741" s="8"/>
      <c r="J741" s="14">
        <v>4</v>
      </c>
      <c r="K741" s="175"/>
      <c r="L741" s="141"/>
      <c r="M741" s="141"/>
      <c r="N741" s="141"/>
      <c r="O741" s="141"/>
    </row>
    <row r="742" spans="1:15" ht="14.25">
      <c r="A742" s="10"/>
      <c r="B742" s="16"/>
      <c r="C742" s="27"/>
      <c r="D742" s="27"/>
      <c r="E742" s="8"/>
      <c r="F742" s="8"/>
      <c r="G742" s="8"/>
      <c r="H742" s="8"/>
      <c r="I742" s="8"/>
      <c r="J742" s="14"/>
      <c r="K742" s="175"/>
      <c r="L742" s="141"/>
      <c r="M742" s="141"/>
      <c r="N742" s="141"/>
      <c r="O742" s="141"/>
    </row>
    <row r="743" spans="1:15" ht="105">
      <c r="A743" s="10"/>
      <c r="B743" s="16"/>
      <c r="C743" s="27" t="s">
        <v>463</v>
      </c>
      <c r="D743" s="27" t="s">
        <v>171</v>
      </c>
      <c r="E743" s="8"/>
      <c r="F743" s="8"/>
      <c r="G743" s="8"/>
      <c r="H743" s="8"/>
      <c r="I743" s="8"/>
      <c r="J743" s="14">
        <v>4</v>
      </c>
      <c r="K743" s="175"/>
      <c r="L743" s="141"/>
      <c r="M743" s="141"/>
      <c r="N743" s="141"/>
      <c r="O743" s="141"/>
    </row>
    <row r="744" spans="1:15" ht="14.25">
      <c r="A744" s="10"/>
      <c r="B744" s="16"/>
      <c r="C744" s="27"/>
      <c r="D744" s="27"/>
      <c r="E744" s="8"/>
      <c r="F744" s="8"/>
      <c r="G744" s="8"/>
      <c r="H744" s="8"/>
      <c r="I744" s="8"/>
      <c r="J744" s="14"/>
      <c r="K744" s="175"/>
      <c r="L744" s="141"/>
      <c r="M744" s="141"/>
      <c r="N744" s="141"/>
      <c r="O744" s="141"/>
    </row>
    <row r="745" spans="1:15" ht="120">
      <c r="A745" s="10"/>
      <c r="B745" s="16"/>
      <c r="C745" s="27" t="s">
        <v>464</v>
      </c>
      <c r="D745" s="27" t="s">
        <v>171</v>
      </c>
      <c r="E745" s="8"/>
      <c r="F745" s="8"/>
      <c r="G745" s="8"/>
      <c r="H745" s="8"/>
      <c r="I745" s="8"/>
      <c r="J745" s="14">
        <v>4</v>
      </c>
      <c r="K745" s="175"/>
      <c r="L745" s="141"/>
      <c r="M745" s="141"/>
      <c r="N745" s="141"/>
      <c r="O745" s="141"/>
    </row>
    <row r="746" spans="1:15" ht="14.25">
      <c r="A746" s="10"/>
      <c r="B746" s="16"/>
      <c r="C746" s="27"/>
      <c r="D746" s="27"/>
      <c r="E746" s="8"/>
      <c r="F746" s="8"/>
      <c r="G746" s="8"/>
      <c r="H746" s="8"/>
      <c r="I746" s="8"/>
      <c r="J746" s="14"/>
      <c r="K746" s="175"/>
      <c r="L746" s="141"/>
      <c r="M746" s="141"/>
      <c r="N746" s="141"/>
      <c r="O746" s="141"/>
    </row>
    <row r="747" spans="1:15" ht="135">
      <c r="A747" s="10"/>
      <c r="B747" s="16"/>
      <c r="C747" s="27" t="s">
        <v>465</v>
      </c>
      <c r="D747" s="27" t="s">
        <v>171</v>
      </c>
      <c r="E747" s="8"/>
      <c r="F747" s="8"/>
      <c r="G747" s="8"/>
      <c r="H747" s="8"/>
      <c r="I747" s="8"/>
      <c r="J747" s="14">
        <v>4</v>
      </c>
      <c r="K747" s="175"/>
      <c r="L747" s="141"/>
      <c r="M747" s="141"/>
      <c r="N747" s="141"/>
      <c r="O747" s="141"/>
    </row>
    <row r="748" spans="1:15" ht="14.25">
      <c r="A748" s="10"/>
      <c r="B748" s="16"/>
      <c r="C748" s="27"/>
      <c r="D748" s="27"/>
      <c r="E748" s="8"/>
      <c r="F748" s="8"/>
      <c r="G748" s="8"/>
      <c r="H748" s="8"/>
      <c r="I748" s="8"/>
      <c r="J748" s="14"/>
      <c r="K748" s="175"/>
      <c r="L748" s="141"/>
      <c r="M748" s="141"/>
      <c r="N748" s="141"/>
      <c r="O748" s="141"/>
    </row>
    <row r="749" spans="1:15" ht="105">
      <c r="A749" s="10"/>
      <c r="B749" s="16"/>
      <c r="C749" s="27" t="s">
        <v>466</v>
      </c>
      <c r="D749" s="27" t="s">
        <v>171</v>
      </c>
      <c r="E749" s="8"/>
      <c r="F749" s="8"/>
      <c r="G749" s="8"/>
      <c r="H749" s="8"/>
      <c r="I749" s="8"/>
      <c r="J749" s="14">
        <v>4</v>
      </c>
      <c r="K749" s="175"/>
      <c r="L749" s="141"/>
      <c r="M749" s="141"/>
      <c r="N749" s="141"/>
      <c r="O749" s="141"/>
    </row>
    <row r="750" spans="1:15" ht="14.25">
      <c r="A750" s="10"/>
      <c r="B750" s="16"/>
      <c r="C750" s="27"/>
      <c r="D750" s="27"/>
      <c r="E750" s="8"/>
      <c r="F750" s="8"/>
      <c r="G750" s="8"/>
      <c r="H750" s="8"/>
      <c r="I750" s="8"/>
      <c r="J750" s="14"/>
      <c r="K750" s="175"/>
      <c r="L750" s="141"/>
      <c r="M750" s="141"/>
      <c r="N750" s="141"/>
      <c r="O750" s="141"/>
    </row>
    <row r="751" spans="1:15" ht="165">
      <c r="A751" s="10"/>
      <c r="B751" s="16"/>
      <c r="C751" s="27" t="s">
        <v>467</v>
      </c>
      <c r="D751" s="27" t="s">
        <v>171</v>
      </c>
      <c r="E751" s="8"/>
      <c r="F751" s="8"/>
      <c r="G751" s="8"/>
      <c r="H751" s="8"/>
      <c r="I751" s="8"/>
      <c r="J751" s="14">
        <v>4</v>
      </c>
      <c r="K751" s="175"/>
      <c r="L751" s="141"/>
      <c r="M751" s="141"/>
      <c r="N751" s="141"/>
      <c r="O751" s="141"/>
    </row>
    <row r="752" spans="1:15" ht="14.25">
      <c r="A752" s="10"/>
      <c r="B752" s="16"/>
      <c r="C752" s="27"/>
      <c r="D752" s="27"/>
      <c r="E752" s="8"/>
      <c r="F752" s="8"/>
      <c r="G752" s="8"/>
      <c r="H752" s="8"/>
      <c r="I752" s="8"/>
      <c r="J752" s="14"/>
      <c r="K752" s="175"/>
      <c r="L752" s="141"/>
      <c r="M752" s="141"/>
      <c r="N752" s="141"/>
      <c r="O752" s="141"/>
    </row>
    <row r="753" spans="1:15" ht="105">
      <c r="A753" s="10"/>
      <c r="B753" s="16"/>
      <c r="C753" s="205" t="s">
        <v>833</v>
      </c>
      <c r="D753" s="27" t="s">
        <v>69</v>
      </c>
      <c r="E753" s="8"/>
      <c r="F753" s="8"/>
      <c r="G753" s="8"/>
      <c r="H753" s="8"/>
      <c r="I753" s="8"/>
      <c r="J753" s="14">
        <v>15</v>
      </c>
      <c r="K753" s="175"/>
      <c r="L753" s="141"/>
      <c r="M753" s="141"/>
      <c r="N753" s="141"/>
      <c r="O753" s="141"/>
    </row>
    <row r="754" spans="1:15" ht="14.25">
      <c r="A754" s="10"/>
      <c r="B754" s="16"/>
      <c r="C754" s="27"/>
      <c r="D754" s="27"/>
      <c r="E754" s="8"/>
      <c r="F754" s="8"/>
      <c r="G754" s="8"/>
      <c r="H754" s="8"/>
      <c r="I754" s="8"/>
      <c r="J754" s="14"/>
      <c r="K754" s="175"/>
      <c r="L754" s="141"/>
      <c r="M754" s="141"/>
      <c r="N754" s="141"/>
      <c r="O754" s="141"/>
    </row>
    <row r="755" spans="1:15" ht="60">
      <c r="A755" s="10"/>
      <c r="B755" s="16"/>
      <c r="C755" s="205" t="s">
        <v>468</v>
      </c>
      <c r="D755" s="27" t="s">
        <v>33</v>
      </c>
      <c r="E755" s="8"/>
      <c r="F755" s="8"/>
      <c r="G755" s="8"/>
      <c r="H755" s="8"/>
      <c r="I755" s="8"/>
      <c r="J755" s="14">
        <v>3</v>
      </c>
      <c r="K755" s="175"/>
      <c r="L755" s="141"/>
      <c r="M755" s="141"/>
      <c r="N755" s="141"/>
      <c r="O755" s="141"/>
    </row>
    <row r="756" spans="1:15" ht="14.25">
      <c r="A756" s="10"/>
      <c r="B756" s="16"/>
      <c r="C756" s="27"/>
      <c r="D756" s="27"/>
      <c r="E756" s="8"/>
      <c r="F756" s="8"/>
      <c r="G756" s="8"/>
      <c r="H756" s="8"/>
      <c r="I756" s="8"/>
      <c r="J756" s="14"/>
      <c r="K756" s="175"/>
      <c r="L756" s="141"/>
      <c r="M756" s="141"/>
      <c r="N756" s="141"/>
      <c r="O756" s="141"/>
    </row>
    <row r="757" spans="1:15" ht="14.25">
      <c r="A757" s="10"/>
      <c r="B757" s="16"/>
      <c r="C757" s="27"/>
      <c r="D757" s="8"/>
      <c r="E757" s="8"/>
      <c r="F757" s="8"/>
      <c r="G757" s="8"/>
      <c r="H757" s="8"/>
      <c r="I757" s="8"/>
      <c r="J757" s="14"/>
      <c r="K757" s="175"/>
      <c r="L757" s="141"/>
      <c r="M757" s="141"/>
      <c r="N757" s="141"/>
      <c r="O757" s="141"/>
    </row>
    <row r="758" spans="1:15" ht="64.5" customHeight="1">
      <c r="A758" s="10" t="s">
        <v>62</v>
      </c>
      <c r="B758" s="10" t="s">
        <v>834</v>
      </c>
      <c r="C758" s="27" t="s">
        <v>835</v>
      </c>
      <c r="D758" s="8" t="s">
        <v>836</v>
      </c>
      <c r="E758" s="8">
        <v>1</v>
      </c>
      <c r="F758" s="8">
        <v>211</v>
      </c>
      <c r="G758" s="8">
        <v>0.75</v>
      </c>
      <c r="H758" s="8"/>
      <c r="I758" s="8"/>
      <c r="J758" s="14">
        <f>G758*F758*E758</f>
        <v>158.25</v>
      </c>
      <c r="K758" s="175"/>
      <c r="L758" s="141"/>
      <c r="M758" s="141"/>
      <c r="N758" s="141"/>
      <c r="O758" s="141"/>
    </row>
    <row r="759" spans="1:15" ht="14.25">
      <c r="A759" s="10"/>
      <c r="B759" s="16"/>
      <c r="C759" s="27"/>
      <c r="D759" s="8"/>
      <c r="E759" s="8"/>
      <c r="F759" s="8"/>
      <c r="G759" s="8"/>
      <c r="H759" s="8"/>
      <c r="I759" s="8"/>
      <c r="J759" s="14"/>
      <c r="K759" s="175"/>
      <c r="L759" s="141"/>
      <c r="M759" s="141"/>
      <c r="N759" s="141"/>
      <c r="O759" s="141"/>
    </row>
    <row r="760" spans="1:15" ht="14.25">
      <c r="A760" s="10"/>
      <c r="B760" s="16"/>
      <c r="C760" s="27"/>
      <c r="D760" s="8"/>
      <c r="E760" s="8"/>
      <c r="F760" s="8"/>
      <c r="G760" s="8"/>
      <c r="H760" s="8"/>
      <c r="I760" s="8"/>
      <c r="J760" s="14"/>
      <c r="K760" s="175"/>
      <c r="L760" s="141"/>
      <c r="M760" s="141"/>
      <c r="N760" s="141"/>
      <c r="O760" s="141"/>
    </row>
    <row r="761" spans="1:15" ht="14.25">
      <c r="A761" s="10"/>
      <c r="B761" s="16"/>
      <c r="C761" s="27"/>
      <c r="D761" s="8"/>
      <c r="E761" s="8"/>
      <c r="F761" s="8"/>
      <c r="G761" s="8"/>
      <c r="H761" s="8"/>
      <c r="I761" s="8"/>
      <c r="J761" s="14"/>
      <c r="K761" s="175"/>
      <c r="L761" s="141"/>
      <c r="M761" s="141"/>
      <c r="N761" s="141"/>
      <c r="O761" s="141"/>
    </row>
    <row r="762" spans="1:15" ht="14.25">
      <c r="A762" s="10"/>
      <c r="B762" s="16"/>
      <c r="C762" s="27"/>
      <c r="D762" s="8"/>
      <c r="E762" s="8"/>
      <c r="F762" s="8"/>
      <c r="G762" s="8"/>
      <c r="H762" s="8"/>
      <c r="I762" s="8"/>
      <c r="J762" s="14"/>
      <c r="K762" s="175"/>
      <c r="L762" s="141"/>
      <c r="M762" s="141"/>
      <c r="N762" s="141"/>
      <c r="O762" s="141"/>
    </row>
    <row r="763" spans="1:15" ht="14.25">
      <c r="A763" s="10"/>
      <c r="B763" s="16"/>
      <c r="C763" s="27"/>
      <c r="D763" s="8"/>
      <c r="E763" s="8"/>
      <c r="F763" s="8"/>
      <c r="G763" s="8"/>
      <c r="H763" s="8"/>
      <c r="I763" s="8"/>
      <c r="J763" s="14"/>
      <c r="K763" s="175"/>
      <c r="L763" s="141"/>
      <c r="M763" s="141"/>
      <c r="N763" s="141"/>
      <c r="O763" s="141"/>
    </row>
    <row r="764" spans="1:15" ht="14.25">
      <c r="A764" s="10"/>
      <c r="B764" s="16"/>
      <c r="C764" s="27"/>
      <c r="D764" s="8"/>
      <c r="E764" s="8"/>
      <c r="F764" s="8"/>
      <c r="G764" s="8"/>
      <c r="H764" s="8"/>
      <c r="I764" s="8"/>
      <c r="J764" s="14"/>
      <c r="K764" s="175"/>
      <c r="L764" s="141"/>
      <c r="M764" s="141"/>
      <c r="N764" s="141"/>
      <c r="O764" s="141"/>
    </row>
    <row r="765" spans="1:15" ht="14.25">
      <c r="A765" s="10"/>
      <c r="B765" s="16"/>
      <c r="C765" s="27"/>
      <c r="D765" s="8"/>
      <c r="E765" s="8"/>
      <c r="F765" s="8"/>
      <c r="G765" s="8"/>
      <c r="H765" s="8"/>
      <c r="I765" s="8"/>
      <c r="J765" s="14"/>
      <c r="K765" s="175"/>
      <c r="L765" s="141"/>
      <c r="M765" s="141"/>
      <c r="N765" s="141"/>
      <c r="O765" s="141"/>
    </row>
    <row r="766" spans="1:15" ht="14.25">
      <c r="A766" s="10"/>
      <c r="B766" s="16"/>
      <c r="C766" s="27"/>
      <c r="D766" s="8"/>
      <c r="E766" s="8"/>
      <c r="F766" s="8"/>
      <c r="G766" s="8"/>
      <c r="H766" s="8"/>
      <c r="I766" s="8"/>
      <c r="J766" s="14"/>
      <c r="K766" s="175"/>
      <c r="L766" s="141"/>
      <c r="M766" s="141"/>
      <c r="N766" s="141"/>
      <c r="O766" s="141"/>
    </row>
    <row r="767" spans="1:15" ht="14.25">
      <c r="A767" s="10"/>
      <c r="B767" s="16"/>
      <c r="C767" s="27"/>
      <c r="D767" s="8"/>
      <c r="E767" s="8"/>
      <c r="F767" s="8"/>
      <c r="G767" s="8"/>
      <c r="H767" s="8"/>
      <c r="I767" s="8"/>
      <c r="J767" s="14"/>
      <c r="K767" s="175"/>
      <c r="L767" s="141"/>
      <c r="M767" s="141"/>
      <c r="N767" s="141"/>
      <c r="O767" s="141"/>
    </row>
    <row r="768" spans="1:15" ht="14.25">
      <c r="A768" s="10"/>
      <c r="B768" s="16"/>
      <c r="C768" s="27"/>
      <c r="D768" s="8"/>
      <c r="E768" s="8"/>
      <c r="F768" s="8"/>
      <c r="G768" s="8"/>
      <c r="H768" s="8"/>
      <c r="I768" s="8"/>
      <c r="J768" s="14"/>
      <c r="K768" s="175"/>
      <c r="L768" s="141"/>
      <c r="M768" s="141"/>
      <c r="N768" s="141"/>
      <c r="O768" s="141"/>
    </row>
    <row r="769" spans="1:15" ht="14.25">
      <c r="A769" s="10"/>
      <c r="B769" s="16"/>
      <c r="C769" s="27"/>
      <c r="D769" s="8"/>
      <c r="E769" s="8"/>
      <c r="F769" s="8"/>
      <c r="G769" s="8"/>
      <c r="H769" s="8"/>
      <c r="I769" s="8"/>
      <c r="J769" s="14"/>
      <c r="K769" s="175"/>
      <c r="L769" s="141"/>
      <c r="M769" s="141"/>
      <c r="N769" s="141"/>
      <c r="O769" s="141"/>
    </row>
    <row r="770" spans="1:15" ht="14.25">
      <c r="A770" s="10"/>
      <c r="B770" s="16"/>
      <c r="C770" s="27"/>
      <c r="D770" s="8"/>
      <c r="E770" s="8"/>
      <c r="F770" s="8"/>
      <c r="G770" s="8"/>
      <c r="H770" s="8"/>
      <c r="I770" s="8"/>
      <c r="J770" s="14"/>
      <c r="K770" s="175"/>
      <c r="L770" s="141"/>
      <c r="M770" s="141"/>
      <c r="N770" s="141"/>
      <c r="O770" s="141"/>
    </row>
    <row r="771" spans="1:15" ht="14.25">
      <c r="A771" s="10"/>
      <c r="B771" s="16"/>
      <c r="C771" s="27"/>
      <c r="D771" s="8"/>
      <c r="E771" s="8"/>
      <c r="F771" s="8"/>
      <c r="G771" s="8"/>
      <c r="H771" s="8"/>
      <c r="I771" s="8"/>
      <c r="J771" s="14"/>
      <c r="K771" s="175"/>
      <c r="L771" s="141"/>
      <c r="M771" s="141"/>
      <c r="N771" s="141"/>
      <c r="O771" s="141"/>
    </row>
    <row r="772" spans="1:15" ht="14.25">
      <c r="A772" s="10"/>
      <c r="B772" s="16"/>
      <c r="C772" s="27"/>
      <c r="D772" s="8"/>
      <c r="E772" s="8"/>
      <c r="F772" s="8"/>
      <c r="G772" s="8"/>
      <c r="H772" s="8"/>
      <c r="I772" s="8"/>
      <c r="J772" s="14"/>
      <c r="K772" s="175"/>
      <c r="L772" s="141"/>
      <c r="M772" s="141"/>
      <c r="N772" s="141"/>
      <c r="O772" s="141"/>
    </row>
    <row r="773" spans="1:15" ht="14.25">
      <c r="A773" s="10"/>
      <c r="B773" s="16"/>
      <c r="C773" s="27"/>
      <c r="D773" s="8"/>
      <c r="E773" s="8"/>
      <c r="F773" s="8"/>
      <c r="G773" s="8"/>
      <c r="H773" s="8"/>
      <c r="I773" s="8"/>
      <c r="J773" s="14"/>
      <c r="K773" s="175"/>
      <c r="L773" s="141"/>
      <c r="M773" s="141"/>
      <c r="N773" s="141"/>
      <c r="O773" s="141"/>
    </row>
    <row r="774" spans="1:15" ht="14.25">
      <c r="A774" s="10"/>
      <c r="B774" s="16"/>
      <c r="C774" s="27"/>
      <c r="D774" s="8"/>
      <c r="E774" s="8"/>
      <c r="F774" s="8"/>
      <c r="G774" s="8"/>
      <c r="H774" s="8"/>
      <c r="I774" s="8"/>
      <c r="J774" s="14"/>
      <c r="K774" s="175"/>
      <c r="L774" s="141"/>
      <c r="M774" s="141"/>
      <c r="N774" s="141"/>
      <c r="O774" s="141"/>
    </row>
    <row r="775" spans="1:15" ht="14.25">
      <c r="A775" s="10"/>
      <c r="B775" s="16"/>
      <c r="C775" s="27"/>
      <c r="D775" s="8"/>
      <c r="E775" s="8"/>
      <c r="F775" s="8"/>
      <c r="G775" s="8"/>
      <c r="H775" s="8"/>
      <c r="I775" s="8"/>
      <c r="J775" s="14"/>
      <c r="K775" s="175"/>
      <c r="L775" s="141"/>
      <c r="M775" s="141"/>
      <c r="N775" s="141"/>
      <c r="O775" s="141"/>
    </row>
    <row r="776" spans="1:15" ht="14.25">
      <c r="A776" s="10"/>
      <c r="B776" s="16"/>
      <c r="C776" s="27"/>
      <c r="D776" s="8"/>
      <c r="E776" s="8"/>
      <c r="F776" s="8"/>
      <c r="G776" s="8"/>
      <c r="H776" s="8"/>
      <c r="I776" s="8"/>
      <c r="J776" s="14"/>
      <c r="K776" s="175"/>
      <c r="L776" s="141"/>
      <c r="M776" s="141"/>
      <c r="N776" s="141"/>
      <c r="O776" s="141"/>
    </row>
    <row r="777" spans="1:15" ht="14.25">
      <c r="A777" s="10"/>
      <c r="B777" s="16"/>
      <c r="C777" s="27"/>
      <c r="D777" s="8"/>
      <c r="E777" s="8"/>
      <c r="F777" s="8"/>
      <c r="G777" s="8"/>
      <c r="H777" s="8"/>
      <c r="I777" s="8"/>
      <c r="J777" s="14"/>
      <c r="K777" s="175"/>
      <c r="L777" s="141"/>
      <c r="M777" s="141"/>
      <c r="N777" s="141"/>
      <c r="O777" s="141"/>
    </row>
    <row r="778" spans="1:15" ht="14.25">
      <c r="A778" s="10"/>
      <c r="B778" s="16"/>
      <c r="C778" s="27"/>
      <c r="D778" s="8"/>
      <c r="E778" s="8"/>
      <c r="F778" s="8"/>
      <c r="G778" s="8"/>
      <c r="H778" s="8"/>
      <c r="I778" s="8"/>
      <c r="J778" s="14"/>
      <c r="K778" s="175"/>
      <c r="L778" s="141"/>
      <c r="M778" s="141"/>
      <c r="N778" s="141"/>
      <c r="O778" s="141"/>
    </row>
    <row r="779" spans="1:15" ht="14.25">
      <c r="A779" s="10"/>
      <c r="B779" s="16"/>
      <c r="C779" s="27"/>
      <c r="D779" s="8"/>
      <c r="E779" s="8"/>
      <c r="F779" s="8"/>
      <c r="G779" s="8"/>
      <c r="H779" s="8"/>
      <c r="I779" s="8"/>
      <c r="J779" s="14"/>
      <c r="K779" s="175"/>
      <c r="L779" s="141"/>
      <c r="M779" s="141"/>
      <c r="N779" s="141"/>
      <c r="O779" s="141"/>
    </row>
    <row r="780" spans="1:15" ht="14.25">
      <c r="A780" s="10"/>
      <c r="B780" s="16"/>
      <c r="C780" s="27"/>
      <c r="D780" s="8"/>
      <c r="E780" s="8"/>
      <c r="F780" s="8"/>
      <c r="G780" s="8"/>
      <c r="H780" s="8"/>
      <c r="I780" s="8"/>
      <c r="J780" s="14"/>
      <c r="K780" s="175"/>
      <c r="L780" s="141"/>
      <c r="M780" s="141"/>
      <c r="N780" s="141"/>
      <c r="O780" s="141"/>
    </row>
    <row r="781" spans="1:15" ht="14.25">
      <c r="A781" s="10"/>
      <c r="B781" s="16"/>
      <c r="C781" s="27"/>
      <c r="D781" s="8"/>
      <c r="E781" s="8"/>
      <c r="F781" s="8"/>
      <c r="G781" s="8"/>
      <c r="H781" s="8"/>
      <c r="I781" s="8"/>
      <c r="J781" s="14"/>
      <c r="K781" s="175"/>
      <c r="L781" s="141"/>
      <c r="M781" s="141"/>
      <c r="N781" s="141"/>
      <c r="O781" s="141"/>
    </row>
    <row r="782" spans="1:15" ht="14.25">
      <c r="A782" s="10"/>
      <c r="B782" s="16"/>
      <c r="C782" s="27"/>
      <c r="D782" s="8"/>
      <c r="E782" s="8"/>
      <c r="F782" s="8"/>
      <c r="G782" s="8"/>
      <c r="H782" s="8"/>
      <c r="I782" s="8"/>
      <c r="J782" s="14"/>
      <c r="K782" s="175"/>
      <c r="L782" s="141"/>
      <c r="M782" s="141"/>
      <c r="N782" s="141"/>
      <c r="O782" s="141"/>
    </row>
    <row r="783" spans="1:15" ht="14.25">
      <c r="A783" s="10"/>
      <c r="B783" s="16"/>
      <c r="C783" s="27"/>
      <c r="D783" s="8"/>
      <c r="E783" s="8"/>
      <c r="F783" s="8"/>
      <c r="G783" s="8"/>
      <c r="H783" s="8"/>
      <c r="I783" s="8"/>
      <c r="J783" s="14"/>
      <c r="K783" s="175"/>
      <c r="L783" s="141"/>
      <c r="M783" s="141"/>
      <c r="N783" s="141"/>
      <c r="O783" s="141"/>
    </row>
    <row r="784" spans="1:15" ht="14.25">
      <c r="A784" s="10"/>
      <c r="B784" s="16"/>
      <c r="C784" s="27"/>
      <c r="D784" s="8"/>
      <c r="E784" s="8"/>
      <c r="F784" s="8"/>
      <c r="G784" s="8"/>
      <c r="H784" s="8"/>
      <c r="I784" s="8"/>
      <c r="J784" s="14"/>
      <c r="K784" s="175"/>
      <c r="L784" s="141"/>
      <c r="M784" s="141"/>
      <c r="N784" s="141"/>
      <c r="O784" s="141"/>
    </row>
    <row r="785" spans="1:15" ht="14.25">
      <c r="A785" s="10"/>
      <c r="B785" s="16"/>
      <c r="C785" s="27"/>
      <c r="D785" s="8"/>
      <c r="E785" s="8"/>
      <c r="F785" s="8"/>
      <c r="G785" s="8"/>
      <c r="H785" s="8"/>
      <c r="I785" s="8"/>
      <c r="J785" s="14"/>
      <c r="K785" s="175"/>
      <c r="L785" s="141"/>
      <c r="M785" s="141"/>
      <c r="N785" s="141"/>
      <c r="O785" s="141"/>
    </row>
    <row r="786" spans="1:15" ht="14.25">
      <c r="A786" s="10"/>
      <c r="B786" s="16"/>
      <c r="C786" s="27"/>
      <c r="D786" s="8"/>
      <c r="E786" s="8"/>
      <c r="F786" s="8"/>
      <c r="G786" s="8"/>
      <c r="H786" s="8"/>
      <c r="I786" s="8"/>
      <c r="J786" s="14"/>
      <c r="K786" s="175"/>
      <c r="L786" s="141"/>
      <c r="M786" s="141"/>
      <c r="N786" s="141"/>
      <c r="O786" s="141"/>
    </row>
    <row r="787" spans="1:15" ht="14.25">
      <c r="A787" s="10"/>
      <c r="B787" s="16"/>
      <c r="C787" s="27"/>
      <c r="D787" s="8"/>
      <c r="E787" s="8"/>
      <c r="F787" s="8"/>
      <c r="G787" s="8"/>
      <c r="H787" s="8"/>
      <c r="I787" s="8"/>
      <c r="J787" s="14"/>
      <c r="K787" s="175"/>
      <c r="L787" s="141"/>
      <c r="M787" s="141"/>
      <c r="N787" s="141"/>
      <c r="O787" s="141"/>
    </row>
    <row r="788" spans="1:15" ht="14.25">
      <c r="A788" s="10"/>
      <c r="B788" s="16"/>
      <c r="C788" s="27"/>
      <c r="D788" s="8"/>
      <c r="E788" s="8"/>
      <c r="F788" s="8"/>
      <c r="G788" s="8"/>
      <c r="H788" s="8"/>
      <c r="I788" s="8"/>
      <c r="J788" s="14"/>
      <c r="K788" s="175"/>
      <c r="L788" s="141"/>
      <c r="M788" s="141"/>
      <c r="N788" s="141"/>
      <c r="O788" s="141"/>
    </row>
    <row r="789" spans="1:15" ht="14.25">
      <c r="A789" s="10"/>
      <c r="B789" s="16"/>
      <c r="C789" s="27"/>
      <c r="D789" s="8"/>
      <c r="E789" s="8"/>
      <c r="F789" s="8"/>
      <c r="G789" s="8"/>
      <c r="H789" s="8"/>
      <c r="I789" s="8"/>
      <c r="J789" s="14"/>
      <c r="K789" s="175"/>
      <c r="L789" s="141"/>
      <c r="M789" s="141"/>
      <c r="N789" s="141"/>
      <c r="O789" s="141"/>
    </row>
    <row r="790" spans="1:15" ht="14.25">
      <c r="A790" s="10"/>
      <c r="B790" s="16"/>
      <c r="C790" s="27"/>
      <c r="D790" s="8"/>
      <c r="E790" s="8"/>
      <c r="F790" s="8"/>
      <c r="G790" s="8"/>
      <c r="H790" s="8"/>
      <c r="I790" s="8"/>
      <c r="J790" s="14"/>
      <c r="K790" s="175"/>
      <c r="L790" s="141"/>
      <c r="M790" s="141"/>
      <c r="N790" s="141"/>
      <c r="O790" s="141"/>
    </row>
    <row r="791" spans="1:15" ht="14.25">
      <c r="A791" s="10"/>
      <c r="B791" s="16"/>
      <c r="C791" s="27"/>
      <c r="D791" s="8"/>
      <c r="E791" s="8"/>
      <c r="F791" s="8"/>
      <c r="G791" s="8"/>
      <c r="H791" s="8"/>
      <c r="I791" s="8"/>
      <c r="J791" s="14"/>
      <c r="K791" s="175"/>
      <c r="L791" s="141"/>
      <c r="M791" s="141"/>
      <c r="N791" s="141"/>
      <c r="O791" s="141"/>
    </row>
    <row r="792" spans="1:15" ht="14.25">
      <c r="A792" s="10"/>
      <c r="B792" s="16"/>
      <c r="C792" s="27"/>
      <c r="D792" s="8"/>
      <c r="E792" s="8"/>
      <c r="F792" s="8"/>
      <c r="G792" s="8"/>
      <c r="H792" s="8"/>
      <c r="I792" s="8"/>
      <c r="J792" s="14"/>
      <c r="K792" s="175"/>
      <c r="L792" s="141"/>
      <c r="M792" s="141"/>
      <c r="N792" s="141"/>
      <c r="O792" s="141"/>
    </row>
    <row r="793" spans="1:15" ht="14.25">
      <c r="A793" s="10"/>
      <c r="B793" s="16"/>
      <c r="C793" s="27"/>
      <c r="D793" s="8"/>
      <c r="E793" s="8"/>
      <c r="F793" s="8"/>
      <c r="G793" s="8"/>
      <c r="H793" s="8"/>
      <c r="I793" s="8"/>
      <c r="J793" s="14"/>
      <c r="K793" s="175"/>
      <c r="L793" s="141"/>
      <c r="M793" s="141"/>
      <c r="N793" s="141"/>
      <c r="O793" s="141"/>
    </row>
    <row r="794" spans="1:15" ht="14.25">
      <c r="A794" s="10"/>
      <c r="B794" s="16"/>
      <c r="C794" s="15"/>
      <c r="D794" s="8"/>
      <c r="E794" s="8"/>
      <c r="F794" s="8"/>
      <c r="G794" s="8"/>
      <c r="H794" s="8"/>
      <c r="I794" s="8"/>
      <c r="J794" s="14"/>
      <c r="K794" s="175"/>
      <c r="L794" s="141"/>
      <c r="M794" s="141"/>
      <c r="N794" s="141"/>
      <c r="O794" s="141"/>
    </row>
    <row r="795" spans="1:15" ht="14.25">
      <c r="A795" s="10"/>
      <c r="B795" s="16"/>
      <c r="C795" s="15"/>
      <c r="D795" s="8"/>
      <c r="E795" s="8"/>
      <c r="F795" s="8"/>
      <c r="G795" s="8"/>
      <c r="H795" s="8"/>
      <c r="I795" s="8"/>
      <c r="J795" s="14"/>
      <c r="K795" s="175"/>
      <c r="L795" s="141"/>
      <c r="M795" s="141"/>
      <c r="N795" s="141"/>
      <c r="O795" s="141"/>
    </row>
    <row r="796" spans="1:15" ht="14.25">
      <c r="A796" s="10"/>
      <c r="B796" s="16"/>
      <c r="C796" s="15"/>
      <c r="D796" s="8"/>
      <c r="E796" s="8"/>
      <c r="F796" s="8"/>
      <c r="G796" s="8"/>
      <c r="H796" s="8"/>
      <c r="I796" s="8"/>
      <c r="J796" s="14"/>
      <c r="K796" s="175"/>
      <c r="L796" s="141"/>
      <c r="M796" s="141"/>
      <c r="N796" s="141"/>
      <c r="O796" s="141"/>
    </row>
    <row r="797" spans="1:15" ht="14.25">
      <c r="A797" s="10"/>
      <c r="B797" s="16"/>
      <c r="C797" s="15"/>
      <c r="D797" s="8"/>
      <c r="E797" s="8"/>
      <c r="F797" s="8"/>
      <c r="G797" s="8"/>
      <c r="H797" s="8"/>
      <c r="I797" s="8"/>
      <c r="J797" s="14"/>
      <c r="K797" s="175"/>
      <c r="L797" s="141"/>
      <c r="M797" s="141"/>
      <c r="N797" s="141"/>
      <c r="O797" s="141"/>
    </row>
    <row r="798" spans="1:15" ht="14.25">
      <c r="A798" s="10"/>
      <c r="B798" s="16"/>
      <c r="C798" s="15"/>
      <c r="D798" s="8"/>
      <c r="E798" s="8"/>
      <c r="F798" s="8"/>
      <c r="G798" s="8"/>
      <c r="H798" s="8"/>
      <c r="I798" s="8"/>
      <c r="J798" s="14"/>
      <c r="K798" s="175"/>
      <c r="L798" s="141"/>
      <c r="M798" s="141"/>
      <c r="N798" s="141"/>
      <c r="O798" s="141"/>
    </row>
    <row r="799" spans="1:15" ht="14.25">
      <c r="A799" s="10"/>
      <c r="B799" s="16"/>
      <c r="C799" s="15"/>
      <c r="D799" s="8"/>
      <c r="E799" s="8"/>
      <c r="F799" s="8"/>
      <c r="G799" s="8"/>
      <c r="H799" s="8"/>
      <c r="I799" s="8"/>
      <c r="J799" s="14"/>
      <c r="K799" s="175"/>
      <c r="L799" s="141"/>
      <c r="M799" s="141"/>
      <c r="N799" s="141"/>
      <c r="O799" s="141"/>
    </row>
    <row r="800" spans="1:15" ht="14.25">
      <c r="A800" s="10"/>
      <c r="B800" s="16"/>
      <c r="C800" s="15"/>
      <c r="D800" s="8"/>
      <c r="E800" s="8"/>
      <c r="F800" s="8"/>
      <c r="G800" s="8"/>
      <c r="H800" s="8"/>
      <c r="I800" s="8"/>
      <c r="J800" s="14"/>
      <c r="K800" s="175"/>
      <c r="L800" s="141"/>
      <c r="M800" s="141"/>
      <c r="N800" s="141"/>
      <c r="O800" s="141"/>
    </row>
    <row r="801" spans="1:15" ht="14.25">
      <c r="A801" s="10"/>
      <c r="B801" s="16"/>
      <c r="C801" s="15"/>
      <c r="D801" s="8"/>
      <c r="E801" s="8"/>
      <c r="F801" s="8"/>
      <c r="G801" s="8"/>
      <c r="H801" s="8"/>
      <c r="I801" s="8"/>
      <c r="J801" s="14"/>
      <c r="K801" s="175"/>
      <c r="L801" s="141"/>
      <c r="M801" s="141"/>
      <c r="N801" s="141"/>
      <c r="O801" s="141"/>
    </row>
    <row r="802" spans="1:15" ht="14.25">
      <c r="A802" s="10"/>
      <c r="B802" s="16"/>
      <c r="C802" s="15"/>
      <c r="D802" s="8"/>
      <c r="E802" s="8"/>
      <c r="F802" s="8"/>
      <c r="G802" s="8"/>
      <c r="H802" s="8"/>
      <c r="I802" s="8"/>
      <c r="J802" s="14"/>
      <c r="K802" s="175"/>
      <c r="L802" s="141"/>
      <c r="M802" s="141"/>
      <c r="N802" s="141"/>
      <c r="O802" s="141"/>
    </row>
    <row r="803" spans="1:15" ht="14.25">
      <c r="A803" s="10"/>
      <c r="B803" s="16"/>
      <c r="C803" s="15"/>
      <c r="D803" s="8"/>
      <c r="E803" s="8"/>
      <c r="F803" s="8"/>
      <c r="G803" s="8"/>
      <c r="H803" s="8"/>
      <c r="I803" s="8"/>
      <c r="J803" s="14"/>
      <c r="K803" s="175"/>
      <c r="L803" s="141"/>
      <c r="M803" s="141"/>
      <c r="N803" s="141"/>
      <c r="O803" s="141"/>
    </row>
    <row r="804" spans="1:15" ht="14.25">
      <c r="A804" s="10"/>
      <c r="B804" s="16"/>
      <c r="C804" s="15"/>
      <c r="D804" s="8"/>
      <c r="E804" s="8"/>
      <c r="F804" s="8"/>
      <c r="G804" s="8"/>
      <c r="H804" s="8"/>
      <c r="I804" s="8"/>
      <c r="J804" s="14"/>
      <c r="K804" s="175"/>
      <c r="L804" s="141"/>
      <c r="M804" s="141"/>
      <c r="N804" s="141"/>
      <c r="O804" s="141"/>
    </row>
    <row r="805" spans="1:15" ht="14.25">
      <c r="A805" s="10"/>
      <c r="B805" s="16"/>
      <c r="C805" s="15"/>
      <c r="D805" s="8"/>
      <c r="E805" s="8"/>
      <c r="F805" s="8"/>
      <c r="G805" s="8"/>
      <c r="H805" s="8"/>
      <c r="I805" s="8"/>
      <c r="J805" s="14"/>
      <c r="K805" s="175"/>
      <c r="L805" s="141"/>
      <c r="M805" s="141"/>
      <c r="N805" s="141"/>
      <c r="O805" s="141"/>
    </row>
    <row r="806" spans="1:15" ht="14.25">
      <c r="A806" s="10"/>
      <c r="B806" s="16"/>
      <c r="C806" s="15"/>
      <c r="D806" s="8"/>
      <c r="E806" s="8"/>
      <c r="F806" s="8"/>
      <c r="G806" s="8"/>
      <c r="H806" s="8"/>
      <c r="I806" s="8"/>
      <c r="J806" s="14"/>
      <c r="K806" s="175"/>
      <c r="L806" s="141"/>
      <c r="M806" s="141"/>
      <c r="N806" s="141"/>
      <c r="O806" s="141"/>
    </row>
    <row r="807" spans="1:15" ht="14.25">
      <c r="A807" s="10"/>
      <c r="B807" s="16"/>
      <c r="C807" s="15"/>
      <c r="D807" s="8"/>
      <c r="E807" s="8"/>
      <c r="F807" s="8"/>
      <c r="G807" s="8"/>
      <c r="H807" s="8"/>
      <c r="I807" s="8"/>
      <c r="J807" s="14"/>
      <c r="K807" s="175"/>
      <c r="L807" s="141"/>
      <c r="M807" s="141"/>
      <c r="N807" s="141"/>
      <c r="O807" s="141"/>
    </row>
    <row r="808" spans="1:15" ht="14.25">
      <c r="A808" s="10"/>
      <c r="B808" s="16"/>
      <c r="C808" s="15"/>
      <c r="D808" s="8"/>
      <c r="E808" s="8"/>
      <c r="F808" s="8"/>
      <c r="G808" s="8"/>
      <c r="H808" s="8"/>
      <c r="I808" s="8"/>
      <c r="J808" s="14"/>
      <c r="K808" s="175"/>
      <c r="L808" s="141"/>
      <c r="M808" s="141"/>
      <c r="N808" s="141"/>
      <c r="O808" s="141"/>
    </row>
    <row r="809" spans="1:15" ht="14.25">
      <c r="A809" s="10"/>
      <c r="B809" s="16"/>
      <c r="C809" s="15"/>
      <c r="D809" s="8"/>
      <c r="E809" s="8"/>
      <c r="F809" s="8"/>
      <c r="G809" s="8"/>
      <c r="H809" s="8"/>
      <c r="I809" s="8"/>
      <c r="J809" s="14"/>
      <c r="K809" s="175"/>
      <c r="L809" s="141"/>
      <c r="M809" s="141"/>
      <c r="N809" s="141"/>
      <c r="O809" s="141"/>
    </row>
    <row r="810" spans="1:15" ht="14.25">
      <c r="A810" s="10"/>
      <c r="B810" s="16"/>
      <c r="C810" s="15"/>
      <c r="D810" s="8"/>
      <c r="E810" s="8"/>
      <c r="F810" s="8"/>
      <c r="G810" s="8"/>
      <c r="H810" s="8"/>
      <c r="I810" s="8"/>
      <c r="J810" s="14"/>
      <c r="K810" s="175"/>
      <c r="L810" s="141"/>
      <c r="M810" s="141"/>
      <c r="N810" s="141"/>
      <c r="O810" s="141"/>
    </row>
    <row r="811" spans="1:15" ht="14.25">
      <c r="A811" s="10"/>
      <c r="B811" s="16"/>
      <c r="C811" s="15"/>
      <c r="D811" s="8"/>
      <c r="E811" s="8"/>
      <c r="F811" s="8"/>
      <c r="G811" s="8"/>
      <c r="H811" s="8"/>
      <c r="I811" s="8"/>
      <c r="J811" s="14"/>
      <c r="K811" s="175"/>
      <c r="L811" s="141"/>
      <c r="M811" s="141"/>
      <c r="N811" s="141"/>
      <c r="O811" s="141"/>
    </row>
    <row r="812" spans="1:15" ht="14.25">
      <c r="A812" s="10"/>
      <c r="B812" s="16"/>
      <c r="C812" s="15"/>
      <c r="D812" s="8"/>
      <c r="E812" s="8"/>
      <c r="F812" s="8"/>
      <c r="G812" s="8"/>
      <c r="H812" s="8"/>
      <c r="I812" s="8"/>
      <c r="J812" s="14"/>
      <c r="K812" s="175"/>
      <c r="L812" s="141"/>
      <c r="M812" s="141"/>
      <c r="N812" s="141"/>
      <c r="O812" s="141"/>
    </row>
    <row r="813" spans="1:15" ht="14.25">
      <c r="A813" s="10"/>
      <c r="B813" s="10"/>
      <c r="C813" s="13"/>
      <c r="D813" s="8"/>
      <c r="E813" s="8"/>
      <c r="F813" s="8"/>
      <c r="G813" s="8"/>
      <c r="H813" s="8"/>
      <c r="I813" s="8"/>
      <c r="J813" s="12"/>
      <c r="K813" s="141"/>
      <c r="L813" s="177"/>
      <c r="M813" s="141"/>
      <c r="N813" s="141"/>
      <c r="O813" s="141"/>
    </row>
    <row r="814" spans="1:15" ht="14.25">
      <c r="A814" s="11"/>
      <c r="B814" s="10"/>
      <c r="C814" s="9"/>
      <c r="D814" s="8"/>
      <c r="E814" s="8"/>
      <c r="F814" s="8"/>
      <c r="G814" s="8"/>
      <c r="H814" s="8"/>
      <c r="I814" s="8"/>
      <c r="J814" s="8"/>
      <c r="K814" s="141"/>
      <c r="L814" s="141"/>
      <c r="M814" s="141"/>
      <c r="N814" s="141"/>
      <c r="O814" s="141"/>
    </row>
  </sheetData>
  <mergeCells count="31">
    <mergeCell ref="C677:I677"/>
    <mergeCell ref="F497:I497"/>
    <mergeCell ref="F485:I485"/>
    <mergeCell ref="F493:I493"/>
    <mergeCell ref="H389:I389"/>
    <mergeCell ref="D376:D377"/>
    <mergeCell ref="D379:D380"/>
    <mergeCell ref="H390:I390"/>
    <mergeCell ref="H388:I388"/>
    <mergeCell ref="A1:J1"/>
    <mergeCell ref="A2:J2"/>
    <mergeCell ref="A3:J3"/>
    <mergeCell ref="G9:H9"/>
    <mergeCell ref="G10:H10"/>
    <mergeCell ref="H217:I217"/>
    <mergeCell ref="H354:I354"/>
    <mergeCell ref="G283:H283"/>
    <mergeCell ref="H278:I278"/>
    <mergeCell ref="H387:I387"/>
    <mergeCell ref="H355:I355"/>
    <mergeCell ref="G282:H282"/>
    <mergeCell ref="H241:I241"/>
    <mergeCell ref="H353:I353"/>
    <mergeCell ref="H231:I231"/>
    <mergeCell ref="H243:I243"/>
    <mergeCell ref="H235:I235"/>
    <mergeCell ref="H242:I242"/>
    <mergeCell ref="H279:I279"/>
    <mergeCell ref="H259:I259"/>
    <mergeCell ref="H269:I269"/>
    <mergeCell ref="H273:I27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6896-C6F8-4329-A5D6-7F41797E03A0}">
  <dimension ref="A1:Q37"/>
  <sheetViews>
    <sheetView topLeftCell="A9" workbookViewId="0">
      <selection activeCell="G23" sqref="G23"/>
    </sheetView>
  </sheetViews>
  <sheetFormatPr defaultRowHeight="12.75"/>
  <cols>
    <col min="1" max="1" width="9.140625" style="208"/>
    <col min="2" max="3" width="14.28515625" style="208" customWidth="1"/>
    <col min="4" max="4" width="10" style="208" customWidth="1"/>
    <col min="5" max="5" width="12.5703125" style="208" customWidth="1"/>
    <col min="6" max="6" width="7.7109375" style="208" customWidth="1"/>
    <col min="7" max="7" width="7.5703125" style="296" customWidth="1"/>
    <col min="8" max="8" width="12.5703125" style="208" customWidth="1"/>
    <col min="9" max="9" width="59" style="208" customWidth="1"/>
    <col min="10" max="10" width="8.7109375" style="208" customWidth="1"/>
    <col min="11" max="11" width="8.42578125" style="297" customWidth="1"/>
    <col min="12" max="12" width="12.7109375" style="208" customWidth="1"/>
    <col min="13" max="13" width="16.5703125" style="208" customWidth="1"/>
    <col min="14" max="14" width="19" style="298" customWidth="1"/>
    <col min="15" max="15" width="19.7109375" style="208" customWidth="1"/>
    <col min="16" max="16" width="18.5703125" style="208" customWidth="1"/>
    <col min="17" max="17" width="19.85546875" style="208" hidden="1" customWidth="1"/>
    <col min="18" max="18" width="12.42578125" style="208" bestFit="1" customWidth="1"/>
    <col min="19" max="19" width="9.5703125" style="208" bestFit="1" customWidth="1"/>
    <col min="20" max="16384" width="9.140625" style="208"/>
  </cols>
  <sheetData>
    <row r="1" spans="1:17">
      <c r="A1" s="541" t="s">
        <v>0</v>
      </c>
      <c r="B1" s="541"/>
      <c r="C1" s="541"/>
      <c r="D1" s="541"/>
      <c r="E1" s="541"/>
      <c r="F1" s="541"/>
      <c r="G1" s="541"/>
      <c r="H1" s="541"/>
      <c r="I1" s="541"/>
      <c r="J1" s="541"/>
      <c r="K1" s="541"/>
      <c r="L1" s="541"/>
      <c r="M1" s="541"/>
      <c r="N1" s="541"/>
      <c r="O1" s="541"/>
      <c r="P1" s="541"/>
      <c r="Q1" s="541"/>
    </row>
    <row r="2" spans="1:17">
      <c r="A2" s="542" t="s">
        <v>1</v>
      </c>
      <c r="B2" s="542"/>
      <c r="C2" s="542"/>
      <c r="D2" s="542"/>
      <c r="E2" s="542"/>
      <c r="F2" s="542"/>
      <c r="G2" s="542"/>
      <c r="H2" s="542"/>
      <c r="I2" s="542"/>
      <c r="J2" s="542"/>
      <c r="K2" s="542"/>
      <c r="L2" s="542"/>
      <c r="M2" s="542"/>
      <c r="N2" s="542"/>
      <c r="O2" s="542"/>
      <c r="P2" s="542"/>
      <c r="Q2" s="542"/>
    </row>
    <row r="3" spans="1:17">
      <c r="A3" s="542" t="s">
        <v>2</v>
      </c>
      <c r="B3" s="542"/>
      <c r="C3" s="542"/>
      <c r="D3" s="542"/>
      <c r="E3" s="542"/>
      <c r="F3" s="542"/>
      <c r="G3" s="542"/>
      <c r="H3" s="542"/>
      <c r="I3" s="542"/>
      <c r="J3" s="542"/>
      <c r="K3" s="542"/>
      <c r="L3" s="542"/>
      <c r="M3" s="542"/>
      <c r="N3" s="542"/>
      <c r="O3" s="542"/>
      <c r="P3" s="542"/>
      <c r="Q3" s="542"/>
    </row>
    <row r="4" spans="1:17">
      <c r="A4" s="543" t="s">
        <v>996</v>
      </c>
      <c r="B4" s="543"/>
      <c r="C4" s="543"/>
      <c r="D4" s="543"/>
      <c r="E4" s="543"/>
      <c r="F4" s="543"/>
      <c r="G4" s="543"/>
      <c r="H4" s="543"/>
      <c r="I4" s="543"/>
      <c r="J4" s="543"/>
      <c r="K4" s="543"/>
      <c r="L4" s="543"/>
      <c r="M4" s="543"/>
      <c r="N4" s="543"/>
      <c r="O4" s="543"/>
      <c r="P4" s="543"/>
      <c r="Q4" s="543"/>
    </row>
    <row r="5" spans="1:17">
      <c r="A5" s="544" t="s">
        <v>1447</v>
      </c>
      <c r="B5" s="544"/>
      <c r="C5" s="544"/>
      <c r="D5" s="544"/>
      <c r="E5" s="544"/>
      <c r="F5" s="544"/>
      <c r="G5" s="544"/>
      <c r="H5" s="544"/>
      <c r="I5" s="544"/>
      <c r="J5" s="544"/>
      <c r="K5" s="544"/>
      <c r="L5" s="544"/>
      <c r="M5" s="544"/>
      <c r="N5" s="544"/>
      <c r="O5" s="544"/>
      <c r="P5" s="544"/>
      <c r="Q5" s="544"/>
    </row>
    <row r="6" spans="1:17">
      <c r="A6" s="544"/>
      <c r="B6" s="544"/>
      <c r="C6" s="544"/>
      <c r="D6" s="544"/>
      <c r="E6" s="544" t="s">
        <v>3</v>
      </c>
      <c r="F6" s="544"/>
      <c r="G6" s="544"/>
      <c r="H6" s="544"/>
      <c r="I6" s="544"/>
      <c r="J6" s="544"/>
      <c r="K6" s="544"/>
      <c r="L6" s="544"/>
      <c r="M6" s="545"/>
      <c r="N6" s="545"/>
      <c r="O6" s="545"/>
      <c r="P6" s="545"/>
      <c r="Q6" s="211"/>
    </row>
    <row r="7" spans="1:17" s="316" customFormat="1">
      <c r="A7" s="309" t="s">
        <v>4</v>
      </c>
      <c r="B7" s="309"/>
      <c r="C7" s="309"/>
      <c r="D7" s="317"/>
      <c r="E7" s="551"/>
      <c r="F7" s="552"/>
      <c r="G7" s="552"/>
      <c r="H7" s="552"/>
      <c r="I7" s="552"/>
      <c r="J7" s="552"/>
      <c r="K7" s="552"/>
      <c r="L7" s="553"/>
      <c r="M7" s="554" t="s">
        <v>5</v>
      </c>
      <c r="N7" s="554"/>
      <c r="O7" s="554"/>
      <c r="P7" s="554"/>
      <c r="Q7" s="315"/>
    </row>
    <row r="8" spans="1:17" s="316" customFormat="1">
      <c r="A8" s="550" t="s">
        <v>6</v>
      </c>
      <c r="B8" s="550"/>
      <c r="C8" s="550"/>
      <c r="D8" s="550"/>
      <c r="E8" s="547"/>
      <c r="F8" s="548"/>
      <c r="G8" s="548"/>
      <c r="H8" s="548"/>
      <c r="I8" s="548"/>
      <c r="J8" s="548"/>
      <c r="K8" s="548"/>
      <c r="L8" s="549"/>
      <c r="M8" s="550" t="s">
        <v>7</v>
      </c>
      <c r="N8" s="550"/>
      <c r="O8" s="550"/>
      <c r="P8" s="550"/>
      <c r="Q8" s="315"/>
    </row>
    <row r="9" spans="1:17" s="316" customFormat="1">
      <c r="A9" s="550" t="s">
        <v>8</v>
      </c>
      <c r="B9" s="555"/>
      <c r="C9" s="555"/>
      <c r="D9" s="555"/>
      <c r="E9" s="547"/>
      <c r="F9" s="548"/>
      <c r="G9" s="548"/>
      <c r="H9" s="548"/>
      <c r="I9" s="548"/>
      <c r="J9" s="548"/>
      <c r="K9" s="548"/>
      <c r="L9" s="549"/>
      <c r="M9" s="550" t="s">
        <v>9</v>
      </c>
      <c r="N9" s="550"/>
      <c r="O9" s="550"/>
      <c r="P9" s="550"/>
      <c r="Q9" s="315"/>
    </row>
    <row r="10" spans="1:17" s="316" customFormat="1">
      <c r="A10" s="215"/>
      <c r="B10" s="215"/>
      <c r="C10" s="215"/>
      <c r="D10" s="215"/>
      <c r="E10" s="547"/>
      <c r="F10" s="548"/>
      <c r="G10" s="548"/>
      <c r="H10" s="548"/>
      <c r="I10" s="548"/>
      <c r="J10" s="548"/>
      <c r="K10" s="548"/>
      <c r="L10" s="549"/>
      <c r="M10" s="550" t="s">
        <v>10</v>
      </c>
      <c r="N10" s="550"/>
      <c r="O10" s="550"/>
      <c r="P10" s="550"/>
      <c r="Q10" s="315"/>
    </row>
    <row r="11" spans="1:17" s="316" customFormat="1">
      <c r="A11" s="215"/>
      <c r="B11" s="215"/>
      <c r="C11" s="215"/>
      <c r="D11" s="215"/>
      <c r="E11" s="547"/>
      <c r="F11" s="548"/>
      <c r="G11" s="548"/>
      <c r="H11" s="548"/>
      <c r="I11" s="548"/>
      <c r="J11" s="548"/>
      <c r="K11" s="548"/>
      <c r="L11" s="549"/>
      <c r="M11" s="550" t="s">
        <v>11</v>
      </c>
      <c r="N11" s="550"/>
      <c r="O11" s="550"/>
      <c r="P11" s="550"/>
      <c r="Q11" s="315"/>
    </row>
    <row r="12" spans="1:17" s="316" customFormat="1">
      <c r="A12" s="498"/>
      <c r="B12" s="499"/>
      <c r="C12" s="499"/>
      <c r="D12" s="499"/>
      <c r="E12" s="499"/>
      <c r="F12" s="499"/>
      <c r="G12" s="499"/>
      <c r="H12" s="499"/>
      <c r="I12" s="499"/>
      <c r="J12" s="499"/>
      <c r="K12" s="499"/>
      <c r="L12" s="500"/>
      <c r="M12" s="550" t="s">
        <v>12</v>
      </c>
      <c r="N12" s="550"/>
      <c r="O12" s="550"/>
      <c r="P12" s="550"/>
      <c r="Q12" s="315"/>
    </row>
    <row r="13" spans="1:17" s="316" customFormat="1" ht="13.5" customHeight="1">
      <c r="A13" s="531" t="s">
        <v>1486</v>
      </c>
      <c r="B13" s="546"/>
      <c r="C13" s="546"/>
      <c r="D13" s="546"/>
      <c r="E13" s="546"/>
      <c r="F13" s="546"/>
      <c r="G13" s="546"/>
      <c r="H13" s="546"/>
      <c r="I13" s="546"/>
      <c r="J13" s="546"/>
      <c r="K13" s="546"/>
      <c r="L13" s="546"/>
      <c r="M13" s="546"/>
      <c r="N13" s="546"/>
      <c r="O13" s="546"/>
      <c r="P13" s="532"/>
      <c r="Q13" s="315"/>
    </row>
    <row r="14" spans="1:17">
      <c r="A14" s="212"/>
      <c r="B14" s="213"/>
      <c r="C14" s="213"/>
      <c r="D14" s="215"/>
      <c r="E14" s="212"/>
      <c r="F14" s="213"/>
      <c r="G14" s="216"/>
      <c r="H14" s="213"/>
      <c r="I14" s="214"/>
      <c r="J14" s="217"/>
      <c r="K14" s="218"/>
      <c r="L14" s="218"/>
      <c r="M14" s="218"/>
      <c r="N14" s="218"/>
      <c r="O14" s="219"/>
      <c r="P14" s="217"/>
      <c r="Q14" s="212"/>
    </row>
    <row r="15" spans="1:17">
      <c r="A15" s="212"/>
      <c r="B15" s="213"/>
      <c r="C15" s="213"/>
      <c r="D15" s="215"/>
      <c r="E15" s="212"/>
      <c r="F15" s="213"/>
      <c r="G15" s="216"/>
      <c r="H15" s="213"/>
      <c r="I15" s="214"/>
      <c r="J15" s="217"/>
      <c r="K15" s="218"/>
      <c r="L15" s="218"/>
      <c r="M15" s="218"/>
      <c r="N15" s="218"/>
      <c r="O15" s="219"/>
      <c r="P15" s="217"/>
      <c r="Q15" s="212"/>
    </row>
    <row r="16" spans="1:17">
      <c r="A16" s="527" t="s">
        <v>13</v>
      </c>
      <c r="B16" s="527" t="s">
        <v>14</v>
      </c>
      <c r="C16" s="527" t="s">
        <v>15</v>
      </c>
      <c r="D16" s="220" t="s">
        <v>16</v>
      </c>
      <c r="E16" s="527" t="s">
        <v>17</v>
      </c>
      <c r="F16" s="533" t="s">
        <v>18</v>
      </c>
      <c r="G16" s="534"/>
      <c r="H16" s="537" t="s">
        <v>1461</v>
      </c>
      <c r="I16" s="538"/>
      <c r="J16" s="527" t="s">
        <v>19</v>
      </c>
      <c r="K16" s="529" t="s">
        <v>20</v>
      </c>
      <c r="L16" s="527" t="s">
        <v>21</v>
      </c>
      <c r="M16" s="527" t="s">
        <v>22</v>
      </c>
      <c r="N16" s="529" t="s">
        <v>23</v>
      </c>
      <c r="O16" s="527" t="s">
        <v>24</v>
      </c>
      <c r="P16" s="527" t="s">
        <v>25</v>
      </c>
      <c r="Q16" s="527" t="s">
        <v>26</v>
      </c>
    </row>
    <row r="17" spans="1:17" ht="38.25">
      <c r="A17" s="528"/>
      <c r="B17" s="528"/>
      <c r="C17" s="528"/>
      <c r="D17" s="220" t="s">
        <v>27</v>
      </c>
      <c r="E17" s="528"/>
      <c r="F17" s="535"/>
      <c r="G17" s="536"/>
      <c r="H17" s="539"/>
      <c r="I17" s="540"/>
      <c r="J17" s="528"/>
      <c r="K17" s="530"/>
      <c r="L17" s="528"/>
      <c r="M17" s="528"/>
      <c r="N17" s="530"/>
      <c r="O17" s="528"/>
      <c r="P17" s="528"/>
      <c r="Q17" s="528"/>
    </row>
    <row r="18" spans="1:17" s="222" customFormat="1">
      <c r="A18" s="221">
        <v>1</v>
      </c>
      <c r="B18" s="221">
        <v>2</v>
      </c>
      <c r="C18" s="221"/>
      <c r="D18" s="221">
        <v>4</v>
      </c>
      <c r="E18" s="221">
        <v>5</v>
      </c>
      <c r="F18" s="221">
        <v>6</v>
      </c>
      <c r="G18" s="221">
        <v>7</v>
      </c>
      <c r="H18" s="531">
        <v>8</v>
      </c>
      <c r="I18" s="532"/>
      <c r="J18" s="221">
        <v>9</v>
      </c>
      <c r="K18" s="220">
        <v>10</v>
      </c>
      <c r="L18" s="221">
        <v>11</v>
      </c>
      <c r="M18" s="221">
        <v>12</v>
      </c>
      <c r="N18" s="220">
        <v>13</v>
      </c>
      <c r="O18" s="221" t="s">
        <v>28</v>
      </c>
      <c r="P18" s="221">
        <v>15</v>
      </c>
      <c r="Q18" s="221">
        <v>16</v>
      </c>
    </row>
    <row r="19" spans="1:17">
      <c r="A19" s="223"/>
      <c r="B19" s="223"/>
      <c r="C19" s="223"/>
      <c r="D19" s="223"/>
      <c r="E19" s="224"/>
      <c r="F19" s="224"/>
      <c r="G19" s="225"/>
      <c r="H19" s="525" t="s">
        <v>1487</v>
      </c>
      <c r="I19" s="526"/>
      <c r="J19" s="226"/>
      <c r="K19" s="227"/>
      <c r="L19" s="226"/>
      <c r="M19" s="226"/>
      <c r="N19" s="227"/>
      <c r="O19" s="224"/>
      <c r="P19" s="224"/>
      <c r="Q19" s="224"/>
    </row>
    <row r="20" spans="1:17" ht="38.25">
      <c r="A20" s="238">
        <v>1</v>
      </c>
      <c r="B20" s="321" t="s">
        <v>1460</v>
      </c>
      <c r="C20" s="321">
        <v>170003412</v>
      </c>
      <c r="D20" s="491" t="s">
        <v>1485</v>
      </c>
      <c r="E20" s="228"/>
      <c r="F20" s="225">
        <v>0.18</v>
      </c>
      <c r="G20" s="229"/>
      <c r="H20" s="257">
        <v>2.2000000000000002</v>
      </c>
      <c r="I20" s="231" t="s">
        <v>1284</v>
      </c>
      <c r="J20" s="226" t="s">
        <v>1290</v>
      </c>
      <c r="K20" s="227">
        <v>44</v>
      </c>
      <c r="L20" s="226">
        <v>515.6</v>
      </c>
      <c r="M20" s="396" t="s">
        <v>1291</v>
      </c>
      <c r="N20" s="226">
        <v>515.6</v>
      </c>
      <c r="O20" s="224">
        <f>N20*K20</f>
        <v>22686.400000000001</v>
      </c>
      <c r="P20" s="224">
        <f>IF(ISBLANK(G20),F20*O20,G20*O20)</f>
        <v>4083.5520000000001</v>
      </c>
      <c r="Q20" s="224"/>
    </row>
    <row r="21" spans="1:17" ht="38.25">
      <c r="A21" s="238">
        <v>2</v>
      </c>
      <c r="B21" s="321" t="s">
        <v>1460</v>
      </c>
      <c r="C21" s="321">
        <v>170003412</v>
      </c>
      <c r="D21" s="491" t="s">
        <v>1485</v>
      </c>
      <c r="E21" s="228"/>
      <c r="F21" s="225">
        <v>0.18</v>
      </c>
      <c r="G21" s="229"/>
      <c r="H21" s="230">
        <v>2.2999999999999998</v>
      </c>
      <c r="I21" s="231" t="s">
        <v>1285</v>
      </c>
      <c r="J21" s="226" t="s">
        <v>1290</v>
      </c>
      <c r="K21" s="227">
        <v>44</v>
      </c>
      <c r="L21" s="226">
        <v>294</v>
      </c>
      <c r="M21" s="396" t="s">
        <v>1291</v>
      </c>
      <c r="N21" s="226">
        <v>294</v>
      </c>
      <c r="O21" s="224">
        <f t="shared" ref="O21:O24" si="0">N21*K21</f>
        <v>12936</v>
      </c>
      <c r="P21" s="224">
        <f t="shared" ref="P21:P24" si="1">IF(ISBLANK(G21),F21*O21,G21*O21)</f>
        <v>2328.48</v>
      </c>
      <c r="Q21" s="224"/>
    </row>
    <row r="22" spans="1:17" ht="38.25">
      <c r="A22" s="238">
        <v>3</v>
      </c>
      <c r="B22" s="321" t="s">
        <v>1460</v>
      </c>
      <c r="C22" s="321"/>
      <c r="D22" s="492"/>
      <c r="E22" s="253"/>
      <c r="F22" s="376"/>
      <c r="G22" s="376"/>
      <c r="H22" s="230">
        <v>2.4</v>
      </c>
      <c r="I22" s="231" t="s">
        <v>1286</v>
      </c>
      <c r="J22" s="226"/>
      <c r="K22" s="227"/>
      <c r="L22" s="226"/>
      <c r="M22" s="396"/>
      <c r="N22" s="226"/>
      <c r="O22" s="224"/>
      <c r="P22" s="224"/>
      <c r="Q22" s="224"/>
    </row>
    <row r="23" spans="1:17" ht="15">
      <c r="A23" s="238">
        <v>4</v>
      </c>
      <c r="B23" s="321" t="s">
        <v>1460</v>
      </c>
      <c r="C23" s="321">
        <v>170003416</v>
      </c>
      <c r="D23" s="491" t="s">
        <v>1485</v>
      </c>
      <c r="E23" s="228"/>
      <c r="F23" s="225">
        <v>0.18</v>
      </c>
      <c r="G23" s="229"/>
      <c r="H23" s="230" t="s">
        <v>1287</v>
      </c>
      <c r="I23" s="231" t="s">
        <v>1288</v>
      </c>
      <c r="J23" s="226" t="s">
        <v>1290</v>
      </c>
      <c r="K23" s="227">
        <v>44</v>
      </c>
      <c r="L23" s="226">
        <v>254.15</v>
      </c>
      <c r="M23" s="396" t="s">
        <v>1291</v>
      </c>
      <c r="N23" s="226">
        <v>254.15</v>
      </c>
      <c r="O23" s="224">
        <f t="shared" si="0"/>
        <v>11182.6</v>
      </c>
      <c r="P23" s="224">
        <f t="shared" si="1"/>
        <v>2012.8679999999999</v>
      </c>
      <c r="Q23" s="224"/>
    </row>
    <row r="24" spans="1:17" ht="38.25">
      <c r="A24" s="238">
        <v>5</v>
      </c>
      <c r="B24" s="321" t="s">
        <v>1460</v>
      </c>
      <c r="C24" s="321">
        <v>170003416</v>
      </c>
      <c r="D24" s="491" t="s">
        <v>1485</v>
      </c>
      <c r="E24" s="228"/>
      <c r="F24" s="225">
        <v>0.18</v>
      </c>
      <c r="G24" s="229"/>
      <c r="H24" s="230">
        <v>2.8</v>
      </c>
      <c r="I24" s="231" t="s">
        <v>1289</v>
      </c>
      <c r="J24" s="226" t="s">
        <v>1230</v>
      </c>
      <c r="K24" s="227">
        <v>44</v>
      </c>
      <c r="L24" s="226">
        <v>52.35</v>
      </c>
      <c r="M24" s="396" t="s">
        <v>1291</v>
      </c>
      <c r="N24" s="226">
        <v>52.35</v>
      </c>
      <c r="O24" s="224">
        <f t="shared" si="0"/>
        <v>2303.4</v>
      </c>
      <c r="P24" s="224">
        <f t="shared" si="1"/>
        <v>414.61200000000002</v>
      </c>
      <c r="Q24" s="224"/>
    </row>
    <row r="25" spans="1:17">
      <c r="A25" s="223"/>
      <c r="B25" s="223"/>
      <c r="C25" s="223"/>
      <c r="D25" s="223"/>
      <c r="E25" s="223"/>
      <c r="F25" s="279"/>
      <c r="G25" s="280"/>
      <c r="H25" s="224"/>
      <c r="I25" s="281"/>
      <c r="J25" s="281"/>
      <c r="K25" s="267"/>
      <c r="L25" s="282"/>
      <c r="M25" s="283"/>
      <c r="N25" s="284" t="s">
        <v>1488</v>
      </c>
      <c r="O25" s="493">
        <f>SUM(O18:O24)</f>
        <v>49108.4</v>
      </c>
      <c r="P25" s="493">
        <f>SUM(P18:P24)</f>
        <v>8854.5119999999988</v>
      </c>
      <c r="Q25" s="285" t="e">
        <f>SUM(#REF!)</f>
        <v>#REF!</v>
      </c>
    </row>
    <row r="26" spans="1:17">
      <c r="A26" s="209"/>
      <c r="B26" s="209"/>
      <c r="C26" s="209"/>
      <c r="D26" s="209"/>
      <c r="E26" s="209"/>
      <c r="F26" s="286"/>
      <c r="G26" s="287"/>
      <c r="H26" s="223"/>
      <c r="I26" s="227"/>
      <c r="J26" s="227"/>
      <c r="K26" s="267"/>
      <c r="L26" s="267"/>
      <c r="M26" s="267"/>
      <c r="N26" s="288" t="s">
        <v>1489</v>
      </c>
      <c r="O26" s="494"/>
      <c r="P26" s="495">
        <f>+O26</f>
        <v>0</v>
      </c>
    </row>
    <row r="27" spans="1:17">
      <c r="A27" s="267"/>
      <c r="B27" s="267"/>
      <c r="C27" s="267"/>
      <c r="D27" s="267"/>
      <c r="E27" s="267"/>
      <c r="F27" s="290"/>
      <c r="G27" s="291"/>
      <c r="H27" s="267"/>
      <c r="I27" s="267"/>
      <c r="J27" s="267"/>
      <c r="K27" s="267"/>
      <c r="L27" s="267"/>
      <c r="M27" s="267"/>
      <c r="N27" s="288" t="s">
        <v>444</v>
      </c>
      <c r="O27" s="292">
        <f>+O25*O26</f>
        <v>0</v>
      </c>
      <c r="P27" s="292">
        <f>+P25*P26</f>
        <v>0</v>
      </c>
    </row>
    <row r="28" spans="1:17">
      <c r="A28" s="267"/>
      <c r="B28" s="267"/>
      <c r="C28" s="267"/>
      <c r="D28" s="267"/>
      <c r="E28" s="267"/>
      <c r="F28" s="290"/>
      <c r="G28" s="291"/>
      <c r="H28" s="267"/>
      <c r="J28" s="267"/>
      <c r="K28" s="267"/>
      <c r="L28" s="267"/>
      <c r="M28" s="267"/>
      <c r="N28" s="288" t="s">
        <v>445</v>
      </c>
      <c r="O28" s="493">
        <f>+O27+O25</f>
        <v>49108.4</v>
      </c>
      <c r="P28" s="293"/>
    </row>
    <row r="29" spans="1:17">
      <c r="A29" s="267"/>
      <c r="B29" s="267"/>
      <c r="C29" s="267"/>
      <c r="D29" s="267"/>
      <c r="E29" s="267"/>
      <c r="F29" s="290"/>
      <c r="G29" s="291"/>
      <c r="H29" s="267"/>
      <c r="I29" s="267"/>
      <c r="J29" s="267"/>
      <c r="K29" s="267"/>
      <c r="L29" s="267"/>
      <c r="M29" s="267"/>
      <c r="N29" s="294" t="s">
        <v>446</v>
      </c>
      <c r="O29" s="210"/>
      <c r="P29" s="493">
        <f>+P25+P27</f>
        <v>8854.5119999999988</v>
      </c>
    </row>
    <row r="30" spans="1:17">
      <c r="F30" s="295"/>
    </row>
    <row r="31" spans="1:17">
      <c r="F31" s="295"/>
    </row>
    <row r="32" spans="1:17">
      <c r="A32" s="275" t="s">
        <v>447</v>
      </c>
      <c r="B32" s="299" t="e">
        <v>#REF!</v>
      </c>
      <c r="C32" s="299"/>
      <c r="F32" s="295"/>
      <c r="L32" s="300" t="s">
        <v>448</v>
      </c>
      <c r="M32" s="301" t="e">
        <v>#REF!</v>
      </c>
    </row>
    <row r="33" spans="1:17">
      <c r="A33" s="275" t="s">
        <v>449</v>
      </c>
      <c r="B33" s="208" t="e">
        <v>#REF!</v>
      </c>
      <c r="F33" s="295"/>
      <c r="L33" s="300" t="s">
        <v>450</v>
      </c>
      <c r="M33" s="301" t="e">
        <v>#REF!</v>
      </c>
    </row>
    <row r="34" spans="1:17">
      <c r="F34" s="295"/>
      <c r="O34" s="302"/>
    </row>
    <row r="35" spans="1:17">
      <c r="F35" s="295"/>
    </row>
    <row r="36" spans="1:17">
      <c r="A36" s="303"/>
      <c r="B36" s="303"/>
      <c r="C36" s="303"/>
      <c r="E36" s="275"/>
      <c r="F36" s="304"/>
      <c r="G36" s="305"/>
      <c r="H36" s="275"/>
      <c r="I36" s="306"/>
      <c r="J36" s="306"/>
      <c r="K36" s="307"/>
      <c r="L36" s="306"/>
      <c r="M36" s="306"/>
      <c r="N36" s="308"/>
      <c r="O36" s="275"/>
      <c r="P36" s="275"/>
      <c r="Q36" s="275"/>
    </row>
    <row r="37" spans="1:17">
      <c r="D37" s="303"/>
      <c r="O37" s="302"/>
    </row>
  </sheetData>
  <sheetProtection password="DC2B" sheet="1" objects="1" scenarios="1"/>
  <mergeCells count="39">
    <mergeCell ref="A9:D9"/>
    <mergeCell ref="E9:L9"/>
    <mergeCell ref="M9:P9"/>
    <mergeCell ref="A1:Q1"/>
    <mergeCell ref="A2:Q2"/>
    <mergeCell ref="A3:Q3"/>
    <mergeCell ref="A4:Q4"/>
    <mergeCell ref="A5:Q5"/>
    <mergeCell ref="A6:D6"/>
    <mergeCell ref="E6:L6"/>
    <mergeCell ref="M6:P6"/>
    <mergeCell ref="E7:L7"/>
    <mergeCell ref="M7:P7"/>
    <mergeCell ref="A8:D8"/>
    <mergeCell ref="E8:L8"/>
    <mergeCell ref="M8:P8"/>
    <mergeCell ref="E10:L10"/>
    <mergeCell ref="M10:P10"/>
    <mergeCell ref="E11:L11"/>
    <mergeCell ref="M11:P11"/>
    <mergeCell ref="A12:L12"/>
    <mergeCell ref="M12:P12"/>
    <mergeCell ref="Q16:Q17"/>
    <mergeCell ref="H18:I18"/>
    <mergeCell ref="A16:A17"/>
    <mergeCell ref="B16:B17"/>
    <mergeCell ref="C16:C17"/>
    <mergeCell ref="E16:E17"/>
    <mergeCell ref="F16:G17"/>
    <mergeCell ref="H16:I17"/>
    <mergeCell ref="J16:J17"/>
    <mergeCell ref="K16:K17"/>
    <mergeCell ref="L16:L17"/>
    <mergeCell ref="A13:P13"/>
    <mergeCell ref="H19:I19"/>
    <mergeCell ref="M16:M17"/>
    <mergeCell ref="N16:N17"/>
    <mergeCell ref="O16:O17"/>
    <mergeCell ref="P16:P17"/>
  </mergeCells>
  <dataValidations count="1">
    <dataValidation allowBlank="1" showInputMessage="1" showErrorMessage="1" error="ENTER PERCENTAGE " prompt="Please Enter Percentage" sqref="O26" xr:uid="{899CAD61-9342-4CF4-A6B8-B2725CDA7C7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0"/>
  <sheetViews>
    <sheetView view="pageBreakPreview" topLeftCell="D29" zoomScaleNormal="70" zoomScaleSheetLayoutView="100" workbookViewId="0">
      <selection activeCell="H50" sqref="H50:N50"/>
    </sheetView>
  </sheetViews>
  <sheetFormatPr defaultRowHeight="12.75"/>
  <cols>
    <col min="1" max="1" width="7" style="398" bestFit="1" customWidth="1"/>
    <col min="2" max="2" width="12.42578125" style="398" customWidth="1"/>
    <col min="3" max="3" width="15.42578125" style="398" customWidth="1"/>
    <col min="4" max="5" width="15.42578125" style="401" customWidth="1"/>
    <col min="6" max="6" width="15.42578125" style="398" customWidth="1"/>
    <col min="7" max="7" width="15.42578125" style="401" customWidth="1"/>
    <col min="8" max="8" width="78.28515625" style="402" customWidth="1"/>
    <col min="9" max="9" width="8.28515625" style="403" customWidth="1"/>
    <col min="10" max="10" width="10.7109375" style="403" customWidth="1"/>
    <col min="11" max="11" width="9.42578125" style="403" customWidth="1"/>
    <col min="12" max="12" width="18.7109375" style="403" bestFit="1" customWidth="1"/>
    <col min="13" max="13" width="9.140625" style="398"/>
    <col min="14" max="14" width="9.5703125" style="398" bestFit="1" customWidth="1"/>
    <col min="15" max="15" width="17" style="398" bestFit="1" customWidth="1"/>
    <col min="16" max="16" width="15.42578125" style="398" customWidth="1"/>
    <col min="17" max="17" width="15.140625" style="398" hidden="1" customWidth="1"/>
    <col min="18" max="18" width="9.140625" style="398"/>
    <col min="19" max="19" width="10.28515625" style="398" bestFit="1" customWidth="1"/>
    <col min="20" max="16384" width="9.140625" style="398"/>
  </cols>
  <sheetData>
    <row r="1" spans="1:14" s="208" customFormat="1">
      <c r="A1" s="541" t="s">
        <v>0</v>
      </c>
      <c r="B1" s="541"/>
      <c r="C1" s="541"/>
      <c r="D1" s="541"/>
      <c r="E1" s="541"/>
      <c r="F1" s="541"/>
      <c r="G1" s="541"/>
      <c r="H1" s="541"/>
      <c r="I1" s="541"/>
      <c r="J1" s="541"/>
      <c r="K1" s="541"/>
      <c r="L1" s="541"/>
      <c r="M1" s="541"/>
      <c r="N1" s="275"/>
    </row>
    <row r="2" spans="1:14" s="208" customFormat="1" ht="15" customHeight="1">
      <c r="A2" s="542" t="s">
        <v>1</v>
      </c>
      <c r="B2" s="542"/>
      <c r="C2" s="542"/>
      <c r="D2" s="542"/>
      <c r="E2" s="542"/>
      <c r="F2" s="542"/>
      <c r="G2" s="542"/>
      <c r="H2" s="542"/>
      <c r="I2" s="542"/>
      <c r="J2" s="542"/>
      <c r="K2" s="542"/>
      <c r="L2" s="542"/>
      <c r="M2" s="542"/>
      <c r="N2" s="275"/>
    </row>
    <row r="3" spans="1:14" s="208" customFormat="1" ht="15" customHeight="1">
      <c r="A3" s="542" t="s">
        <v>2</v>
      </c>
      <c r="B3" s="542"/>
      <c r="C3" s="542"/>
      <c r="D3" s="542"/>
      <c r="E3" s="542"/>
      <c r="F3" s="542"/>
      <c r="G3" s="542"/>
      <c r="H3" s="542"/>
      <c r="I3" s="542"/>
      <c r="J3" s="542"/>
      <c r="K3" s="542"/>
      <c r="L3" s="542"/>
      <c r="M3" s="542"/>
      <c r="N3" s="275"/>
    </row>
    <row r="4" spans="1:14" s="208" customFormat="1" ht="31.5" hidden="1" customHeight="1">
      <c r="A4" s="543" t="s">
        <v>881</v>
      </c>
      <c r="B4" s="543"/>
      <c r="C4" s="543"/>
      <c r="D4" s="543"/>
      <c r="E4" s="543"/>
      <c r="F4" s="543"/>
      <c r="G4" s="543"/>
      <c r="H4" s="543"/>
      <c r="I4" s="543"/>
      <c r="J4" s="543"/>
      <c r="K4" s="543"/>
      <c r="L4" s="543"/>
      <c r="M4" s="543"/>
      <c r="N4" s="275"/>
    </row>
    <row r="5" spans="1:14" s="208" customFormat="1" ht="17.25" customHeight="1">
      <c r="A5" s="560" t="s">
        <v>1464</v>
      </c>
      <c r="B5" s="560"/>
      <c r="C5" s="560"/>
      <c r="D5" s="560"/>
      <c r="E5" s="560"/>
      <c r="F5" s="560"/>
      <c r="G5" s="560"/>
      <c r="H5" s="560"/>
      <c r="I5" s="560"/>
      <c r="J5" s="560"/>
      <c r="K5" s="560"/>
      <c r="L5" s="560"/>
      <c r="M5" s="560"/>
      <c r="N5" s="275"/>
    </row>
    <row r="6" spans="1:14" s="208" customFormat="1" ht="16.5" customHeight="1">
      <c r="A6" s="544" t="s">
        <v>1447</v>
      </c>
      <c r="B6" s="544"/>
      <c r="C6" s="544"/>
      <c r="D6" s="544"/>
      <c r="E6" s="544"/>
      <c r="F6" s="544"/>
      <c r="G6" s="544"/>
      <c r="H6" s="544"/>
      <c r="I6" s="544"/>
      <c r="J6" s="544"/>
      <c r="K6" s="544"/>
      <c r="L6" s="544"/>
      <c r="M6" s="544"/>
      <c r="N6" s="397"/>
    </row>
    <row r="7" spans="1:14" s="208" customFormat="1" ht="15" customHeight="1">
      <c r="A7" s="544" t="s">
        <v>3</v>
      </c>
      <c r="B7" s="544"/>
      <c r="C7" s="544"/>
      <c r="D7" s="544"/>
      <c r="E7" s="544"/>
      <c r="F7" s="544"/>
      <c r="G7" s="544"/>
      <c r="H7" s="544"/>
      <c r="I7" s="544"/>
      <c r="J7" s="544"/>
      <c r="K7" s="544"/>
      <c r="L7" s="544"/>
      <c r="M7" s="544"/>
      <c r="N7" s="397"/>
    </row>
    <row r="8" spans="1:14" s="310" customFormat="1">
      <c r="A8" s="311" t="s">
        <v>4</v>
      </c>
      <c r="B8" s="311"/>
      <c r="C8" s="311"/>
      <c r="D8" s="311"/>
      <c r="E8" s="328"/>
      <c r="F8" s="547"/>
      <c r="G8" s="548"/>
      <c r="H8" s="548"/>
      <c r="I8" s="548"/>
      <c r="J8" s="549"/>
      <c r="K8" s="561" t="s">
        <v>5</v>
      </c>
      <c r="L8" s="562"/>
      <c r="M8" s="563"/>
    </row>
    <row r="9" spans="1:14" s="310" customFormat="1">
      <c r="A9" s="550" t="s">
        <v>6</v>
      </c>
      <c r="B9" s="550"/>
      <c r="C9" s="550"/>
      <c r="D9" s="550"/>
      <c r="E9" s="328"/>
      <c r="F9" s="547"/>
      <c r="G9" s="548"/>
      <c r="H9" s="548"/>
      <c r="I9" s="548"/>
      <c r="J9" s="549"/>
      <c r="K9" s="561" t="s">
        <v>7</v>
      </c>
      <c r="L9" s="562"/>
      <c r="M9" s="563"/>
    </row>
    <row r="10" spans="1:14" s="310" customFormat="1">
      <c r="A10" s="550" t="s">
        <v>8</v>
      </c>
      <c r="B10" s="555"/>
      <c r="C10" s="555"/>
      <c r="D10" s="555"/>
      <c r="E10" s="318"/>
      <c r="F10" s="547"/>
      <c r="G10" s="548"/>
      <c r="H10" s="548"/>
      <c r="I10" s="548"/>
      <c r="J10" s="549"/>
      <c r="K10" s="561" t="s">
        <v>9</v>
      </c>
      <c r="L10" s="562"/>
      <c r="M10" s="563"/>
    </row>
    <row r="11" spans="1:14" s="310" customFormat="1">
      <c r="A11" s="215"/>
      <c r="B11" s="215"/>
      <c r="C11" s="215"/>
      <c r="D11" s="312"/>
      <c r="E11" s="329"/>
      <c r="F11" s="547"/>
      <c r="G11" s="548"/>
      <c r="H11" s="548"/>
      <c r="I11" s="548"/>
      <c r="J11" s="549"/>
      <c r="K11" s="561" t="s">
        <v>10</v>
      </c>
      <c r="L11" s="562"/>
      <c r="M11" s="563"/>
    </row>
    <row r="12" spans="1:14" s="310" customFormat="1">
      <c r="A12" s="215"/>
      <c r="B12" s="215"/>
      <c r="C12" s="215"/>
      <c r="D12" s="312"/>
      <c r="E12" s="329"/>
      <c r="F12" s="547"/>
      <c r="G12" s="548"/>
      <c r="H12" s="548"/>
      <c r="I12" s="548"/>
      <c r="J12" s="549"/>
      <c r="K12" s="561" t="s">
        <v>11</v>
      </c>
      <c r="L12" s="562"/>
      <c r="M12" s="563"/>
    </row>
    <row r="13" spans="1:14" s="310" customFormat="1">
      <c r="A13" s="498"/>
      <c r="B13" s="499"/>
      <c r="C13" s="499"/>
      <c r="D13" s="499"/>
      <c r="E13" s="499"/>
      <c r="F13" s="499"/>
      <c r="G13" s="499"/>
      <c r="H13" s="499"/>
      <c r="I13" s="499"/>
      <c r="J13" s="500"/>
      <c r="K13" s="561" t="s">
        <v>12</v>
      </c>
      <c r="L13" s="562"/>
      <c r="M13" s="563"/>
    </row>
    <row r="14" spans="1:14" s="310" customFormat="1" ht="15" customHeight="1">
      <c r="A14" s="531" t="s">
        <v>1478</v>
      </c>
      <c r="B14" s="546"/>
      <c r="C14" s="546"/>
      <c r="D14" s="546"/>
      <c r="E14" s="546"/>
      <c r="F14" s="546"/>
      <c r="G14" s="546"/>
      <c r="H14" s="546"/>
      <c r="I14" s="546"/>
      <c r="J14" s="546"/>
      <c r="K14" s="546"/>
      <c r="L14" s="546"/>
      <c r="M14" s="532"/>
    </row>
    <row r="15" spans="1:14">
      <c r="A15" s="597" t="s">
        <v>882</v>
      </c>
      <c r="B15" s="598"/>
      <c r="C15" s="598"/>
      <c r="D15" s="598"/>
      <c r="E15" s="598"/>
      <c r="F15" s="598"/>
      <c r="G15" s="598"/>
      <c r="H15" s="598"/>
      <c r="I15" s="598"/>
      <c r="J15" s="598"/>
      <c r="K15" s="598"/>
      <c r="L15" s="599"/>
    </row>
    <row r="16" spans="1:14">
      <c r="A16" s="600" t="s">
        <v>1465</v>
      </c>
      <c r="B16" s="601"/>
      <c r="C16" s="601"/>
      <c r="D16" s="601"/>
      <c r="E16" s="601"/>
      <c r="F16" s="601"/>
      <c r="G16" s="601"/>
      <c r="H16" s="601"/>
      <c r="I16" s="601"/>
      <c r="J16" s="601"/>
      <c r="K16" s="601"/>
      <c r="L16" s="602"/>
    </row>
    <row r="17" spans="1:17">
      <c r="A17" s="606" t="s">
        <v>1466</v>
      </c>
      <c r="B17" s="607" t="s">
        <v>14</v>
      </c>
      <c r="C17" s="595" t="s">
        <v>1467</v>
      </c>
      <c r="D17" s="609" t="s">
        <v>27</v>
      </c>
      <c r="E17" s="527" t="s">
        <v>17</v>
      </c>
      <c r="F17" s="611" t="s">
        <v>18</v>
      </c>
      <c r="G17" s="612"/>
      <c r="H17" s="595" t="s">
        <v>884</v>
      </c>
      <c r="I17" s="596" t="s">
        <v>885</v>
      </c>
      <c r="J17" s="604" t="s">
        <v>886</v>
      </c>
      <c r="K17" s="604" t="s">
        <v>887</v>
      </c>
      <c r="L17" s="605" t="s">
        <v>888</v>
      </c>
      <c r="M17" s="603" t="s">
        <v>22</v>
      </c>
      <c r="N17" s="603" t="s">
        <v>23</v>
      </c>
      <c r="O17" s="603" t="s">
        <v>24</v>
      </c>
      <c r="P17" s="603" t="s">
        <v>25</v>
      </c>
      <c r="Q17" s="603" t="s">
        <v>26</v>
      </c>
    </row>
    <row r="18" spans="1:17" ht="66.75" customHeight="1">
      <c r="A18" s="606"/>
      <c r="B18" s="608"/>
      <c r="C18" s="595"/>
      <c r="D18" s="610"/>
      <c r="E18" s="528"/>
      <c r="F18" s="613"/>
      <c r="G18" s="614"/>
      <c r="H18" s="595"/>
      <c r="I18" s="596"/>
      <c r="J18" s="604"/>
      <c r="K18" s="604"/>
      <c r="L18" s="605"/>
      <c r="M18" s="603"/>
      <c r="N18" s="603"/>
      <c r="O18" s="603"/>
      <c r="P18" s="603"/>
      <c r="Q18" s="603"/>
    </row>
    <row r="19" spans="1:17" ht="21.75" customHeight="1">
      <c r="A19" s="404"/>
      <c r="B19" s="405">
        <v>1</v>
      </c>
      <c r="C19" s="406">
        <v>2</v>
      </c>
      <c r="D19" s="406">
        <v>3</v>
      </c>
      <c r="E19" s="406">
        <v>4</v>
      </c>
      <c r="F19" s="406">
        <v>5</v>
      </c>
      <c r="G19" s="406">
        <v>6</v>
      </c>
      <c r="H19" s="407">
        <v>7</v>
      </c>
      <c r="I19" s="408">
        <v>8</v>
      </c>
      <c r="J19" s="409">
        <v>9</v>
      </c>
      <c r="K19" s="409">
        <v>10</v>
      </c>
      <c r="L19" s="410">
        <v>11</v>
      </c>
      <c r="M19" s="399">
        <v>12</v>
      </c>
      <c r="N19" s="399">
        <v>13</v>
      </c>
      <c r="O19" s="399">
        <v>14</v>
      </c>
      <c r="P19" s="399">
        <v>15</v>
      </c>
      <c r="Q19" s="399">
        <v>16</v>
      </c>
    </row>
    <row r="20" spans="1:17" ht="63.75">
      <c r="A20" s="411">
        <v>1</v>
      </c>
      <c r="B20" s="321" t="s">
        <v>1460</v>
      </c>
      <c r="C20" s="406" t="s">
        <v>889</v>
      </c>
      <c r="D20" s="413">
        <v>995461</v>
      </c>
      <c r="E20" s="423"/>
      <c r="F20" s="414">
        <v>0.18</v>
      </c>
      <c r="G20" s="424"/>
      <c r="H20" s="441" t="s">
        <v>890</v>
      </c>
      <c r="I20" s="416" t="s">
        <v>891</v>
      </c>
      <c r="J20" s="417">
        <v>90</v>
      </c>
      <c r="K20" s="416">
        <v>1182</v>
      </c>
      <c r="L20" s="418">
        <f t="shared" ref="L20:L21" si="0">K20*J20</f>
        <v>106380</v>
      </c>
      <c r="M20" s="419">
        <v>0.14050000000000001</v>
      </c>
      <c r="N20" s="420">
        <f t="shared" ref="N20:N21" si="1">K20/1.1405</f>
        <v>1036.3875493204735</v>
      </c>
      <c r="O20" s="420">
        <f t="shared" ref="O20:O21" si="2">J20*N20</f>
        <v>93274.879438842618</v>
      </c>
      <c r="P20" s="420">
        <f t="shared" ref="P20:P21" si="3">IF(ISBLANK(G20),F20*O20,G20*O20)</f>
        <v>16789.478298991671</v>
      </c>
      <c r="Q20" s="400"/>
    </row>
    <row r="21" spans="1:17" ht="38.25">
      <c r="A21" s="421">
        <v>2</v>
      </c>
      <c r="B21" s="321" t="s">
        <v>1460</v>
      </c>
      <c r="C21" s="416">
        <v>1.25</v>
      </c>
      <c r="D21" s="413">
        <v>995461</v>
      </c>
      <c r="E21" s="423"/>
      <c r="F21" s="414">
        <v>0.18</v>
      </c>
      <c r="G21" s="424"/>
      <c r="H21" s="441" t="s">
        <v>892</v>
      </c>
      <c r="I21" s="416" t="s">
        <v>171</v>
      </c>
      <c r="J21" s="417">
        <v>11</v>
      </c>
      <c r="K21" s="416">
        <v>369</v>
      </c>
      <c r="L21" s="418">
        <f t="shared" si="0"/>
        <v>4059</v>
      </c>
      <c r="M21" s="419">
        <v>0.14050000000000001</v>
      </c>
      <c r="N21" s="420">
        <f t="shared" si="1"/>
        <v>323.54230600613766</v>
      </c>
      <c r="O21" s="420">
        <f t="shared" si="2"/>
        <v>3558.9653660675144</v>
      </c>
      <c r="P21" s="420">
        <f t="shared" si="3"/>
        <v>640.61376589215263</v>
      </c>
      <c r="Q21" s="400"/>
    </row>
    <row r="22" spans="1:17" ht="38.25">
      <c r="A22" s="421">
        <v>3</v>
      </c>
      <c r="B22" s="321" t="s">
        <v>1460</v>
      </c>
      <c r="C22" s="416">
        <v>1.31</v>
      </c>
      <c r="D22" s="413">
        <v>995461</v>
      </c>
      <c r="E22" s="423"/>
      <c r="F22" s="414">
        <v>0.18</v>
      </c>
      <c r="G22" s="424"/>
      <c r="H22" s="441" t="s">
        <v>1468</v>
      </c>
      <c r="I22" s="416" t="s">
        <v>171</v>
      </c>
      <c r="J22" s="417">
        <v>33</v>
      </c>
      <c r="K22" s="416">
        <v>477</v>
      </c>
      <c r="L22" s="418">
        <f t="shared" ref="L22:L26" si="4">K22*J22</f>
        <v>15741</v>
      </c>
      <c r="M22" s="419">
        <v>0.14050000000000001</v>
      </c>
      <c r="N22" s="420">
        <f t="shared" ref="N22:N45" si="5">K22/1.1405</f>
        <v>418.23761508110476</v>
      </c>
      <c r="O22" s="420">
        <f t="shared" ref="O22:O45" si="6">J22*N22</f>
        <v>13801.841297676458</v>
      </c>
      <c r="P22" s="420">
        <f>IF(ISBLANK(G22),F22*O22,G22*O22)</f>
        <v>2484.3314335817622</v>
      </c>
      <c r="Q22" s="400">
        <f t="shared" ref="Q22:Q46" si="7">O22+P22</f>
        <v>16286.172731258219</v>
      </c>
    </row>
    <row r="23" spans="1:17" ht="38.25">
      <c r="A23" s="421">
        <v>4</v>
      </c>
      <c r="B23" s="321" t="s">
        <v>1460</v>
      </c>
      <c r="C23" s="416">
        <v>1.32</v>
      </c>
      <c r="D23" s="413">
        <v>995461</v>
      </c>
      <c r="E23" s="423"/>
      <c r="F23" s="414">
        <v>0.18</v>
      </c>
      <c r="G23" s="424"/>
      <c r="H23" s="441" t="s">
        <v>1469</v>
      </c>
      <c r="I23" s="416" t="s">
        <v>171</v>
      </c>
      <c r="J23" s="417">
        <v>9</v>
      </c>
      <c r="K23" s="416">
        <v>586</v>
      </c>
      <c r="L23" s="418">
        <f t="shared" si="4"/>
        <v>5274</v>
      </c>
      <c r="M23" s="419">
        <v>0.14050000000000001</v>
      </c>
      <c r="N23" s="420">
        <f t="shared" si="5"/>
        <v>513.80973257343271</v>
      </c>
      <c r="O23" s="420">
        <f t="shared" si="6"/>
        <v>4624.2875931608942</v>
      </c>
      <c r="P23" s="420">
        <f t="shared" ref="P23:P26" si="8">IF(ISBLANK(G23),F23*O23,G23*O23)</f>
        <v>832.37176676896092</v>
      </c>
      <c r="Q23" s="400">
        <f t="shared" si="7"/>
        <v>5456.6593599298549</v>
      </c>
    </row>
    <row r="24" spans="1:17" ht="38.25">
      <c r="A24" s="421">
        <v>5</v>
      </c>
      <c r="B24" s="321" t="s">
        <v>1460</v>
      </c>
      <c r="C24" s="416">
        <v>1.57</v>
      </c>
      <c r="D24" s="413">
        <v>995461</v>
      </c>
      <c r="E24" s="423"/>
      <c r="F24" s="414">
        <v>0.18</v>
      </c>
      <c r="G24" s="424"/>
      <c r="H24" s="441" t="s">
        <v>893</v>
      </c>
      <c r="I24" s="416" t="s">
        <v>171</v>
      </c>
      <c r="J24" s="417">
        <v>7</v>
      </c>
      <c r="K24" s="416">
        <v>727</v>
      </c>
      <c r="L24" s="418">
        <f t="shared" si="4"/>
        <v>5089</v>
      </c>
      <c r="M24" s="419">
        <v>0.14050000000000001</v>
      </c>
      <c r="N24" s="420">
        <f t="shared" si="5"/>
        <v>637.43971942130645</v>
      </c>
      <c r="O24" s="420">
        <f t="shared" si="6"/>
        <v>4462.0780359491455</v>
      </c>
      <c r="P24" s="420">
        <f t="shared" si="8"/>
        <v>803.17404647084618</v>
      </c>
      <c r="Q24" s="400">
        <f t="shared" si="7"/>
        <v>5265.2520824199919</v>
      </c>
    </row>
    <row r="25" spans="1:17" ht="38.25">
      <c r="A25" s="421">
        <v>6</v>
      </c>
      <c r="B25" s="321" t="s">
        <v>1460</v>
      </c>
      <c r="C25" s="416">
        <v>1.18</v>
      </c>
      <c r="D25" s="413"/>
      <c r="E25" s="442"/>
      <c r="F25" s="443"/>
      <c r="G25" s="444"/>
      <c r="H25" s="441" t="s">
        <v>1470</v>
      </c>
      <c r="I25" s="416"/>
      <c r="J25" s="417"/>
      <c r="K25" s="416"/>
      <c r="L25" s="418"/>
      <c r="M25" s="419"/>
      <c r="N25" s="420"/>
      <c r="O25" s="420"/>
      <c r="P25" s="420"/>
      <c r="Q25" s="400">
        <f t="shared" si="7"/>
        <v>0</v>
      </c>
    </row>
    <row r="26" spans="1:17">
      <c r="A26" s="421">
        <v>7</v>
      </c>
      <c r="B26" s="321" t="s">
        <v>1460</v>
      </c>
      <c r="C26" s="416" t="s">
        <v>894</v>
      </c>
      <c r="D26" s="413">
        <v>995424</v>
      </c>
      <c r="E26" s="423"/>
      <c r="F26" s="414">
        <v>0.18</v>
      </c>
      <c r="G26" s="424"/>
      <c r="H26" s="441" t="s">
        <v>895</v>
      </c>
      <c r="I26" s="416" t="s">
        <v>416</v>
      </c>
      <c r="J26" s="417">
        <f>20*7</f>
        <v>140</v>
      </c>
      <c r="K26" s="416">
        <v>38</v>
      </c>
      <c r="L26" s="418">
        <f t="shared" si="4"/>
        <v>5320</v>
      </c>
      <c r="M26" s="419">
        <v>0.14050000000000001</v>
      </c>
      <c r="N26" s="420">
        <f t="shared" si="5"/>
        <v>33.318719859710654</v>
      </c>
      <c r="O26" s="420">
        <f t="shared" si="6"/>
        <v>4664.6207803594916</v>
      </c>
      <c r="P26" s="420">
        <f t="shared" si="8"/>
        <v>839.63174046470851</v>
      </c>
      <c r="Q26" s="400">
        <f t="shared" si="7"/>
        <v>5504.2525208242005</v>
      </c>
    </row>
    <row r="27" spans="1:17" ht="38.25">
      <c r="A27" s="421">
        <v>8</v>
      </c>
      <c r="B27" s="321" t="s">
        <v>1460</v>
      </c>
      <c r="C27" s="416">
        <v>1.21</v>
      </c>
      <c r="D27" s="413"/>
      <c r="E27" s="442"/>
      <c r="F27" s="443"/>
      <c r="G27" s="444"/>
      <c r="H27" s="441" t="s">
        <v>1471</v>
      </c>
      <c r="I27" s="416"/>
      <c r="J27" s="417"/>
      <c r="K27" s="416"/>
      <c r="L27" s="418"/>
      <c r="M27" s="419"/>
      <c r="N27" s="420"/>
      <c r="O27" s="420"/>
      <c r="P27" s="420"/>
      <c r="Q27" s="400">
        <f t="shared" si="7"/>
        <v>0</v>
      </c>
    </row>
    <row r="28" spans="1:17">
      <c r="A28" s="421">
        <v>9</v>
      </c>
      <c r="B28" s="321" t="s">
        <v>1460</v>
      </c>
      <c r="C28" s="416" t="s">
        <v>1294</v>
      </c>
      <c r="D28" s="413">
        <v>995461</v>
      </c>
      <c r="E28" s="445"/>
      <c r="F28" s="414">
        <v>0.18</v>
      </c>
      <c r="G28" s="445"/>
      <c r="H28" s="441" t="s">
        <v>896</v>
      </c>
      <c r="I28" s="416" t="s">
        <v>416</v>
      </c>
      <c r="J28" s="417">
        <f>20*7</f>
        <v>140</v>
      </c>
      <c r="K28" s="416">
        <v>128</v>
      </c>
      <c r="L28" s="418">
        <f>K28*J28</f>
        <v>17920</v>
      </c>
      <c r="M28" s="419">
        <v>0.14050000000000001</v>
      </c>
      <c r="N28" s="420">
        <f t="shared" ref="N28" si="9">K28/1.1405</f>
        <v>112.23147742218325</v>
      </c>
      <c r="O28" s="420">
        <f t="shared" ref="O28" si="10">J28*N28</f>
        <v>15712.406839105655</v>
      </c>
      <c r="P28" s="420">
        <f>IF(ISBLANK(G28),F28*O28,G28*O28)</f>
        <v>2828.2332310390179</v>
      </c>
      <c r="Q28" s="400"/>
    </row>
    <row r="29" spans="1:17" ht="25.5">
      <c r="A29" s="421">
        <v>10</v>
      </c>
      <c r="B29" s="321" t="s">
        <v>1460</v>
      </c>
      <c r="C29" s="416">
        <v>1.24</v>
      </c>
      <c r="D29" s="413"/>
      <c r="E29" s="425"/>
      <c r="F29" s="414"/>
      <c r="G29" s="426"/>
      <c r="H29" s="441" t="s">
        <v>1472</v>
      </c>
      <c r="I29" s="416"/>
      <c r="J29" s="417"/>
      <c r="K29" s="416"/>
      <c r="L29" s="418"/>
      <c r="M29" s="419"/>
      <c r="N29" s="420"/>
      <c r="O29" s="420"/>
      <c r="P29" s="420"/>
      <c r="Q29" s="400">
        <f t="shared" si="7"/>
        <v>0</v>
      </c>
    </row>
    <row r="30" spans="1:17">
      <c r="A30" s="421">
        <v>11</v>
      </c>
      <c r="B30" s="321" t="s">
        <v>1460</v>
      </c>
      <c r="C30" s="416" t="s">
        <v>897</v>
      </c>
      <c r="D30" s="413">
        <v>995461</v>
      </c>
      <c r="E30" s="423"/>
      <c r="F30" s="414">
        <v>0.18</v>
      </c>
      <c r="G30" s="424"/>
      <c r="H30" s="441" t="s">
        <v>898</v>
      </c>
      <c r="I30" s="416" t="s">
        <v>171</v>
      </c>
      <c r="J30" s="417">
        <v>7</v>
      </c>
      <c r="K30" s="416">
        <v>148</v>
      </c>
      <c r="L30" s="418">
        <f>K30*J30</f>
        <v>1036</v>
      </c>
      <c r="M30" s="419">
        <v>0.14050000000000001</v>
      </c>
      <c r="N30" s="420">
        <f t="shared" si="5"/>
        <v>129.76764576939937</v>
      </c>
      <c r="O30" s="420">
        <f t="shared" si="6"/>
        <v>908.37352038579559</v>
      </c>
      <c r="P30" s="420">
        <f>IF(ISBLANK(G30),F30*O30,G30*O30)</f>
        <v>163.5072336694432</v>
      </c>
      <c r="Q30" s="400">
        <f t="shared" si="7"/>
        <v>1071.8807540552389</v>
      </c>
    </row>
    <row r="31" spans="1:17" ht="38.25">
      <c r="A31" s="421">
        <v>11</v>
      </c>
      <c r="B31" s="321" t="s">
        <v>1460</v>
      </c>
      <c r="C31" s="416">
        <v>1.1399999999999999</v>
      </c>
      <c r="D31" s="413"/>
      <c r="E31" s="427"/>
      <c r="F31" s="414"/>
      <c r="G31" s="426"/>
      <c r="H31" s="441" t="s">
        <v>899</v>
      </c>
      <c r="I31" s="406"/>
      <c r="J31" s="428"/>
      <c r="K31" s="406"/>
      <c r="L31" s="418"/>
      <c r="M31" s="419"/>
      <c r="N31" s="420"/>
      <c r="O31" s="420"/>
      <c r="P31" s="420"/>
      <c r="Q31" s="400"/>
    </row>
    <row r="32" spans="1:17">
      <c r="A32" s="421">
        <v>12</v>
      </c>
      <c r="B32" s="321" t="s">
        <v>1460</v>
      </c>
      <c r="C32" s="416" t="s">
        <v>900</v>
      </c>
      <c r="D32" s="413">
        <v>995461</v>
      </c>
      <c r="E32" s="423"/>
      <c r="F32" s="414">
        <v>0.18</v>
      </c>
      <c r="G32" s="429"/>
      <c r="H32" s="441" t="s">
        <v>1462</v>
      </c>
      <c r="I32" s="416" t="s">
        <v>416</v>
      </c>
      <c r="J32" s="417">
        <v>330</v>
      </c>
      <c r="K32" s="416">
        <v>233</v>
      </c>
      <c r="L32" s="418">
        <f>K32*J32</f>
        <v>76890</v>
      </c>
      <c r="M32" s="419">
        <v>0.14050000000000001</v>
      </c>
      <c r="N32" s="420">
        <f t="shared" si="5"/>
        <v>204.29636124506794</v>
      </c>
      <c r="O32" s="420">
        <f t="shared" si="6"/>
        <v>67417.799210872414</v>
      </c>
      <c r="P32" s="420">
        <f>IF(ISBLANK(G32),F32*O32,G32*O32)</f>
        <v>12135.203857957034</v>
      </c>
      <c r="Q32" s="400">
        <f t="shared" si="7"/>
        <v>79553.00306882945</v>
      </c>
    </row>
    <row r="33" spans="1:18">
      <c r="A33" s="421">
        <v>13</v>
      </c>
      <c r="B33" s="321" t="s">
        <v>1460</v>
      </c>
      <c r="C33" s="416" t="s">
        <v>901</v>
      </c>
      <c r="D33" s="413">
        <v>995461</v>
      </c>
      <c r="E33" s="423"/>
      <c r="F33" s="414">
        <v>0.18</v>
      </c>
      <c r="G33" s="424"/>
      <c r="H33" s="441" t="s">
        <v>1463</v>
      </c>
      <c r="I33" s="416" t="s">
        <v>416</v>
      </c>
      <c r="J33" s="417">
        <v>135</v>
      </c>
      <c r="K33" s="416">
        <v>275</v>
      </c>
      <c r="L33" s="418">
        <f>K33*J33</f>
        <v>37125</v>
      </c>
      <c r="M33" s="419">
        <v>0.14050000000000001</v>
      </c>
      <c r="N33" s="420">
        <f t="shared" ref="N33" si="11">K33/1.1405</f>
        <v>241.12231477422182</v>
      </c>
      <c r="O33" s="420">
        <f t="shared" ref="O33" si="12">J33*N33</f>
        <v>32551.512494519946</v>
      </c>
      <c r="P33" s="420">
        <f>IF(ISBLANK(G33),F33*O33,G33*O33)</f>
        <v>5859.2722490135902</v>
      </c>
      <c r="Q33" s="400"/>
    </row>
    <row r="34" spans="1:18">
      <c r="A34" s="421">
        <v>14</v>
      </c>
      <c r="B34" s="321" t="s">
        <v>1460</v>
      </c>
      <c r="C34" s="416" t="s">
        <v>902</v>
      </c>
      <c r="D34" s="413">
        <v>995461</v>
      </c>
      <c r="E34" s="423"/>
      <c r="F34" s="414">
        <v>0.18</v>
      </c>
      <c r="G34" s="424"/>
      <c r="H34" s="441" t="s">
        <v>903</v>
      </c>
      <c r="I34" s="416" t="s">
        <v>416</v>
      </c>
      <c r="J34" s="417">
        <v>105</v>
      </c>
      <c r="K34" s="416">
        <v>334</v>
      </c>
      <c r="L34" s="418">
        <f>K34*J34</f>
        <v>35070</v>
      </c>
      <c r="M34" s="419">
        <v>0.14050000000000001</v>
      </c>
      <c r="N34" s="420">
        <f t="shared" si="5"/>
        <v>292.85401139850939</v>
      </c>
      <c r="O34" s="420">
        <f t="shared" si="6"/>
        <v>30749.671196843487</v>
      </c>
      <c r="P34" s="420">
        <f>IF(ISBLANK(G34),F34*O34,G34*O34)</f>
        <v>5534.9408154318271</v>
      </c>
      <c r="Q34" s="400">
        <f t="shared" si="7"/>
        <v>36284.612012275313</v>
      </c>
    </row>
    <row r="35" spans="1:18">
      <c r="A35" s="421">
        <v>15</v>
      </c>
      <c r="B35" s="321" t="s">
        <v>1460</v>
      </c>
      <c r="C35" s="416" t="s">
        <v>904</v>
      </c>
      <c r="D35" s="413">
        <v>995461</v>
      </c>
      <c r="E35" s="445"/>
      <c r="F35" s="414">
        <v>0.18</v>
      </c>
      <c r="G35" s="424"/>
      <c r="H35" s="441" t="s">
        <v>905</v>
      </c>
      <c r="I35" s="417" t="s">
        <v>416</v>
      </c>
      <c r="J35" s="417">
        <v>30</v>
      </c>
      <c r="K35" s="417">
        <v>754</v>
      </c>
      <c r="L35" s="418">
        <f>K35*J35</f>
        <v>22620</v>
      </c>
      <c r="M35" s="419">
        <v>0.14050000000000001</v>
      </c>
      <c r="N35" s="420">
        <f t="shared" ref="N35" si="13">K35/1.1405</f>
        <v>661.11354669004822</v>
      </c>
      <c r="O35" s="420">
        <f t="shared" ref="O35" si="14">J35*N35</f>
        <v>19833.406400701446</v>
      </c>
      <c r="P35" s="420">
        <f>IF(ISBLANK(G35),F35*O35,G35*O35)</f>
        <v>3570.0131521262601</v>
      </c>
      <c r="Q35" s="400"/>
    </row>
    <row r="36" spans="1:18" ht="62.25" customHeight="1">
      <c r="A36" s="421">
        <v>16</v>
      </c>
      <c r="B36" s="321" t="s">
        <v>1460</v>
      </c>
      <c r="C36" s="416">
        <v>2.4</v>
      </c>
      <c r="D36" s="413"/>
      <c r="E36" s="427"/>
      <c r="F36" s="414"/>
      <c r="G36" s="426"/>
      <c r="H36" s="441" t="s">
        <v>1473</v>
      </c>
      <c r="I36" s="416"/>
      <c r="J36" s="417"/>
      <c r="K36" s="416"/>
      <c r="L36" s="418"/>
      <c r="M36" s="419"/>
      <c r="N36" s="420"/>
      <c r="O36" s="420"/>
      <c r="P36" s="420"/>
      <c r="Q36" s="400"/>
    </row>
    <row r="37" spans="1:18">
      <c r="A37" s="421">
        <v>17</v>
      </c>
      <c r="B37" s="321" t="s">
        <v>1460</v>
      </c>
      <c r="C37" s="416" t="s">
        <v>1287</v>
      </c>
      <c r="D37" s="413"/>
      <c r="E37" s="423"/>
      <c r="F37" s="414">
        <v>0.18</v>
      </c>
      <c r="G37" s="424"/>
      <c r="H37" s="441" t="s">
        <v>1292</v>
      </c>
      <c r="I37" s="416" t="s">
        <v>171</v>
      </c>
      <c r="J37" s="417">
        <v>1</v>
      </c>
      <c r="K37" s="416">
        <v>4091</v>
      </c>
      <c r="L37" s="418">
        <f>K37*J37</f>
        <v>4091</v>
      </c>
      <c r="M37" s="419">
        <v>0.14050000000000001</v>
      </c>
      <c r="N37" s="420">
        <f t="shared" si="5"/>
        <v>3587.0232354230598</v>
      </c>
      <c r="O37" s="420">
        <f t="shared" si="6"/>
        <v>3587.0232354230598</v>
      </c>
      <c r="P37" s="420">
        <f t="shared" ref="P37:P40" si="15">IF(ISBLANK(G37),F37*O37,G37*O37)</f>
        <v>645.66418237615073</v>
      </c>
      <c r="Q37" s="400">
        <f t="shared" si="7"/>
        <v>4232.6874177992104</v>
      </c>
    </row>
    <row r="38" spans="1:18">
      <c r="A38" s="421">
        <v>18</v>
      </c>
      <c r="B38" s="321" t="s">
        <v>1460</v>
      </c>
      <c r="C38" s="416" t="s">
        <v>906</v>
      </c>
      <c r="D38" s="413">
        <v>998736</v>
      </c>
      <c r="E38" s="423"/>
      <c r="F38" s="414">
        <v>0.18</v>
      </c>
      <c r="G38" s="424"/>
      <c r="H38" s="441" t="s">
        <v>907</v>
      </c>
      <c r="I38" s="416" t="s">
        <v>171</v>
      </c>
      <c r="J38" s="417">
        <v>1</v>
      </c>
      <c r="K38" s="416">
        <v>5967</v>
      </c>
      <c r="L38" s="418">
        <f>K38*J38</f>
        <v>5967</v>
      </c>
      <c r="M38" s="419">
        <v>0.14050000000000001</v>
      </c>
      <c r="N38" s="420">
        <f t="shared" si="5"/>
        <v>5231.9158263919335</v>
      </c>
      <c r="O38" s="420">
        <f t="shared" si="6"/>
        <v>5231.9158263919335</v>
      </c>
      <c r="P38" s="420">
        <f t="shared" si="15"/>
        <v>941.74484875054804</v>
      </c>
      <c r="Q38" s="400">
        <f t="shared" si="7"/>
        <v>6173.6606751424815</v>
      </c>
    </row>
    <row r="39" spans="1:18" ht="38.25">
      <c r="A39" s="421">
        <v>19</v>
      </c>
      <c r="B39" s="321" t="s">
        <v>1460</v>
      </c>
      <c r="C39" s="416">
        <v>2.1</v>
      </c>
      <c r="D39" s="413"/>
      <c r="E39" s="442"/>
      <c r="F39" s="443"/>
      <c r="G39" s="444"/>
      <c r="H39" s="441" t="s">
        <v>908</v>
      </c>
      <c r="I39" s="416"/>
      <c r="J39" s="417"/>
      <c r="K39" s="416"/>
      <c r="L39" s="418"/>
      <c r="M39" s="419"/>
      <c r="N39" s="420"/>
      <c r="O39" s="420"/>
      <c r="P39" s="420"/>
      <c r="Q39" s="400">
        <f t="shared" si="7"/>
        <v>0</v>
      </c>
    </row>
    <row r="40" spans="1:18">
      <c r="A40" s="421">
        <v>20</v>
      </c>
      <c r="B40" s="321" t="s">
        <v>1460</v>
      </c>
      <c r="C40" s="417" t="s">
        <v>502</v>
      </c>
      <c r="D40" s="413">
        <v>998736</v>
      </c>
      <c r="E40" s="423"/>
      <c r="F40" s="414">
        <v>0.18</v>
      </c>
      <c r="G40" s="424"/>
      <c r="H40" s="441" t="s">
        <v>909</v>
      </c>
      <c r="I40" s="416" t="s">
        <v>171</v>
      </c>
      <c r="J40" s="417">
        <v>36</v>
      </c>
      <c r="K40" s="416">
        <v>256</v>
      </c>
      <c r="L40" s="430">
        <f>K40*J40</f>
        <v>9216</v>
      </c>
      <c r="M40" s="419">
        <v>0.14050000000000001</v>
      </c>
      <c r="N40" s="420">
        <f t="shared" si="5"/>
        <v>224.46295484436649</v>
      </c>
      <c r="O40" s="420">
        <f t="shared" si="6"/>
        <v>8080.666374397194</v>
      </c>
      <c r="P40" s="420">
        <f t="shared" si="15"/>
        <v>1454.519947391495</v>
      </c>
      <c r="Q40" s="400">
        <f t="shared" si="7"/>
        <v>9535.1863217886894</v>
      </c>
    </row>
    <row r="41" spans="1:18" ht="40.5" customHeight="1">
      <c r="A41" s="421">
        <v>21</v>
      </c>
      <c r="B41" s="321" t="s">
        <v>1460</v>
      </c>
      <c r="C41" s="416">
        <v>2.15</v>
      </c>
      <c r="D41" s="413"/>
      <c r="E41" s="442"/>
      <c r="F41" s="443"/>
      <c r="G41" s="444"/>
      <c r="H41" s="441" t="s">
        <v>1474</v>
      </c>
      <c r="I41" s="416"/>
      <c r="J41" s="417"/>
      <c r="K41" s="416"/>
      <c r="L41" s="418"/>
      <c r="M41" s="419"/>
      <c r="N41" s="420"/>
      <c r="O41" s="420"/>
      <c r="P41" s="420"/>
      <c r="Q41" s="400">
        <f t="shared" si="7"/>
        <v>0</v>
      </c>
    </row>
    <row r="42" spans="1:18">
      <c r="A42" s="421">
        <v>22</v>
      </c>
      <c r="B42" s="321" t="s">
        <v>1460</v>
      </c>
      <c r="C42" s="416" t="s">
        <v>1295</v>
      </c>
      <c r="D42" s="413">
        <v>998736</v>
      </c>
      <c r="E42" s="445"/>
      <c r="F42" s="414">
        <v>0.18</v>
      </c>
      <c r="G42" s="445"/>
      <c r="H42" s="441" t="s">
        <v>1293</v>
      </c>
      <c r="I42" s="416" t="s">
        <v>171</v>
      </c>
      <c r="J42" s="417">
        <v>1</v>
      </c>
      <c r="K42" s="416">
        <v>2872</v>
      </c>
      <c r="L42" s="430">
        <f>K42*J42</f>
        <v>2872</v>
      </c>
      <c r="M42" s="419">
        <v>0.14050000000000001</v>
      </c>
      <c r="N42" s="420">
        <f t="shared" ref="N42:N43" si="16">K42/1.1405</f>
        <v>2518.1937746602366</v>
      </c>
      <c r="O42" s="420">
        <f t="shared" ref="O42:O43" si="17">J42*N42</f>
        <v>2518.1937746602366</v>
      </c>
      <c r="P42" s="420">
        <f t="shared" ref="P42:P43" si="18">IF(ISBLANK(G42),F42*O42,G42*O42)</f>
        <v>453.27487943884256</v>
      </c>
      <c r="Q42" s="400"/>
    </row>
    <row r="43" spans="1:18">
      <c r="A43" s="421">
        <v>23</v>
      </c>
      <c r="B43" s="321" t="s">
        <v>1460</v>
      </c>
      <c r="C43" s="416" t="s">
        <v>910</v>
      </c>
      <c r="D43" s="413">
        <v>998736</v>
      </c>
      <c r="E43" s="423"/>
      <c r="F43" s="414">
        <v>0.18</v>
      </c>
      <c r="G43" s="429"/>
      <c r="H43" s="441" t="s">
        <v>911</v>
      </c>
      <c r="I43" s="416" t="s">
        <v>171</v>
      </c>
      <c r="J43" s="417">
        <v>1</v>
      </c>
      <c r="K43" s="416">
        <v>3188</v>
      </c>
      <c r="L43" s="430">
        <f>K43*J43</f>
        <v>3188</v>
      </c>
      <c r="M43" s="419">
        <v>0.14050000000000001</v>
      </c>
      <c r="N43" s="420">
        <f t="shared" si="16"/>
        <v>2795.2652345462516</v>
      </c>
      <c r="O43" s="420">
        <f t="shared" si="17"/>
        <v>2795.2652345462516</v>
      </c>
      <c r="P43" s="420">
        <f t="shared" si="18"/>
        <v>503.14774221832528</v>
      </c>
      <c r="Q43" s="400"/>
    </row>
    <row r="44" spans="1:18" ht="38.25">
      <c r="A44" s="421">
        <v>24</v>
      </c>
      <c r="B44" s="321" t="s">
        <v>1460</v>
      </c>
      <c r="C44" s="416">
        <v>5.4</v>
      </c>
      <c r="D44" s="413">
        <v>998739</v>
      </c>
      <c r="E44" s="423"/>
      <c r="F44" s="414">
        <v>0.18</v>
      </c>
      <c r="G44" s="424"/>
      <c r="H44" s="441" t="s">
        <v>912</v>
      </c>
      <c r="I44" s="416" t="s">
        <v>171</v>
      </c>
      <c r="J44" s="417">
        <v>1</v>
      </c>
      <c r="K44" s="431">
        <v>7472</v>
      </c>
      <c r="L44" s="418">
        <f>K44*J44</f>
        <v>7472</v>
      </c>
      <c r="M44" s="419">
        <v>0.14050000000000001</v>
      </c>
      <c r="N44" s="420">
        <f t="shared" si="5"/>
        <v>6551.5124945199468</v>
      </c>
      <c r="O44" s="420">
        <f t="shared" si="6"/>
        <v>6551.5124945199468</v>
      </c>
      <c r="P44" s="420">
        <f t="shared" ref="P44:P45" si="19">IF(ISBLANK(G44),F44*O44,G44*O44)</f>
        <v>1179.2722490135905</v>
      </c>
      <c r="Q44" s="400">
        <f t="shared" si="7"/>
        <v>7730.784743533537</v>
      </c>
    </row>
    <row r="45" spans="1:18" ht="36" customHeight="1">
      <c r="A45" s="421">
        <v>25</v>
      </c>
      <c r="B45" s="321" t="s">
        <v>1460</v>
      </c>
      <c r="C45" s="416">
        <v>5.1100000000000003</v>
      </c>
      <c r="D45" s="413">
        <v>998739</v>
      </c>
      <c r="E45" s="423"/>
      <c r="F45" s="414">
        <v>0.18</v>
      </c>
      <c r="G45" s="424"/>
      <c r="H45" s="441" t="s">
        <v>1475</v>
      </c>
      <c r="I45" s="416" t="s">
        <v>416</v>
      </c>
      <c r="J45" s="417">
        <v>10</v>
      </c>
      <c r="K45" s="431">
        <v>706</v>
      </c>
      <c r="L45" s="418">
        <f>K45*J45</f>
        <v>7060</v>
      </c>
      <c r="M45" s="419">
        <v>0.14050000000000001</v>
      </c>
      <c r="N45" s="420">
        <f t="shared" si="5"/>
        <v>619.02674265672943</v>
      </c>
      <c r="O45" s="420">
        <f t="shared" si="6"/>
        <v>6190.267426567294</v>
      </c>
      <c r="P45" s="420">
        <f t="shared" si="19"/>
        <v>1114.2481367821129</v>
      </c>
      <c r="Q45" s="400">
        <f t="shared" si="7"/>
        <v>7304.5155633494069</v>
      </c>
    </row>
    <row r="46" spans="1:18">
      <c r="A46" s="432"/>
      <c r="B46" s="422"/>
      <c r="C46" s="433"/>
      <c r="D46" s="433"/>
      <c r="E46" s="433"/>
      <c r="F46" s="414"/>
      <c r="G46" s="433"/>
      <c r="H46" s="434" t="s">
        <v>913</v>
      </c>
      <c r="I46" s="433"/>
      <c r="J46" s="435"/>
      <c r="K46" s="436"/>
      <c r="L46" s="437"/>
      <c r="M46" s="400"/>
      <c r="N46" s="438"/>
      <c r="O46" s="439">
        <f>SUM(O20:O45)</f>
        <v>326514.68654099072</v>
      </c>
      <c r="P46" s="439">
        <f>SUM(P20:P45)</f>
        <v>58772.643577378345</v>
      </c>
      <c r="Q46" s="440">
        <f t="shared" si="7"/>
        <v>385287.33011836908</v>
      </c>
    </row>
    <row r="47" spans="1:18">
      <c r="A47" s="400"/>
      <c r="B47" s="400"/>
      <c r="C47" s="400"/>
      <c r="D47" s="400"/>
      <c r="E47" s="400"/>
      <c r="F47" s="400"/>
      <c r="G47" s="400"/>
      <c r="H47" s="591" t="s">
        <v>914</v>
      </c>
      <c r="I47" s="592"/>
      <c r="J47" s="592"/>
      <c r="K47" s="592"/>
      <c r="L47" s="592"/>
      <c r="M47" s="592"/>
      <c r="N47" s="592"/>
      <c r="O47" s="494"/>
      <c r="P47" s="495">
        <f>+O47</f>
        <v>0</v>
      </c>
      <c r="Q47" s="289"/>
      <c r="R47" s="208"/>
    </row>
    <row r="48" spans="1:18">
      <c r="A48" s="400"/>
      <c r="B48" s="400"/>
      <c r="C48" s="400"/>
      <c r="D48" s="400"/>
      <c r="E48" s="400"/>
      <c r="F48" s="400"/>
      <c r="G48" s="400"/>
      <c r="H48" s="591" t="s">
        <v>915</v>
      </c>
      <c r="I48" s="592"/>
      <c r="J48" s="592"/>
      <c r="K48" s="592"/>
      <c r="L48" s="592"/>
      <c r="M48" s="592"/>
      <c r="N48" s="592"/>
      <c r="O48" s="292">
        <f>+O46*O47</f>
        <v>0</v>
      </c>
      <c r="P48" s="292">
        <f>+P46*P47</f>
        <v>0</v>
      </c>
      <c r="Q48" s="292"/>
      <c r="R48" s="208"/>
    </row>
    <row r="49" spans="1:18">
      <c r="A49" s="400"/>
      <c r="B49" s="400"/>
      <c r="C49" s="400"/>
      <c r="D49" s="400"/>
      <c r="E49" s="400"/>
      <c r="F49" s="400"/>
      <c r="G49" s="400"/>
      <c r="H49" s="591" t="s">
        <v>445</v>
      </c>
      <c r="I49" s="592"/>
      <c r="J49" s="592"/>
      <c r="K49" s="592"/>
      <c r="L49" s="592"/>
      <c r="M49" s="592"/>
      <c r="N49" s="592"/>
      <c r="O49" s="285">
        <f>+O48+O46</f>
        <v>326514.68654099072</v>
      </c>
      <c r="P49" s="293"/>
      <c r="Q49" s="293"/>
      <c r="R49" s="208"/>
    </row>
    <row r="50" spans="1:18">
      <c r="A50" s="400"/>
      <c r="B50" s="400"/>
      <c r="C50" s="400"/>
      <c r="D50" s="400"/>
      <c r="E50" s="400"/>
      <c r="F50" s="400"/>
      <c r="G50" s="400"/>
      <c r="H50" s="593" t="s">
        <v>446</v>
      </c>
      <c r="I50" s="594"/>
      <c r="J50" s="594"/>
      <c r="K50" s="594"/>
      <c r="L50" s="594"/>
      <c r="M50" s="594"/>
      <c r="N50" s="594"/>
      <c r="O50" s="210"/>
      <c r="P50" s="285">
        <f>P46+P48</f>
        <v>58772.643577378345</v>
      </c>
      <c r="Q50" s="285"/>
      <c r="R50" s="208"/>
    </row>
  </sheetData>
  <sheetProtection password="DC2B" sheet="1" objects="1" scenarios="1"/>
  <mergeCells count="44">
    <mergeCell ref="A17:A18"/>
    <mergeCell ref="B17:B18"/>
    <mergeCell ref="C17:C18"/>
    <mergeCell ref="D17:D18"/>
    <mergeCell ref="F17:G18"/>
    <mergeCell ref="K8:M8"/>
    <mergeCell ref="A9:D9"/>
    <mergeCell ref="F9:J9"/>
    <mergeCell ref="K9:M9"/>
    <mergeCell ref="A10:D10"/>
    <mergeCell ref="F10:J10"/>
    <mergeCell ref="K10:M10"/>
    <mergeCell ref="P17:P18"/>
    <mergeCell ref="Q17:Q18"/>
    <mergeCell ref="A1:M1"/>
    <mergeCell ref="A2:M2"/>
    <mergeCell ref="A3:M3"/>
    <mergeCell ref="A4:M4"/>
    <mergeCell ref="A5:M5"/>
    <mergeCell ref="A6:M6"/>
    <mergeCell ref="A7:M7"/>
    <mergeCell ref="F8:J8"/>
    <mergeCell ref="J17:J18"/>
    <mergeCell ref="K17:K18"/>
    <mergeCell ref="L17:L18"/>
    <mergeCell ref="M17:M18"/>
    <mergeCell ref="N17:N18"/>
    <mergeCell ref="O17:O18"/>
    <mergeCell ref="H49:N49"/>
    <mergeCell ref="H50:N50"/>
    <mergeCell ref="F11:J11"/>
    <mergeCell ref="K11:M11"/>
    <mergeCell ref="F12:J12"/>
    <mergeCell ref="K12:M12"/>
    <mergeCell ref="A13:J13"/>
    <mergeCell ref="H17:H18"/>
    <mergeCell ref="I17:I18"/>
    <mergeCell ref="A14:M14"/>
    <mergeCell ref="H47:N47"/>
    <mergeCell ref="H48:N48"/>
    <mergeCell ref="E17:E18"/>
    <mergeCell ref="K13:M13"/>
    <mergeCell ref="A15:L15"/>
    <mergeCell ref="A16:L16"/>
  </mergeCells>
  <dataValidations count="1">
    <dataValidation allowBlank="1" showInputMessage="1" showErrorMessage="1" error="ENTER PERCENTAGE " prompt="Please Enter Percentage" sqref="O47" xr:uid="{00000000-0002-0000-0600-000000000000}"/>
  </dataValidations>
  <pageMargins left="0.7" right="0.7" top="0.75" bottom="0.75" header="0.3" footer="0.3"/>
  <pageSetup paperSize="9"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Basic</vt:lpstr>
      <vt:lpstr>Instruction </vt:lpstr>
      <vt:lpstr>Name of Bidder</vt:lpstr>
      <vt:lpstr>Sch-3A Sch-Civil</vt:lpstr>
      <vt:lpstr>Sch-3B NS-Civil</vt:lpstr>
      <vt:lpstr>TYPE-C</vt:lpstr>
      <vt:lpstr>TYPE-D</vt:lpstr>
      <vt:lpstr>Sch-3C Sch-Horticullture</vt:lpstr>
      <vt:lpstr>Sch-3D Sch-Electrical</vt:lpstr>
      <vt:lpstr>Sch-3E Non- Sch-Electrical</vt:lpstr>
      <vt:lpstr>Sch5 taxes</vt:lpstr>
      <vt:lpstr>Sch6 Summary</vt:lpstr>
      <vt:lpstr>'Sch-3D Sch-Electrical'!Print_Area</vt:lpstr>
      <vt:lpstr>'Sch-3E Non- Sch-Electrical'!Print_Area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2024-11-18T09:11:31Z</dcterms:modified>
  <cp:category/>
  <cp:contentStatus/>
</cp:coreProperties>
</file>